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Archives\Papers-Jnl-Books-etc\AustProdStats\"/>
    </mc:Choice>
  </mc:AlternateContent>
  <xr:revisionPtr revIDLastSave="0" documentId="13_ncr:1_{579D4D98-CCD9-4A8D-BDDC-CD3698A96899}" xr6:coauthVersionLast="47" xr6:coauthVersionMax="47" xr10:uidLastSave="{00000000-0000-0000-0000-000000000000}"/>
  <bookViews>
    <workbookView xWindow="-108" yWindow="-108" windowWidth="23256" windowHeight="12576" tabRatio="663" xr2:uid="{7861DA46-95A4-44A3-84EA-2DD55B480F7C}"/>
  </bookViews>
  <sheets>
    <sheet name="Notes" sheetId="4" r:id="rId1"/>
    <sheet name="Summary" sheetId="6" r:id="rId2"/>
    <sheet name="Mine by Mine" sheetId="1" r:id="rId3"/>
    <sheet name="Annual Data" sheetId="3" r:id="rId4"/>
    <sheet name="Sn Fields" sheetId="5" r:id="rId5"/>
    <sheet name="Graph Gold" sheetId="7" r:id="rId6"/>
    <sheet name="Graph Copper" sheetId="8" r:id="rId7"/>
    <sheet name="Graph Silver" sheetId="10" r:id="rId8"/>
    <sheet name="Graph Lead" sheetId="9" r:id="rId9"/>
    <sheet name="Graph Zinc" sheetId="11" r:id="rId10"/>
    <sheet name="Graph Nickel"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1" i="6" l="1"/>
  <c r="AM30" i="6"/>
  <c r="AM29" i="6"/>
  <c r="AM28" i="6"/>
  <c r="AM26" i="6"/>
  <c r="AM24" i="6"/>
  <c r="AM22" i="6"/>
  <c r="AM21" i="6"/>
  <c r="AM20" i="6"/>
  <c r="AM19" i="6"/>
  <c r="AM17" i="6"/>
  <c r="AM16" i="6"/>
  <c r="AM14" i="6"/>
  <c r="M12" i="6"/>
  <c r="L12" i="6"/>
  <c r="K12" i="6"/>
  <c r="J12" i="6"/>
  <c r="I12" i="6"/>
  <c r="H12" i="6"/>
  <c r="C6" i="6"/>
  <c r="CP2" i="1"/>
  <c r="CO2" i="1"/>
  <c r="CN2" i="1"/>
  <c r="BS2" i="1" s="1"/>
  <c r="CK2" i="1"/>
  <c r="CJ2" i="1"/>
  <c r="CI2" i="1"/>
  <c r="CH2" i="1"/>
  <c r="CG2" i="1"/>
  <c r="CF2" i="1"/>
  <c r="CE2" i="1"/>
  <c r="CD2" i="1"/>
  <c r="CC2" i="1"/>
  <c r="CB2" i="1"/>
  <c r="CA2" i="1"/>
  <c r="BZ2" i="1"/>
  <c r="BY2" i="1"/>
  <c r="BX2" i="1"/>
  <c r="BW2" i="1"/>
  <c r="BV2" i="1"/>
  <c r="BU2" i="1"/>
  <c r="BT2" i="1"/>
  <c r="C11" i="6" l="1"/>
  <c r="C9" i="6"/>
  <c r="EO1" i="3"/>
  <c r="EO3" i="3"/>
  <c r="EO4" i="3"/>
  <c r="EO5" i="3"/>
  <c r="EO6" i="3"/>
  <c r="V6" i="3"/>
  <c r="V5" i="3"/>
  <c r="V4" i="3"/>
  <c r="V3" i="3"/>
  <c r="V1" i="3"/>
  <c r="DM6" i="3"/>
  <c r="DM5" i="3"/>
  <c r="DM4" i="3"/>
  <c r="DM3" i="3"/>
  <c r="DM1" i="3"/>
  <c r="DX6" i="3"/>
  <c r="DX5" i="3"/>
  <c r="DX4" i="3"/>
  <c r="DX3" i="3"/>
  <c r="DX1" i="3"/>
  <c r="DB6" i="3" l="1"/>
  <c r="DB5" i="3"/>
  <c r="DB4" i="3"/>
  <c r="DB3" i="3"/>
  <c r="DB1" i="3"/>
  <c r="CT6" i="3" l="1"/>
  <c r="CT5" i="3"/>
  <c r="CT4" i="3"/>
  <c r="CT3" i="3"/>
  <c r="CT1" i="3"/>
  <c r="BX6" i="3" l="1"/>
  <c r="BX5" i="3"/>
  <c r="BX4" i="3"/>
  <c r="BX3" i="3"/>
  <c r="BX1" i="3"/>
  <c r="BQ6" i="3" l="1"/>
  <c r="BQ5" i="3"/>
  <c r="BQ4" i="3"/>
  <c r="BQ3" i="3"/>
  <c r="BQ1" i="3"/>
  <c r="K6" i="3" l="1"/>
  <c r="K5" i="3"/>
  <c r="K4" i="3"/>
  <c r="K3" i="3"/>
  <c r="K1" i="3"/>
  <c r="D11" i="6"/>
  <c r="AB11" i="6" l="1"/>
  <c r="CQ2" i="1"/>
  <c r="BP574" i="1" l="1"/>
  <c r="NI5" i="3" l="1"/>
  <c r="NG5" i="3"/>
  <c r="NC5" i="3"/>
  <c r="NA5" i="3"/>
  <c r="MY6" i="3"/>
  <c r="NA6" i="3"/>
  <c r="NC6" i="3"/>
  <c r="NE5" i="3"/>
  <c r="NE6" i="3"/>
  <c r="NG6" i="3"/>
  <c r="NI6" i="3"/>
  <c r="NJ6" i="3"/>
  <c r="NJ5" i="3"/>
  <c r="NJ4" i="3"/>
  <c r="NJ3" i="3"/>
  <c r="NI4" i="3"/>
  <c r="NI3" i="3"/>
  <c r="NG4" i="3"/>
  <c r="NG3" i="3"/>
  <c r="NE4" i="3"/>
  <c r="NE3" i="3"/>
  <c r="NC4" i="3"/>
  <c r="NC3" i="3"/>
  <c r="NA4" i="3"/>
  <c r="NA3" i="3"/>
  <c r="MY5" i="3"/>
  <c r="MY4" i="3"/>
  <c r="MY3" i="3"/>
  <c r="MV6" i="3"/>
  <c r="MV5" i="3"/>
  <c r="MV4" i="3"/>
  <c r="MV3" i="3"/>
  <c r="MS6" i="3"/>
  <c r="MS5" i="3"/>
  <c r="MS4" i="3"/>
  <c r="MS3" i="3"/>
  <c r="MQ6" i="3"/>
  <c r="AL31" i="6" s="1"/>
  <c r="MQ5" i="3"/>
  <c r="AL30" i="6" s="1"/>
  <c r="MQ4" i="3"/>
  <c r="AL29" i="6" s="1"/>
  <c r="MQ3" i="3"/>
  <c r="AL28" i="6" s="1"/>
  <c r="MN6" i="3"/>
  <c r="MN5" i="3"/>
  <c r="MN4" i="3"/>
  <c r="MN3" i="3"/>
  <c r="MM6" i="3"/>
  <c r="MM5" i="3"/>
  <c r="MM4" i="3"/>
  <c r="MM3" i="3"/>
  <c r="MJ6" i="3"/>
  <c r="MJ5" i="3"/>
  <c r="MJ4" i="3"/>
  <c r="MJ3" i="3"/>
  <c r="MG6" i="3"/>
  <c r="MG4" i="3"/>
  <c r="MG3" i="3"/>
  <c r="MD6" i="3"/>
  <c r="MD5" i="3"/>
  <c r="MD4" i="3"/>
  <c r="MD3" i="3"/>
  <c r="MC6" i="3"/>
  <c r="AK31" i="6" s="1"/>
  <c r="MC5" i="3"/>
  <c r="AK30" i="6" s="1"/>
  <c r="MC4" i="3"/>
  <c r="AK29" i="6" s="1"/>
  <c r="MC3" i="3"/>
  <c r="AK28" i="6" s="1"/>
  <c r="MB6" i="3"/>
  <c r="MB5" i="3"/>
  <c r="MB4" i="3"/>
  <c r="MB3" i="3"/>
  <c r="LY6" i="3"/>
  <c r="LY5" i="3"/>
  <c r="LY4" i="3"/>
  <c r="LY3" i="3"/>
  <c r="LV6" i="3"/>
  <c r="LV5" i="3"/>
  <c r="LV4" i="3"/>
  <c r="LV3" i="3"/>
  <c r="LS6" i="3"/>
  <c r="LS5" i="3"/>
  <c r="LS4" i="3"/>
  <c r="LS3" i="3"/>
  <c r="LR6" i="3"/>
  <c r="LR5" i="3"/>
  <c r="LR4" i="3"/>
  <c r="LR3" i="3"/>
  <c r="LO6" i="3"/>
  <c r="LO5" i="3"/>
  <c r="LO4" i="3"/>
  <c r="LO3" i="3"/>
  <c r="LL6" i="3"/>
  <c r="LL4" i="3"/>
  <c r="LL3" i="3"/>
  <c r="LH6" i="3"/>
  <c r="LH5" i="3"/>
  <c r="LH4" i="3"/>
  <c r="LH3" i="3"/>
  <c r="LE6" i="3"/>
  <c r="LE5" i="3"/>
  <c r="LE4" i="3"/>
  <c r="LE3" i="3"/>
  <c r="LC6" i="3"/>
  <c r="AI31" i="6" s="1"/>
  <c r="LC5" i="3"/>
  <c r="AI30" i="6" s="1"/>
  <c r="LC4" i="3"/>
  <c r="AI29" i="6" s="1"/>
  <c r="LC3" i="3"/>
  <c r="AI28" i="6" s="1"/>
  <c r="LB6" i="3"/>
  <c r="LB5" i="3"/>
  <c r="LB4" i="3"/>
  <c r="LB3" i="3"/>
  <c r="KY6" i="3"/>
  <c r="KY5" i="3"/>
  <c r="KY4" i="3"/>
  <c r="KY3" i="3"/>
  <c r="KV6" i="3"/>
  <c r="KV5" i="3"/>
  <c r="KV4" i="3"/>
  <c r="KV3" i="3"/>
  <c r="KS6" i="3"/>
  <c r="KS5" i="3"/>
  <c r="KS4" i="3"/>
  <c r="KS3" i="3"/>
  <c r="KR6" i="3"/>
  <c r="KR5" i="3"/>
  <c r="KR4" i="3"/>
  <c r="KR3" i="3"/>
  <c r="KO6" i="3"/>
  <c r="KO5" i="3"/>
  <c r="KO4" i="3"/>
  <c r="KO3" i="3"/>
  <c r="KL6" i="3"/>
  <c r="KL4" i="3"/>
  <c r="KL3" i="3"/>
  <c r="KI6" i="3"/>
  <c r="AJ31" i="6" s="1"/>
  <c r="KI5" i="3"/>
  <c r="AJ30" i="6" s="1"/>
  <c r="KI4" i="3"/>
  <c r="AJ29" i="6" s="1"/>
  <c r="KI3" i="3"/>
  <c r="AJ28" i="6" s="1"/>
  <c r="KH6" i="3"/>
  <c r="KH5" i="3"/>
  <c r="KH4" i="3"/>
  <c r="KH3" i="3"/>
  <c r="KE6" i="3"/>
  <c r="KE5" i="3"/>
  <c r="KE4" i="3"/>
  <c r="KE3" i="3"/>
  <c r="KC6" i="3"/>
  <c r="KC5" i="3"/>
  <c r="KC4" i="3"/>
  <c r="KC3" i="3"/>
  <c r="KA6" i="3"/>
  <c r="KA5" i="3"/>
  <c r="KA4" i="3"/>
  <c r="KA3" i="3"/>
  <c r="JX6" i="3"/>
  <c r="JX5" i="3"/>
  <c r="JX4" i="3"/>
  <c r="JX3" i="3"/>
  <c r="JV6" i="3"/>
  <c r="AH31" i="6" s="1"/>
  <c r="JV5" i="3"/>
  <c r="AH30" i="6" s="1"/>
  <c r="JV4" i="3"/>
  <c r="AH29" i="6" s="1"/>
  <c r="JV3" i="3"/>
  <c r="AH28" i="6" s="1"/>
  <c r="JU6" i="3"/>
  <c r="JU5" i="3"/>
  <c r="JU4" i="3"/>
  <c r="JU3" i="3"/>
  <c r="JR6" i="3"/>
  <c r="JR5" i="3"/>
  <c r="JR4" i="3"/>
  <c r="JR3" i="3"/>
  <c r="JO6" i="3"/>
  <c r="JO5" i="3"/>
  <c r="JO4" i="3"/>
  <c r="JO3" i="3"/>
  <c r="JN6" i="3"/>
  <c r="JN5" i="3"/>
  <c r="JN4" i="3"/>
  <c r="JN3" i="3"/>
  <c r="JM6" i="3"/>
  <c r="JM5" i="3"/>
  <c r="JM4" i="3"/>
  <c r="JM3" i="3"/>
  <c r="JJ6" i="3"/>
  <c r="JJ5" i="3"/>
  <c r="JJ4" i="3"/>
  <c r="JJ3" i="3"/>
  <c r="JG6" i="3"/>
  <c r="JG4" i="3"/>
  <c r="JG3" i="3"/>
  <c r="JD6" i="3"/>
  <c r="AG31" i="6" s="1"/>
  <c r="JC6" i="3"/>
  <c r="JB6" i="3"/>
  <c r="JD5" i="3"/>
  <c r="AG30" i="6" s="1"/>
  <c r="JC5" i="3"/>
  <c r="JB5" i="3"/>
  <c r="JD4" i="3"/>
  <c r="AG29" i="6" s="1"/>
  <c r="JC4" i="3"/>
  <c r="JB4" i="3"/>
  <c r="JD3" i="3"/>
  <c r="AG28" i="6" s="1"/>
  <c r="JC3" i="3"/>
  <c r="JB3" i="3"/>
  <c r="IZ6" i="3"/>
  <c r="AF31" i="6" s="1"/>
  <c r="IY6" i="3"/>
  <c r="IX6" i="3"/>
  <c r="IW6" i="3"/>
  <c r="IZ5" i="3"/>
  <c r="AF30" i="6" s="1"/>
  <c r="IY5" i="3"/>
  <c r="IX5" i="3"/>
  <c r="IW5" i="3"/>
  <c r="IZ4" i="3"/>
  <c r="AF29" i="6" s="1"/>
  <c r="IY4" i="3"/>
  <c r="IX4" i="3"/>
  <c r="IW4" i="3"/>
  <c r="IZ3" i="3"/>
  <c r="AF28" i="6" s="1"/>
  <c r="IY3" i="3"/>
  <c r="IX3" i="3"/>
  <c r="IW3" i="3"/>
  <c r="IU6" i="3"/>
  <c r="AE31" i="6" s="1"/>
  <c r="IT6" i="3"/>
  <c r="IS6" i="3"/>
  <c r="IT5" i="3"/>
  <c r="IS5" i="3"/>
  <c r="IT4" i="3"/>
  <c r="IS4" i="3"/>
  <c r="IU3" i="3"/>
  <c r="AE28" i="6" s="1"/>
  <c r="IT3" i="3"/>
  <c r="IS3" i="3"/>
  <c r="IP6" i="3"/>
  <c r="AD31" i="6" s="1"/>
  <c r="IO6" i="3"/>
  <c r="IN6" i="3"/>
  <c r="IM6" i="3"/>
  <c r="IP5" i="3"/>
  <c r="AD30" i="6" s="1"/>
  <c r="IO5" i="3"/>
  <c r="IN5" i="3"/>
  <c r="IP4" i="3"/>
  <c r="AD29" i="6" s="1"/>
  <c r="IO4" i="3"/>
  <c r="IN4" i="3"/>
  <c r="IM4" i="3"/>
  <c r="IP3" i="3"/>
  <c r="AD28" i="6" s="1"/>
  <c r="IO3" i="3"/>
  <c r="IN3" i="3"/>
  <c r="IM3" i="3"/>
  <c r="IJ6" i="3"/>
  <c r="L31" i="6" s="1"/>
  <c r="II6" i="3"/>
  <c r="IH6" i="3"/>
  <c r="IG6" i="3"/>
  <c r="IF6" i="3"/>
  <c r="IE6" i="3"/>
  <c r="ID6" i="3"/>
  <c r="IC6" i="3"/>
  <c r="IJ5" i="3"/>
  <c r="L30" i="6" s="1"/>
  <c r="II5" i="3"/>
  <c r="IH5" i="3"/>
  <c r="IG5" i="3"/>
  <c r="IF5" i="3"/>
  <c r="IE5" i="3"/>
  <c r="ID5" i="3"/>
  <c r="IC5" i="3"/>
  <c r="IJ4" i="3"/>
  <c r="L29" i="6" s="1"/>
  <c r="II4" i="3"/>
  <c r="IH4" i="3"/>
  <c r="IG4" i="3"/>
  <c r="IF4" i="3"/>
  <c r="IE4" i="3"/>
  <c r="ID4" i="3"/>
  <c r="IC4" i="3"/>
  <c r="IJ3" i="3"/>
  <c r="L28" i="6" s="1"/>
  <c r="II3" i="3"/>
  <c r="IH3" i="3"/>
  <c r="IG3" i="3"/>
  <c r="IF3" i="3"/>
  <c r="IE3" i="3"/>
  <c r="ID3" i="3"/>
  <c r="IC3" i="3"/>
  <c r="HY6" i="3"/>
  <c r="HX6" i="3"/>
  <c r="HW6" i="3"/>
  <c r="HV6" i="3"/>
  <c r="HY5" i="3"/>
  <c r="HX5" i="3"/>
  <c r="HW5" i="3"/>
  <c r="HV5" i="3"/>
  <c r="HY4" i="3"/>
  <c r="HX4" i="3"/>
  <c r="HW4" i="3"/>
  <c r="HV4" i="3"/>
  <c r="HZ3" i="3"/>
  <c r="U28" i="6" s="1"/>
  <c r="HY3" i="3"/>
  <c r="HX3" i="3"/>
  <c r="HW3" i="3"/>
  <c r="HV3" i="3"/>
  <c r="HT6" i="3"/>
  <c r="HS6" i="3"/>
  <c r="HR6" i="3"/>
  <c r="HQ6" i="3"/>
  <c r="HP6" i="3"/>
  <c r="HO6" i="3"/>
  <c r="HN6" i="3"/>
  <c r="HM6" i="3"/>
  <c r="HL6" i="3"/>
  <c r="HK6" i="3"/>
  <c r="HJ6" i="3"/>
  <c r="HI6" i="3"/>
  <c r="HH6" i="3"/>
  <c r="HG6" i="3"/>
  <c r="HF6" i="3"/>
  <c r="HE6" i="3"/>
  <c r="HD6" i="3"/>
  <c r="HC6" i="3"/>
  <c r="HB6" i="3"/>
  <c r="HA6" i="3"/>
  <c r="GZ6" i="3"/>
  <c r="GY6" i="3"/>
  <c r="GX6" i="3"/>
  <c r="GW6" i="3"/>
  <c r="HT5" i="3"/>
  <c r="HS5" i="3"/>
  <c r="HR5" i="3"/>
  <c r="HQ5" i="3"/>
  <c r="HP5" i="3"/>
  <c r="HO5" i="3"/>
  <c r="HN5" i="3"/>
  <c r="HM5" i="3"/>
  <c r="HL5" i="3"/>
  <c r="HK5" i="3"/>
  <c r="HJ5" i="3"/>
  <c r="HI5" i="3"/>
  <c r="HH5" i="3"/>
  <c r="HG5" i="3"/>
  <c r="HF5" i="3"/>
  <c r="HE5" i="3"/>
  <c r="HD5" i="3"/>
  <c r="HC5" i="3"/>
  <c r="HB5" i="3"/>
  <c r="HA5" i="3"/>
  <c r="GZ5" i="3"/>
  <c r="GY5" i="3"/>
  <c r="GX5" i="3"/>
  <c r="GW5" i="3"/>
  <c r="HT4" i="3"/>
  <c r="HS4" i="3"/>
  <c r="HR4" i="3"/>
  <c r="HQ4" i="3"/>
  <c r="HP4" i="3"/>
  <c r="HO4" i="3"/>
  <c r="HN4" i="3"/>
  <c r="HM4" i="3"/>
  <c r="HL4" i="3"/>
  <c r="HK4" i="3"/>
  <c r="HJ4" i="3"/>
  <c r="HI4" i="3"/>
  <c r="HH4" i="3"/>
  <c r="HG4" i="3"/>
  <c r="HF4" i="3"/>
  <c r="HE4" i="3"/>
  <c r="HD4" i="3"/>
  <c r="HC4" i="3"/>
  <c r="HB4" i="3"/>
  <c r="HA4" i="3"/>
  <c r="GZ4" i="3"/>
  <c r="GY4" i="3"/>
  <c r="GX4" i="3"/>
  <c r="GW4" i="3"/>
  <c r="HT3" i="3"/>
  <c r="HS3" i="3"/>
  <c r="HR3" i="3"/>
  <c r="HQ3" i="3"/>
  <c r="HP3" i="3"/>
  <c r="HO3" i="3"/>
  <c r="HN3" i="3"/>
  <c r="HM3" i="3"/>
  <c r="HL3" i="3"/>
  <c r="HK3" i="3"/>
  <c r="HJ3" i="3"/>
  <c r="HI3" i="3"/>
  <c r="HH3" i="3"/>
  <c r="HG3" i="3"/>
  <c r="HF3" i="3"/>
  <c r="HE3" i="3"/>
  <c r="HD3" i="3"/>
  <c r="HC3" i="3"/>
  <c r="HB3" i="3"/>
  <c r="HA3" i="3"/>
  <c r="GZ3" i="3"/>
  <c r="GY3" i="3"/>
  <c r="GX3" i="3"/>
  <c r="GW3" i="3"/>
  <c r="GT6" i="3"/>
  <c r="S31" i="6" s="1"/>
  <c r="GT4" i="3"/>
  <c r="S29" i="6" s="1"/>
  <c r="GT3" i="3"/>
  <c r="S28" i="6" s="1"/>
  <c r="GS6" i="3"/>
  <c r="GS5" i="3"/>
  <c r="GS4" i="3"/>
  <c r="GS3" i="3"/>
  <c r="GR6" i="3"/>
  <c r="GR5" i="3"/>
  <c r="GR4" i="3"/>
  <c r="GR3" i="3"/>
  <c r="GQ6" i="3"/>
  <c r="GQ5" i="3"/>
  <c r="GQ4" i="3"/>
  <c r="GQ3" i="3"/>
  <c r="GP6" i="3"/>
  <c r="GP5" i="3"/>
  <c r="GP4" i="3"/>
  <c r="GP3" i="3"/>
  <c r="GO6" i="3"/>
  <c r="GO5" i="3"/>
  <c r="GO4" i="3"/>
  <c r="GO3" i="3"/>
  <c r="GN6" i="3"/>
  <c r="GN5" i="3"/>
  <c r="GN4" i="3"/>
  <c r="GN3" i="3"/>
  <c r="GJ6" i="3"/>
  <c r="GI6" i="3"/>
  <c r="GH6" i="3"/>
  <c r="GG6" i="3"/>
  <c r="GF6" i="3"/>
  <c r="GE6" i="3"/>
  <c r="GJ5" i="3"/>
  <c r="GI5" i="3"/>
  <c r="GH5" i="3"/>
  <c r="GG5" i="3"/>
  <c r="GF5" i="3"/>
  <c r="GE5" i="3"/>
  <c r="GJ4" i="3"/>
  <c r="GI4" i="3"/>
  <c r="GH4" i="3"/>
  <c r="GG4" i="3"/>
  <c r="GF4" i="3"/>
  <c r="GE4" i="3"/>
  <c r="GJ3" i="3"/>
  <c r="GI3" i="3"/>
  <c r="GH3" i="3"/>
  <c r="GG3" i="3"/>
  <c r="GF3" i="3"/>
  <c r="GE3" i="3"/>
  <c r="GB6" i="3"/>
  <c r="AB31" i="6" s="1"/>
  <c r="GA6" i="3"/>
  <c r="FZ6" i="3"/>
  <c r="FY6" i="3"/>
  <c r="GB5" i="3"/>
  <c r="AB30" i="6" s="1"/>
  <c r="GA5" i="3"/>
  <c r="FZ5" i="3"/>
  <c r="FY5" i="3"/>
  <c r="GB4" i="3"/>
  <c r="AB29" i="6" s="1"/>
  <c r="GA4" i="3"/>
  <c r="FZ4" i="3"/>
  <c r="FY4" i="3"/>
  <c r="GB3" i="3"/>
  <c r="AB28" i="6" s="1"/>
  <c r="GA3" i="3"/>
  <c r="FZ3" i="3"/>
  <c r="FY3" i="3"/>
  <c r="FV6" i="3"/>
  <c r="AA31" i="6" s="1"/>
  <c r="FU6" i="3"/>
  <c r="FT6" i="3"/>
  <c r="FS6" i="3"/>
  <c r="FR6" i="3"/>
  <c r="FQ6" i="3"/>
  <c r="FP6" i="3"/>
  <c r="FV5" i="3"/>
  <c r="AA30" i="6" s="1"/>
  <c r="FU5" i="3"/>
  <c r="FT5" i="3"/>
  <c r="FS5" i="3"/>
  <c r="FR5" i="3"/>
  <c r="FQ5" i="3"/>
  <c r="FP5" i="3"/>
  <c r="FV4" i="3"/>
  <c r="AA29" i="6" s="1"/>
  <c r="FU4" i="3"/>
  <c r="FT4" i="3"/>
  <c r="FS4" i="3"/>
  <c r="FR4" i="3"/>
  <c r="FQ4" i="3"/>
  <c r="FP4" i="3"/>
  <c r="FV3" i="3"/>
  <c r="AA28" i="6" s="1"/>
  <c r="FU3" i="3"/>
  <c r="FT3" i="3"/>
  <c r="FS3" i="3"/>
  <c r="FR3" i="3"/>
  <c r="FQ3" i="3"/>
  <c r="FP3" i="3"/>
  <c r="FL6" i="3"/>
  <c r="FK6" i="3"/>
  <c r="FJ6" i="3"/>
  <c r="FI6" i="3"/>
  <c r="FL5" i="3"/>
  <c r="FK5" i="3"/>
  <c r="FJ5" i="3"/>
  <c r="FI5" i="3"/>
  <c r="FL4" i="3"/>
  <c r="FK4" i="3"/>
  <c r="FJ4" i="3"/>
  <c r="FI4" i="3"/>
  <c r="FL3" i="3"/>
  <c r="FK3" i="3"/>
  <c r="FJ3" i="3"/>
  <c r="FI3" i="3"/>
  <c r="FF6" i="3"/>
  <c r="R31" i="6" s="1"/>
  <c r="FE6" i="3"/>
  <c r="FD6" i="3"/>
  <c r="FC6" i="3"/>
  <c r="FB6" i="3"/>
  <c r="FA6" i="3"/>
  <c r="EZ6" i="3"/>
  <c r="EY6" i="3"/>
  <c r="FF5" i="3"/>
  <c r="R30" i="6" s="1"/>
  <c r="FE5" i="3"/>
  <c r="FD5" i="3"/>
  <c r="FC5" i="3"/>
  <c r="FB5" i="3"/>
  <c r="FA5" i="3"/>
  <c r="EZ5" i="3"/>
  <c r="EY5" i="3"/>
  <c r="FF4" i="3"/>
  <c r="R29" i="6" s="1"/>
  <c r="FE4" i="3"/>
  <c r="FD4" i="3"/>
  <c r="FC4" i="3"/>
  <c r="FB4" i="3"/>
  <c r="FA4" i="3"/>
  <c r="EZ4" i="3"/>
  <c r="EY4" i="3"/>
  <c r="FF3" i="3"/>
  <c r="R28" i="6" s="1"/>
  <c r="FE3" i="3"/>
  <c r="FD3" i="3"/>
  <c r="FC3" i="3"/>
  <c r="FB3" i="3"/>
  <c r="FA3" i="3"/>
  <c r="EZ3" i="3"/>
  <c r="EY3" i="3"/>
  <c r="EV6" i="3"/>
  <c r="Y31" i="6" s="1"/>
  <c r="EV5" i="3"/>
  <c r="Y30" i="6" s="1"/>
  <c r="EV4" i="3"/>
  <c r="Y29" i="6" s="1"/>
  <c r="EV3" i="3"/>
  <c r="Y28" i="6" s="1"/>
  <c r="EU6" i="3"/>
  <c r="EU5" i="3"/>
  <c r="EU4" i="3"/>
  <c r="EU3" i="3"/>
  <c r="ER6" i="3"/>
  <c r="ER5" i="3"/>
  <c r="ER4" i="3"/>
  <c r="ER3" i="3"/>
  <c r="EQ6" i="3"/>
  <c r="V31" i="6" s="1"/>
  <c r="EQ5" i="3"/>
  <c r="V30" i="6" s="1"/>
  <c r="EQ4" i="3"/>
  <c r="V29" i="6" s="1"/>
  <c r="EQ3" i="3"/>
  <c r="V28" i="6" s="1"/>
  <c r="EM6" i="3"/>
  <c r="M31" i="6" s="1"/>
  <c r="EL6" i="3"/>
  <c r="EK6" i="3"/>
  <c r="EJ6" i="3"/>
  <c r="EI6" i="3"/>
  <c r="EM5" i="3"/>
  <c r="M30" i="6" s="1"/>
  <c r="EL5" i="3"/>
  <c r="EK5" i="3"/>
  <c r="EJ5" i="3"/>
  <c r="EI5" i="3"/>
  <c r="EM4" i="3"/>
  <c r="M29" i="6" s="1"/>
  <c r="EL4" i="3"/>
  <c r="EK4" i="3"/>
  <c r="EJ4" i="3"/>
  <c r="EI4" i="3"/>
  <c r="EM3" i="3"/>
  <c r="M28" i="6" s="1"/>
  <c r="EL3" i="3"/>
  <c r="EK3" i="3"/>
  <c r="EJ3" i="3"/>
  <c r="EI3" i="3"/>
  <c r="EF6" i="3"/>
  <c r="K31" i="6" s="1"/>
  <c r="EE6" i="3"/>
  <c r="ED6" i="3"/>
  <c r="EC6" i="3"/>
  <c r="EB6" i="3"/>
  <c r="EA6" i="3"/>
  <c r="DZ6" i="3"/>
  <c r="EF5" i="3"/>
  <c r="K30" i="6" s="1"/>
  <c r="EE5" i="3"/>
  <c r="ED5" i="3"/>
  <c r="EC5" i="3"/>
  <c r="EB5" i="3"/>
  <c r="EA5" i="3"/>
  <c r="DZ5" i="3"/>
  <c r="EF4" i="3"/>
  <c r="K29" i="6" s="1"/>
  <c r="EE4" i="3"/>
  <c r="ED4" i="3"/>
  <c r="EC4" i="3"/>
  <c r="EB4" i="3"/>
  <c r="EA4" i="3"/>
  <c r="DZ4" i="3"/>
  <c r="EF3" i="3"/>
  <c r="K28" i="6" s="1"/>
  <c r="EE3" i="3"/>
  <c r="ED3" i="3"/>
  <c r="EC3" i="3"/>
  <c r="EB3" i="3"/>
  <c r="EA3" i="3"/>
  <c r="DZ3" i="3"/>
  <c r="DV6" i="3"/>
  <c r="G31" i="6" s="1"/>
  <c r="DU6" i="3"/>
  <c r="DT6" i="3"/>
  <c r="DS6" i="3"/>
  <c r="DR6" i="3"/>
  <c r="DQ6" i="3"/>
  <c r="DP6" i="3"/>
  <c r="DO6" i="3"/>
  <c r="DV5" i="3"/>
  <c r="G30" i="6" s="1"/>
  <c r="DU5" i="3"/>
  <c r="DT5" i="3"/>
  <c r="DS5" i="3"/>
  <c r="DR5" i="3"/>
  <c r="DQ5" i="3"/>
  <c r="DP5" i="3"/>
  <c r="DO5" i="3"/>
  <c r="DV4" i="3"/>
  <c r="G29" i="6" s="1"/>
  <c r="DU4" i="3"/>
  <c r="DT4" i="3"/>
  <c r="DS4" i="3"/>
  <c r="DR4" i="3"/>
  <c r="DQ4" i="3"/>
  <c r="DP4" i="3"/>
  <c r="DO4" i="3"/>
  <c r="DV3" i="3"/>
  <c r="G28" i="6" s="1"/>
  <c r="DU3" i="3"/>
  <c r="DT3" i="3"/>
  <c r="DS3" i="3"/>
  <c r="DR3" i="3"/>
  <c r="DQ3" i="3"/>
  <c r="DP3" i="3"/>
  <c r="DO3" i="3"/>
  <c r="DK6" i="3"/>
  <c r="F31" i="6" s="1"/>
  <c r="DJ6" i="3"/>
  <c r="DI6" i="3"/>
  <c r="DH6" i="3"/>
  <c r="DG6" i="3"/>
  <c r="DF6" i="3"/>
  <c r="DE6" i="3"/>
  <c r="DD6" i="3"/>
  <c r="DK5" i="3"/>
  <c r="F30" i="6" s="1"/>
  <c r="DJ5" i="3"/>
  <c r="DI5" i="3"/>
  <c r="DH5" i="3"/>
  <c r="DG5" i="3"/>
  <c r="DF5" i="3"/>
  <c r="DE5" i="3"/>
  <c r="DD5" i="3"/>
  <c r="DK4" i="3"/>
  <c r="F29" i="6" s="1"/>
  <c r="DJ4" i="3"/>
  <c r="DI4" i="3"/>
  <c r="DH4" i="3"/>
  <c r="DG4" i="3"/>
  <c r="DF4" i="3"/>
  <c r="DE4" i="3"/>
  <c r="DD4" i="3"/>
  <c r="DK3" i="3"/>
  <c r="F28" i="6" s="1"/>
  <c r="DJ3" i="3"/>
  <c r="DI3" i="3"/>
  <c r="DH3" i="3"/>
  <c r="DG3" i="3"/>
  <c r="DF3" i="3"/>
  <c r="DE3" i="3"/>
  <c r="DD3" i="3"/>
  <c r="CZ6" i="3"/>
  <c r="CY6" i="3"/>
  <c r="CX6" i="3"/>
  <c r="CW6" i="3"/>
  <c r="CV6" i="3"/>
  <c r="CZ5" i="3"/>
  <c r="CY5" i="3"/>
  <c r="H30" i="6" s="1"/>
  <c r="CX5" i="3"/>
  <c r="CW5" i="3"/>
  <c r="CV5" i="3"/>
  <c r="CZ4" i="3"/>
  <c r="CY4" i="3"/>
  <c r="CX4" i="3"/>
  <c r="CW4" i="3"/>
  <c r="CV4" i="3"/>
  <c r="CZ3" i="3"/>
  <c r="CY3" i="3"/>
  <c r="H28" i="6" s="1"/>
  <c r="CX3" i="3"/>
  <c r="CW3" i="3"/>
  <c r="CV3" i="3"/>
  <c r="CR6" i="3"/>
  <c r="N31" i="6" s="1"/>
  <c r="CQ6" i="3"/>
  <c r="CP6" i="3"/>
  <c r="CO6" i="3"/>
  <c r="CN6" i="3"/>
  <c r="CM6" i="3"/>
  <c r="CL6" i="3"/>
  <c r="CK6" i="3"/>
  <c r="CJ6" i="3"/>
  <c r="CR5" i="3"/>
  <c r="N30" i="6" s="1"/>
  <c r="CQ5" i="3"/>
  <c r="CP5" i="3"/>
  <c r="CO5" i="3"/>
  <c r="CN5" i="3"/>
  <c r="CM5" i="3"/>
  <c r="CL5" i="3"/>
  <c r="CK5" i="3"/>
  <c r="CJ5" i="3"/>
  <c r="CR4" i="3"/>
  <c r="N29" i="6" s="1"/>
  <c r="CQ4" i="3"/>
  <c r="CP4" i="3"/>
  <c r="CO4" i="3"/>
  <c r="CN4" i="3"/>
  <c r="CM4" i="3"/>
  <c r="CL4" i="3"/>
  <c r="CK4" i="3"/>
  <c r="CJ4" i="3"/>
  <c r="CR3" i="3"/>
  <c r="N28" i="6" s="1"/>
  <c r="CQ3" i="3"/>
  <c r="CP3" i="3"/>
  <c r="CO3" i="3"/>
  <c r="CN3" i="3"/>
  <c r="CM3" i="3"/>
  <c r="CL3" i="3"/>
  <c r="CK3" i="3"/>
  <c r="CJ3" i="3"/>
  <c r="CG6" i="3"/>
  <c r="J31" i="6" s="1"/>
  <c r="CF6" i="3"/>
  <c r="CE6" i="3"/>
  <c r="CD6" i="3"/>
  <c r="CC6" i="3"/>
  <c r="CB6" i="3"/>
  <c r="CA6" i="3"/>
  <c r="BZ6" i="3"/>
  <c r="CG5" i="3"/>
  <c r="J30" i="6" s="1"/>
  <c r="CF5" i="3"/>
  <c r="CE5" i="3"/>
  <c r="CD5" i="3"/>
  <c r="CC5" i="3"/>
  <c r="CB5" i="3"/>
  <c r="CA5" i="3"/>
  <c r="CG4" i="3"/>
  <c r="J29" i="6" s="1"/>
  <c r="CF4" i="3"/>
  <c r="CE4" i="3"/>
  <c r="CD4" i="3"/>
  <c r="CC4" i="3"/>
  <c r="CB4" i="3"/>
  <c r="CA4" i="3"/>
  <c r="BZ4" i="3"/>
  <c r="CG3" i="3"/>
  <c r="J28" i="6" s="1"/>
  <c r="CF3" i="3"/>
  <c r="CE3" i="3"/>
  <c r="CD3" i="3"/>
  <c r="CC3" i="3"/>
  <c r="CB3" i="3"/>
  <c r="CA3" i="3"/>
  <c r="BZ3" i="3"/>
  <c r="BV6" i="3"/>
  <c r="T31" i="6" s="1"/>
  <c r="BU6" i="3"/>
  <c r="BT6" i="3"/>
  <c r="BS6" i="3"/>
  <c r="BV5" i="3"/>
  <c r="T30" i="6" s="1"/>
  <c r="BU5" i="3"/>
  <c r="BT5" i="3"/>
  <c r="BS5" i="3"/>
  <c r="BV4" i="3"/>
  <c r="T29" i="6" s="1"/>
  <c r="BU4" i="3"/>
  <c r="BT4" i="3"/>
  <c r="BS4" i="3"/>
  <c r="BV3" i="3"/>
  <c r="T28" i="6" s="1"/>
  <c r="BU3" i="3"/>
  <c r="BT3" i="3"/>
  <c r="BS3" i="3"/>
  <c r="BO6" i="3"/>
  <c r="E31" i="6" s="1"/>
  <c r="BN6" i="3"/>
  <c r="BM6" i="3"/>
  <c r="BL6" i="3"/>
  <c r="BK6" i="3"/>
  <c r="BJ6" i="3"/>
  <c r="BI6" i="3"/>
  <c r="BH6" i="3"/>
  <c r="BO5" i="3"/>
  <c r="E30" i="6" s="1"/>
  <c r="BN5" i="3"/>
  <c r="BM5" i="3"/>
  <c r="BL5" i="3"/>
  <c r="BK5" i="3"/>
  <c r="BJ5" i="3"/>
  <c r="BI5" i="3"/>
  <c r="BH5" i="3"/>
  <c r="BO4" i="3"/>
  <c r="E29" i="6" s="1"/>
  <c r="BN4" i="3"/>
  <c r="BM4" i="3"/>
  <c r="BL4" i="3"/>
  <c r="BK4" i="3"/>
  <c r="BJ4" i="3"/>
  <c r="BI4" i="3"/>
  <c r="BH4" i="3"/>
  <c r="BO3" i="3"/>
  <c r="E28" i="6" s="1"/>
  <c r="BN3" i="3"/>
  <c r="BM3" i="3"/>
  <c r="BL3" i="3"/>
  <c r="BK3" i="3"/>
  <c r="BJ3" i="3"/>
  <c r="BI3" i="3"/>
  <c r="BH3" i="3"/>
  <c r="BE6" i="3"/>
  <c r="I31" i="6" s="1"/>
  <c r="BD6" i="3"/>
  <c r="BC6" i="3"/>
  <c r="BB6" i="3"/>
  <c r="BA6" i="3"/>
  <c r="BE5" i="3"/>
  <c r="I30" i="6" s="1"/>
  <c r="BD5" i="3"/>
  <c r="BC5" i="3"/>
  <c r="BB5" i="3"/>
  <c r="BA5" i="3"/>
  <c r="BE4" i="3"/>
  <c r="I29" i="6" s="1"/>
  <c r="BD4" i="3"/>
  <c r="BC4" i="3"/>
  <c r="BB4" i="3"/>
  <c r="BA4" i="3"/>
  <c r="BE3" i="3"/>
  <c r="I28" i="6" s="1"/>
  <c r="BD3" i="3"/>
  <c r="BC3" i="3"/>
  <c r="BB3" i="3"/>
  <c r="BA3" i="3"/>
  <c r="AZ6" i="3"/>
  <c r="AZ5" i="3"/>
  <c r="AZ4" i="3"/>
  <c r="AZ3" i="3"/>
  <c r="AW6" i="3"/>
  <c r="P31" i="6" s="1"/>
  <c r="AW5" i="3"/>
  <c r="P30" i="6" s="1"/>
  <c r="AW4" i="3"/>
  <c r="P29" i="6" s="1"/>
  <c r="AW3" i="3"/>
  <c r="P28" i="6" s="1"/>
  <c r="AT6" i="3"/>
  <c r="O31" i="6" s="1"/>
  <c r="AS6" i="3"/>
  <c r="AR6" i="3"/>
  <c r="AQ6" i="3"/>
  <c r="AP6" i="3"/>
  <c r="AO6" i="3"/>
  <c r="AN6" i="3"/>
  <c r="AT5" i="3"/>
  <c r="O30" i="6" s="1"/>
  <c r="AS5" i="3"/>
  <c r="AR5" i="3"/>
  <c r="AQ5" i="3"/>
  <c r="AP5" i="3"/>
  <c r="AO5" i="3"/>
  <c r="AN5" i="3"/>
  <c r="AT4" i="3"/>
  <c r="O29" i="6" s="1"/>
  <c r="AS4" i="3"/>
  <c r="AR4" i="3"/>
  <c r="AQ4" i="3"/>
  <c r="AP4" i="3"/>
  <c r="AO4" i="3"/>
  <c r="AN4" i="3"/>
  <c r="AT3" i="3"/>
  <c r="O28" i="6" s="1"/>
  <c r="AS3" i="3"/>
  <c r="AR3" i="3"/>
  <c r="AQ3" i="3"/>
  <c r="AP3" i="3"/>
  <c r="AO3" i="3"/>
  <c r="AN3" i="3"/>
  <c r="AK6" i="3"/>
  <c r="X31" i="6" s="1"/>
  <c r="AJ6" i="3"/>
  <c r="AI6" i="3"/>
  <c r="AH6" i="3"/>
  <c r="AG6" i="3"/>
  <c r="AK5" i="3"/>
  <c r="X30" i="6" s="1"/>
  <c r="AJ5" i="3"/>
  <c r="AI5" i="3"/>
  <c r="AH5" i="3"/>
  <c r="AG5" i="3"/>
  <c r="AK4" i="3"/>
  <c r="X29" i="6" s="1"/>
  <c r="AJ4" i="3"/>
  <c r="AI4" i="3"/>
  <c r="AH4" i="3"/>
  <c r="AG4" i="3"/>
  <c r="AK3" i="3"/>
  <c r="X28" i="6" s="1"/>
  <c r="AJ3" i="3"/>
  <c r="AI3" i="3"/>
  <c r="AH3" i="3"/>
  <c r="AG3" i="3"/>
  <c r="AC3" i="3"/>
  <c r="W28" i="6" s="1"/>
  <c r="AB4" i="3"/>
  <c r="AB3" i="3"/>
  <c r="AA6" i="3"/>
  <c r="AA5" i="3"/>
  <c r="AA4" i="3"/>
  <c r="AA3" i="3"/>
  <c r="Z6" i="3"/>
  <c r="Z5" i="3"/>
  <c r="Z4" i="3"/>
  <c r="Z3" i="3"/>
  <c r="Y6" i="3"/>
  <c r="Y5" i="3"/>
  <c r="Y4" i="3"/>
  <c r="Y3" i="3"/>
  <c r="X6" i="3"/>
  <c r="X5" i="3"/>
  <c r="X4" i="3"/>
  <c r="X3" i="3"/>
  <c r="T6" i="3"/>
  <c r="D31" i="6" s="1"/>
  <c r="T5" i="3"/>
  <c r="D30" i="6" s="1"/>
  <c r="T4" i="3"/>
  <c r="D29" i="6" s="1"/>
  <c r="T3" i="3"/>
  <c r="D28" i="6" s="1"/>
  <c r="S6" i="3"/>
  <c r="S5" i="3"/>
  <c r="S4" i="3"/>
  <c r="S3" i="3"/>
  <c r="R6" i="3"/>
  <c r="R5" i="3"/>
  <c r="R4" i="3"/>
  <c r="R3" i="3"/>
  <c r="Q6" i="3"/>
  <c r="Q5" i="3"/>
  <c r="Q4" i="3"/>
  <c r="Q3" i="3"/>
  <c r="P6" i="3"/>
  <c r="P5" i="3"/>
  <c r="P4" i="3"/>
  <c r="P3" i="3"/>
  <c r="O6" i="3"/>
  <c r="O5" i="3"/>
  <c r="O4" i="3"/>
  <c r="O3" i="3"/>
  <c r="N6" i="3"/>
  <c r="N5" i="3"/>
  <c r="N4" i="3"/>
  <c r="N3" i="3"/>
  <c r="M6" i="3"/>
  <c r="M5" i="3"/>
  <c r="M4" i="3"/>
  <c r="M3" i="3"/>
  <c r="I6" i="3"/>
  <c r="C31" i="6" s="1"/>
  <c r="H6" i="3"/>
  <c r="G6" i="3"/>
  <c r="F6" i="3"/>
  <c r="E6" i="3"/>
  <c r="D6" i="3"/>
  <c r="C6" i="3"/>
  <c r="I5" i="3"/>
  <c r="C30" i="6" s="1"/>
  <c r="H5" i="3"/>
  <c r="G5" i="3"/>
  <c r="F5" i="3"/>
  <c r="E5" i="3"/>
  <c r="D5" i="3"/>
  <c r="C5" i="3"/>
  <c r="I4" i="3"/>
  <c r="C29" i="6" s="1"/>
  <c r="H4" i="3"/>
  <c r="G4" i="3"/>
  <c r="F4" i="3"/>
  <c r="E4" i="3"/>
  <c r="D4" i="3"/>
  <c r="C4" i="3"/>
  <c r="I3" i="3"/>
  <c r="C28" i="6" s="1"/>
  <c r="H3" i="3"/>
  <c r="G3" i="3"/>
  <c r="F3" i="3"/>
  <c r="E3" i="3"/>
  <c r="D3" i="3"/>
  <c r="C3" i="3"/>
  <c r="B6" i="3"/>
  <c r="B5" i="3"/>
  <c r="B4" i="3"/>
  <c r="B3" i="3"/>
  <c r="W14" i="6"/>
  <c r="AC201" i="3"/>
  <c r="AC200" i="3"/>
  <c r="AC199" i="3"/>
  <c r="AC198" i="3"/>
  <c r="AC197" i="3"/>
  <c r="AC196" i="3"/>
  <c r="AC195" i="3"/>
  <c r="AC194" i="3"/>
  <c r="AC193" i="3"/>
  <c r="AC192" i="3"/>
  <c r="AC191" i="3"/>
  <c r="AC190" i="3"/>
  <c r="AC189" i="3"/>
  <c r="AC188" i="3"/>
  <c r="AC187" i="3"/>
  <c r="AC186" i="3"/>
  <c r="AC185" i="3"/>
  <c r="AC184" i="3"/>
  <c r="AC183" i="3"/>
  <c r="AC182" i="3"/>
  <c r="AC181" i="3"/>
  <c r="AC180" i="3"/>
  <c r="AC179" i="3"/>
  <c r="AC178" i="3"/>
  <c r="AC177" i="3"/>
  <c r="AC176" i="3"/>
  <c r="AC175" i="3"/>
  <c r="AC174" i="3"/>
  <c r="AC173" i="3"/>
  <c r="AC172" i="3"/>
  <c r="AC171" i="3"/>
  <c r="AC170" i="3"/>
  <c r="AC169" i="3"/>
  <c r="AC168" i="3"/>
  <c r="AC167" i="3"/>
  <c r="AC166" i="3"/>
  <c r="AC165" i="3"/>
  <c r="AC164" i="3"/>
  <c r="AC163" i="3"/>
  <c r="AC162" i="3"/>
  <c r="AC161" i="3"/>
  <c r="AC160" i="3"/>
  <c r="AC159" i="3"/>
  <c r="AC158" i="3"/>
  <c r="AC157" i="3"/>
  <c r="AC156" i="3"/>
  <c r="AC155" i="3"/>
  <c r="AC154" i="3"/>
  <c r="AC153" i="3"/>
  <c r="AC152" i="3"/>
  <c r="AC151" i="3"/>
  <c r="AC150" i="3"/>
  <c r="AC149" i="3"/>
  <c r="AC148" i="3"/>
  <c r="AC147" i="3"/>
  <c r="AC146" i="3"/>
  <c r="AC145" i="3"/>
  <c r="AC144" i="3"/>
  <c r="AC143" i="3"/>
  <c r="AC142" i="3"/>
  <c r="AC141" i="3"/>
  <c r="AC140" i="3"/>
  <c r="AC139" i="3"/>
  <c r="AC233" i="3"/>
  <c r="AC232" i="3"/>
  <c r="AC231" i="3"/>
  <c r="AC230" i="3"/>
  <c r="AC229" i="3"/>
  <c r="AC228" i="3"/>
  <c r="AC227" i="3"/>
  <c r="AC226" i="3"/>
  <c r="AC225" i="3"/>
  <c r="AC224" i="3"/>
  <c r="AC223" i="3"/>
  <c r="AC222" i="3"/>
  <c r="AC221" i="3"/>
  <c r="AC220" i="3"/>
  <c r="AC219" i="3"/>
  <c r="AC218" i="3"/>
  <c r="AC217" i="3"/>
  <c r="AC216" i="3"/>
  <c r="AC215" i="3"/>
  <c r="AC214" i="3"/>
  <c r="AC213" i="3"/>
  <c r="AC212" i="3"/>
  <c r="AC211" i="3"/>
  <c r="AC210" i="3"/>
  <c r="AC209" i="3"/>
  <c r="AC208" i="3"/>
  <c r="AC207" i="3"/>
  <c r="AC206" i="3"/>
  <c r="AC205" i="3"/>
  <c r="AC204" i="3"/>
  <c r="AC203" i="3"/>
  <c r="AC202" i="3"/>
  <c r="Q30" i="6" l="1"/>
  <c r="Q31" i="6"/>
  <c r="Q28" i="6"/>
  <c r="Q29" i="6"/>
  <c r="AC4" i="3"/>
  <c r="W29" i="6" s="1"/>
  <c r="AC6" i="3"/>
  <c r="W31" i="6" s="1"/>
  <c r="AC5" i="3"/>
  <c r="W30" i="6" s="1"/>
  <c r="H31" i="6"/>
  <c r="AB5" i="3"/>
  <c r="AB6" i="3"/>
  <c r="P8" i="6"/>
  <c r="U11" i="6"/>
  <c r="T11" i="6"/>
  <c r="S11" i="6"/>
  <c r="R11" i="6"/>
  <c r="Q11" i="6"/>
  <c r="P11" i="6"/>
  <c r="N11" i="6"/>
  <c r="M11" i="6"/>
  <c r="L11" i="6"/>
  <c r="K11" i="6"/>
  <c r="J11" i="6"/>
  <c r="I11" i="6"/>
  <c r="H11" i="6"/>
  <c r="G11" i="6"/>
  <c r="F11" i="6"/>
  <c r="E11" i="6"/>
  <c r="AI14" i="6"/>
  <c r="AL14" i="6"/>
  <c r="AK14" i="6"/>
  <c r="AJ14" i="6"/>
  <c r="AH14" i="6"/>
  <c r="AG14" i="6"/>
  <c r="AF14" i="6"/>
  <c r="AE14" i="6"/>
  <c r="AD14" i="6"/>
  <c r="AC14" i="6"/>
  <c r="AB14" i="6"/>
  <c r="AA14" i="6"/>
  <c r="Y14" i="6"/>
  <c r="X14" i="6"/>
  <c r="V14" i="6"/>
  <c r="O14" i="6"/>
  <c r="U12" i="6"/>
  <c r="T12" i="6"/>
  <c r="S12" i="6"/>
  <c r="R12" i="6"/>
  <c r="Q12" i="6"/>
  <c r="P12" i="6"/>
  <c r="N12" i="6"/>
  <c r="G12" i="6"/>
  <c r="F12" i="6"/>
  <c r="E12" i="6"/>
  <c r="D12" i="6"/>
  <c r="C12" i="6"/>
  <c r="AK1" i="3"/>
  <c r="AJ1" i="3"/>
  <c r="X22" i="6" s="1"/>
  <c r="AI1" i="3"/>
  <c r="X21" i="6" s="1"/>
  <c r="AH1" i="3"/>
  <c r="X19" i="6" s="1"/>
  <c r="AG1" i="3"/>
  <c r="X16" i="6" s="1"/>
  <c r="AI2" i="3" l="1"/>
  <c r="X24" i="6"/>
  <c r="X26" i="6" s="1"/>
  <c r="AH2" i="3"/>
  <c r="AJ2" i="3"/>
  <c r="AG2" i="3"/>
  <c r="C7" i="6"/>
  <c r="E10" i="6"/>
  <c r="C10" i="6"/>
  <c r="C8" i="6"/>
  <c r="U10" i="6"/>
  <c r="T10" i="6"/>
  <c r="S10" i="6"/>
  <c r="Q10" i="6"/>
  <c r="P10" i="6"/>
  <c r="N10" i="6"/>
  <c r="M10" i="6"/>
  <c r="L10" i="6"/>
  <c r="K10" i="6"/>
  <c r="I10" i="6"/>
  <c r="H10" i="6"/>
  <c r="G10" i="6"/>
  <c r="F10" i="6"/>
  <c r="D10" i="6"/>
  <c r="J10" i="6"/>
  <c r="U9" i="6"/>
  <c r="T9" i="6"/>
  <c r="S9" i="6"/>
  <c r="Q9" i="6"/>
  <c r="P9" i="6"/>
  <c r="N9" i="6"/>
  <c r="M9" i="6"/>
  <c r="L9" i="6"/>
  <c r="K9" i="6"/>
  <c r="I9" i="6"/>
  <c r="H9" i="6"/>
  <c r="G9" i="6"/>
  <c r="F9" i="6"/>
  <c r="E9" i="6"/>
  <c r="D9" i="6"/>
  <c r="J9" i="6"/>
  <c r="U8" i="6"/>
  <c r="T8" i="6"/>
  <c r="S8" i="6"/>
  <c r="R8" i="6"/>
  <c r="Q8" i="6"/>
  <c r="N8" i="6"/>
  <c r="M8" i="6"/>
  <c r="L8" i="6"/>
  <c r="K8" i="6"/>
  <c r="I8" i="6"/>
  <c r="H8" i="6"/>
  <c r="G8" i="6"/>
  <c r="F8" i="6"/>
  <c r="E8" i="6"/>
  <c r="D8" i="6"/>
  <c r="J8" i="6"/>
  <c r="U7" i="6"/>
  <c r="T7" i="6"/>
  <c r="S7" i="6"/>
  <c r="R7" i="6"/>
  <c r="Q7" i="6"/>
  <c r="P7" i="6"/>
  <c r="N7" i="6"/>
  <c r="M7" i="6"/>
  <c r="L7" i="6"/>
  <c r="K7" i="6"/>
  <c r="J7" i="6"/>
  <c r="I7" i="6"/>
  <c r="H7" i="6"/>
  <c r="G7" i="6"/>
  <c r="F7" i="6"/>
  <c r="E7" i="6"/>
  <c r="D7" i="6"/>
  <c r="U6" i="6"/>
  <c r="T6" i="6"/>
  <c r="S6" i="6"/>
  <c r="R6" i="6"/>
  <c r="Q6" i="6"/>
  <c r="P6" i="6"/>
  <c r="N6" i="6"/>
  <c r="M6" i="6"/>
  <c r="L6" i="6"/>
  <c r="K6" i="6"/>
  <c r="J6" i="6"/>
  <c r="I6" i="6"/>
  <c r="H6" i="6"/>
  <c r="G6" i="6"/>
  <c r="F6" i="6"/>
  <c r="E6" i="6"/>
  <c r="D6" i="6"/>
  <c r="U5" i="6"/>
  <c r="T5" i="6"/>
  <c r="S5" i="6"/>
  <c r="R5" i="6"/>
  <c r="Q5" i="6"/>
  <c r="P5" i="6"/>
  <c r="N5" i="6"/>
  <c r="M5" i="6"/>
  <c r="L5" i="6"/>
  <c r="K5" i="6"/>
  <c r="J5" i="6"/>
  <c r="I5" i="6"/>
  <c r="H5" i="6"/>
  <c r="G5" i="6"/>
  <c r="F5" i="6"/>
  <c r="E5" i="6"/>
  <c r="D5" i="6"/>
  <c r="C5" i="6"/>
  <c r="AT2" i="5"/>
  <c r="T14" i="6" l="1"/>
  <c r="M14" i="6"/>
  <c r="S14" i="6"/>
  <c r="G14" i="6"/>
  <c r="N14" i="6"/>
  <c r="C14" i="6"/>
  <c r="Q14" i="6"/>
  <c r="E14" i="6"/>
  <c r="K14" i="6"/>
  <c r="D14" i="6"/>
  <c r="R14" i="6"/>
  <c r="F14" i="6"/>
  <c r="H14" i="6"/>
  <c r="U14" i="6"/>
  <c r="P14" i="6"/>
  <c r="I14" i="6"/>
  <c r="J14" i="6"/>
  <c r="L14" i="6"/>
  <c r="DE2" i="5"/>
  <c r="DD2" i="5"/>
  <c r="DC2" i="5"/>
  <c r="DB2" i="5"/>
  <c r="DM2" i="5"/>
  <c r="DK2" i="5"/>
  <c r="DJ2" i="5"/>
  <c r="DI2" i="5"/>
  <c r="DH2" i="5"/>
  <c r="DG2" i="5"/>
  <c r="DF2" i="5"/>
  <c r="DA2" i="5"/>
  <c r="DM152" i="5"/>
  <c r="DM151" i="5"/>
  <c r="DM150" i="5"/>
  <c r="DM149" i="5"/>
  <c r="DM148" i="5"/>
  <c r="DM72" i="5"/>
  <c r="DM71" i="5"/>
  <c r="DM70" i="5"/>
  <c r="DM69" i="5"/>
  <c r="DM143" i="5"/>
  <c r="DM142" i="5"/>
  <c r="DM141" i="5"/>
  <c r="DM140" i="5"/>
  <c r="DM139" i="5"/>
  <c r="DM138" i="5"/>
  <c r="DM137" i="5"/>
  <c r="DM136" i="5"/>
  <c r="DM135" i="5"/>
  <c r="DM134" i="5"/>
  <c r="DM133" i="5"/>
  <c r="DM132" i="5"/>
  <c r="DM131" i="5"/>
  <c r="DM130" i="5"/>
  <c r="DM129" i="5"/>
  <c r="DM128" i="5"/>
  <c r="DM127" i="5"/>
  <c r="DM126" i="5"/>
  <c r="DM125" i="5"/>
  <c r="DM124" i="5"/>
  <c r="DM123" i="5"/>
  <c r="DM122" i="5"/>
  <c r="DM121" i="5"/>
  <c r="DM120" i="5"/>
  <c r="DM119" i="5"/>
  <c r="DM118" i="5"/>
  <c r="DM117" i="5"/>
  <c r="DM116" i="5"/>
  <c r="DM115" i="5"/>
  <c r="DM114" i="5"/>
  <c r="DM113" i="5"/>
  <c r="DM112" i="5"/>
  <c r="DM111" i="5"/>
  <c r="DM110" i="5"/>
  <c r="DM109" i="5"/>
  <c r="DM108" i="5"/>
  <c r="DM107" i="5"/>
  <c r="DM106" i="5"/>
  <c r="DM105" i="5"/>
  <c r="DM104" i="5"/>
  <c r="DM103" i="5"/>
  <c r="DM102" i="5"/>
  <c r="DM101" i="5"/>
  <c r="DM100" i="5"/>
  <c r="DM99" i="5"/>
  <c r="DM98" i="5"/>
  <c r="DM97" i="5"/>
  <c r="DM96" i="5"/>
  <c r="DM95" i="5"/>
  <c r="DM94" i="5"/>
  <c r="DM93" i="5"/>
  <c r="DM92" i="5"/>
  <c r="DM91" i="5"/>
  <c r="DM90" i="5"/>
  <c r="DM89" i="5"/>
  <c r="DM88" i="5"/>
  <c r="DM87" i="5"/>
  <c r="DM86" i="5"/>
  <c r="DM85" i="5"/>
  <c r="DM84" i="5"/>
  <c r="DM83" i="5"/>
  <c r="DM82" i="5"/>
  <c r="DM81" i="5"/>
  <c r="DM80" i="5"/>
  <c r="DM79" i="5"/>
  <c r="DM78" i="5"/>
  <c r="DM77" i="5"/>
  <c r="DM76" i="5"/>
  <c r="DM75" i="5"/>
  <c r="DM74" i="5"/>
  <c r="DM73" i="5"/>
  <c r="DM68" i="5"/>
  <c r="DM67" i="5"/>
  <c r="DM66" i="5"/>
  <c r="DM65" i="5"/>
  <c r="DM64" i="5"/>
  <c r="DM63" i="5"/>
  <c r="DM62" i="5"/>
  <c r="DM61" i="5"/>
  <c r="DM60" i="5"/>
  <c r="DM59" i="5"/>
  <c r="DM58" i="5"/>
  <c r="DM57" i="5"/>
  <c r="DM56" i="5"/>
  <c r="DM55" i="5"/>
  <c r="DM54" i="5"/>
  <c r="DM53" i="5"/>
  <c r="DM51" i="5"/>
  <c r="DM50" i="5"/>
  <c r="DM49" i="5"/>
  <c r="DM48" i="5"/>
  <c r="DM47" i="5"/>
  <c r="DM46" i="5"/>
  <c r="DM45" i="5"/>
  <c r="DM44" i="5"/>
  <c r="DM43" i="5"/>
  <c r="DM42" i="5"/>
  <c r="DM41" i="5"/>
  <c r="DM40" i="5"/>
  <c r="DM39" i="5"/>
  <c r="DM38" i="5"/>
  <c r="DM37" i="5"/>
  <c r="DM36" i="5"/>
  <c r="DM35" i="5"/>
  <c r="CX342" i="5" l="1"/>
  <c r="ED1" i="3"/>
  <c r="K21" i="6" s="1"/>
  <c r="CX349" i="5"/>
  <c r="CX348" i="5"/>
  <c r="CX347" i="5"/>
  <c r="CX346" i="5"/>
  <c r="CX345" i="5"/>
  <c r="CX344" i="5"/>
  <c r="CX343" i="5"/>
  <c r="CX341" i="5"/>
  <c r="CX340" i="5"/>
  <c r="CX339" i="5"/>
  <c r="CX338" i="5"/>
  <c r="CX337" i="5"/>
  <c r="CX216" i="5"/>
  <c r="CX215" i="5"/>
  <c r="CX214" i="5"/>
  <c r="CX213" i="5"/>
  <c r="CX212" i="5"/>
  <c r="CX211" i="5"/>
  <c r="CX210" i="5"/>
  <c r="CX209" i="5"/>
  <c r="CX208" i="5"/>
  <c r="CX207" i="5"/>
  <c r="CX206" i="5"/>
  <c r="CX205" i="5"/>
  <c r="CX204" i="5"/>
  <c r="CX203" i="5"/>
  <c r="CX202" i="5"/>
  <c r="CX201" i="5"/>
  <c r="CX200" i="5"/>
  <c r="CX199" i="5"/>
  <c r="CX198" i="5"/>
  <c r="CX197" i="5"/>
  <c r="CX196" i="5"/>
  <c r="CX195" i="5"/>
  <c r="CX194" i="5"/>
  <c r="CX193" i="5"/>
  <c r="CX192" i="5"/>
  <c r="CX191" i="5"/>
  <c r="CX190" i="5"/>
  <c r="CX189" i="5"/>
  <c r="CX188" i="5"/>
  <c r="CX187" i="5"/>
  <c r="CX186" i="5"/>
  <c r="CX185" i="5"/>
  <c r="CX184" i="5"/>
  <c r="CX183" i="5"/>
  <c r="CX182" i="5"/>
  <c r="CT349" i="5"/>
  <c r="CT348" i="5"/>
  <c r="CT347" i="5"/>
  <c r="CT346" i="5"/>
  <c r="CT345" i="5"/>
  <c r="CT344" i="5"/>
  <c r="CT343" i="5"/>
  <c r="CT342" i="5"/>
  <c r="CT341" i="5"/>
  <c r="CT340" i="5"/>
  <c r="CT339" i="5"/>
  <c r="CT338" i="5"/>
  <c r="CT337" i="5"/>
  <c r="CT336" i="5"/>
  <c r="CT335" i="5"/>
  <c r="CT334" i="5"/>
  <c r="CT333" i="5"/>
  <c r="CT332" i="5"/>
  <c r="CT331" i="5"/>
  <c r="CT330" i="5"/>
  <c r="CT329" i="5"/>
  <c r="CT328" i="5"/>
  <c r="CT327" i="5"/>
  <c r="CT326" i="5"/>
  <c r="CT325" i="5"/>
  <c r="CT324" i="5"/>
  <c r="CT323" i="5"/>
  <c r="CT322" i="5"/>
  <c r="CT321" i="5"/>
  <c r="CT320" i="5"/>
  <c r="CT319" i="5"/>
  <c r="CT318" i="5"/>
  <c r="CT317" i="5"/>
  <c r="CT316" i="5"/>
  <c r="CT315" i="5"/>
  <c r="CT314" i="5"/>
  <c r="CT313" i="5"/>
  <c r="CT312" i="5"/>
  <c r="CT311" i="5"/>
  <c r="CT310" i="5"/>
  <c r="CT309" i="5"/>
  <c r="CT308" i="5"/>
  <c r="CT307" i="5"/>
  <c r="CT306" i="5"/>
  <c r="CT305" i="5"/>
  <c r="CT304" i="5"/>
  <c r="CT303" i="5"/>
  <c r="CT302" i="5"/>
  <c r="CT301" i="5"/>
  <c r="CT300" i="5"/>
  <c r="CT299" i="5"/>
  <c r="CT298" i="5"/>
  <c r="CT297" i="5"/>
  <c r="CT296" i="5"/>
  <c r="CT295" i="5"/>
  <c r="CT294" i="5"/>
  <c r="CT293" i="5"/>
  <c r="CT292" i="5"/>
  <c r="CT291" i="5"/>
  <c r="CT290" i="5"/>
  <c r="CT289" i="5"/>
  <c r="CT288" i="5"/>
  <c r="CT287" i="5"/>
  <c r="CT286" i="5"/>
  <c r="CT285" i="5"/>
  <c r="CT284" i="5"/>
  <c r="CT283" i="5"/>
  <c r="CT282" i="5"/>
  <c r="CT281" i="5"/>
  <c r="CT280" i="5"/>
  <c r="CT279" i="5"/>
  <c r="CT278" i="5"/>
  <c r="CT277" i="5"/>
  <c r="CT276" i="5"/>
  <c r="CT275" i="5"/>
  <c r="CT274" i="5"/>
  <c r="CT273" i="5"/>
  <c r="CT272" i="5"/>
  <c r="CT271" i="5"/>
  <c r="CT270" i="5"/>
  <c r="CT269" i="5"/>
  <c r="CT268" i="5"/>
  <c r="CT267" i="5"/>
  <c r="CT266" i="5"/>
  <c r="CT265" i="5"/>
  <c r="CT264" i="5"/>
  <c r="CT263" i="5"/>
  <c r="CT262" i="5"/>
  <c r="CT261" i="5"/>
  <c r="CT260" i="5"/>
  <c r="CT259" i="5"/>
  <c r="CT258" i="5"/>
  <c r="CT257" i="5"/>
  <c r="CT256" i="5"/>
  <c r="CT255" i="5"/>
  <c r="CT254" i="5"/>
  <c r="CT253" i="5"/>
  <c r="CT252" i="5"/>
  <c r="CT251" i="5"/>
  <c r="CT250" i="5"/>
  <c r="CT249" i="5"/>
  <c r="CT248" i="5"/>
  <c r="CT247" i="5"/>
  <c r="CT246" i="5"/>
  <c r="CT245" i="5"/>
  <c r="CT244" i="5"/>
  <c r="CT243" i="5"/>
  <c r="CT242" i="5"/>
  <c r="CT241" i="5"/>
  <c r="CT240" i="5"/>
  <c r="CT239" i="5"/>
  <c r="CT238" i="5"/>
  <c r="CT237" i="5"/>
  <c r="CT236" i="5"/>
  <c r="CT235" i="5"/>
  <c r="CT234" i="5"/>
  <c r="CT233" i="5"/>
  <c r="CT232" i="5"/>
  <c r="CT231" i="5"/>
  <c r="CT230" i="5"/>
  <c r="CT229" i="5"/>
  <c r="CT228" i="5"/>
  <c r="CT227" i="5"/>
  <c r="CT226" i="5"/>
  <c r="CT225" i="5"/>
  <c r="CT224" i="5"/>
  <c r="CT223" i="5"/>
  <c r="CT222" i="5"/>
  <c r="CT221" i="5"/>
  <c r="CT220" i="5"/>
  <c r="CT219" i="5"/>
  <c r="CT218" i="5"/>
  <c r="CT217" i="5"/>
  <c r="CT216" i="5"/>
  <c r="CT215" i="5"/>
  <c r="CT214" i="5"/>
  <c r="CT213" i="5"/>
  <c r="CT212" i="5"/>
  <c r="CT211" i="5"/>
  <c r="CT210" i="5"/>
  <c r="CT209" i="5"/>
  <c r="CT208" i="5"/>
  <c r="CT207" i="5"/>
  <c r="CT206" i="5"/>
  <c r="CT205" i="5"/>
  <c r="CT204" i="5"/>
  <c r="CT203" i="5"/>
  <c r="CT202" i="5"/>
  <c r="CT201" i="5"/>
  <c r="CT200" i="5"/>
  <c r="CT199" i="5"/>
  <c r="CT198" i="5"/>
  <c r="CT197" i="5"/>
  <c r="CT196" i="5"/>
  <c r="CT195" i="5"/>
  <c r="CT194" i="5"/>
  <c r="CT193" i="5"/>
  <c r="CT192" i="5"/>
  <c r="CT191" i="5"/>
  <c r="CT190" i="5"/>
  <c r="CT189" i="5"/>
  <c r="CT188" i="5"/>
  <c r="CT187" i="5"/>
  <c r="CT186" i="5"/>
  <c r="CT185" i="5"/>
  <c r="CT184" i="5"/>
  <c r="CT183" i="5"/>
  <c r="CT182"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302" i="5"/>
  <c r="CO301" i="5"/>
  <c r="CO300" i="5"/>
  <c r="CO299" i="5"/>
  <c r="CO298" i="5"/>
  <c r="CO297" i="5"/>
  <c r="CO296" i="5"/>
  <c r="CO295" i="5"/>
  <c r="CO294" i="5"/>
  <c r="CO293" i="5"/>
  <c r="CO292" i="5"/>
  <c r="CO291" i="5"/>
  <c r="CO290" i="5"/>
  <c r="CO289" i="5"/>
  <c r="CO288" i="5"/>
  <c r="CO287" i="5"/>
  <c r="CO286" i="5"/>
  <c r="CO285" i="5"/>
  <c r="CO284" i="5"/>
  <c r="CO283" i="5"/>
  <c r="CO282" i="5"/>
  <c r="CO281" i="5"/>
  <c r="CO280" i="5"/>
  <c r="CO279" i="5"/>
  <c r="CO278" i="5"/>
  <c r="CO277" i="5"/>
  <c r="CO276" i="5"/>
  <c r="CO275" i="5"/>
  <c r="CO274" i="5"/>
  <c r="CO273" i="5"/>
  <c r="CO272" i="5"/>
  <c r="CO271" i="5"/>
  <c r="CO270" i="5"/>
  <c r="CO269" i="5"/>
  <c r="CO268" i="5"/>
  <c r="CO267" i="5"/>
  <c r="CO266" i="5"/>
  <c r="CO265" i="5"/>
  <c r="CO264" i="5"/>
  <c r="CO263" i="5"/>
  <c r="CO262" i="5"/>
  <c r="CO261" i="5"/>
  <c r="CO260" i="5"/>
  <c r="CO259" i="5"/>
  <c r="CO258" i="5"/>
  <c r="CO257" i="5"/>
  <c r="CO256" i="5"/>
  <c r="CO255" i="5"/>
  <c r="CO254" i="5"/>
  <c r="CO253" i="5"/>
  <c r="CO252" i="5"/>
  <c r="CO251" i="5"/>
  <c r="CO250" i="5"/>
  <c r="CO249" i="5"/>
  <c r="CO248" i="5"/>
  <c r="CO247" i="5"/>
  <c r="CO246" i="5"/>
  <c r="CO245" i="5"/>
  <c r="CO244" i="5"/>
  <c r="CO243" i="5"/>
  <c r="CO242" i="5"/>
  <c r="CO241" i="5"/>
  <c r="CO240" i="5"/>
  <c r="CO239" i="5"/>
  <c r="CO238" i="5"/>
  <c r="CO237" i="5"/>
  <c r="CO236" i="5"/>
  <c r="CO235" i="5"/>
  <c r="CO234" i="5"/>
  <c r="CO233" i="5"/>
  <c r="CO232" i="5"/>
  <c r="CO231" i="5"/>
  <c r="CO230" i="5"/>
  <c r="CO229" i="5"/>
  <c r="CO228" i="5"/>
  <c r="CO227" i="5"/>
  <c r="CO226" i="5"/>
  <c r="CO225" i="5"/>
  <c r="CO224" i="5"/>
  <c r="CO223" i="5"/>
  <c r="CO222" i="5"/>
  <c r="CO221" i="5"/>
  <c r="CO220" i="5"/>
  <c r="CO219" i="5"/>
  <c r="CO218" i="5"/>
  <c r="CO217" i="5"/>
  <c r="CO216" i="5"/>
  <c r="CO215" i="5"/>
  <c r="CO214" i="5"/>
  <c r="CO213" i="5"/>
  <c r="CO212" i="5"/>
  <c r="CO211" i="5"/>
  <c r="CO210" i="5"/>
  <c r="CO209" i="5"/>
  <c r="CO208" i="5"/>
  <c r="CO207" i="5"/>
  <c r="CO206" i="5"/>
  <c r="CO205" i="5"/>
  <c r="CO204" i="5"/>
  <c r="CO203" i="5"/>
  <c r="CO202" i="5"/>
  <c r="CO201" i="5"/>
  <c r="CO200" i="5"/>
  <c r="CO199" i="5"/>
  <c r="CO198" i="5"/>
  <c r="CO197" i="5"/>
  <c r="CO196" i="5"/>
  <c r="CO195" i="5"/>
  <c r="CO194" i="5"/>
  <c r="CO193" i="5"/>
  <c r="CO192" i="5"/>
  <c r="CO191" i="5"/>
  <c r="CO190" i="5"/>
  <c r="CO189" i="5"/>
  <c r="CO188" i="5"/>
  <c r="CO187" i="5"/>
  <c r="CO186" i="5"/>
  <c r="CO185" i="5"/>
  <c r="CO184" i="5"/>
  <c r="CO183" i="5"/>
  <c r="CO182" i="5"/>
  <c r="CJ349" i="5"/>
  <c r="CJ348" i="5"/>
  <c r="CJ347" i="5"/>
  <c r="CJ346" i="5"/>
  <c r="CJ345" i="5"/>
  <c r="CJ344" i="5"/>
  <c r="CJ343" i="5"/>
  <c r="CJ342" i="5"/>
  <c r="CJ341" i="5"/>
  <c r="CJ340" i="5"/>
  <c r="CJ339" i="5"/>
  <c r="CJ338" i="5"/>
  <c r="CJ337" i="5"/>
  <c r="CJ336" i="5"/>
  <c r="CJ335" i="5"/>
  <c r="CJ334" i="5"/>
  <c r="CJ333" i="5"/>
  <c r="CJ332" i="5"/>
  <c r="CJ331" i="5"/>
  <c r="CJ330" i="5"/>
  <c r="CJ329" i="5"/>
  <c r="CJ328" i="5"/>
  <c r="CJ327" i="5"/>
  <c r="CJ326" i="5"/>
  <c r="CJ325" i="5"/>
  <c r="CJ324" i="5"/>
  <c r="CJ323" i="5"/>
  <c r="CJ322" i="5"/>
  <c r="CJ321" i="5"/>
  <c r="CJ320" i="5"/>
  <c r="CJ319" i="5"/>
  <c r="CJ318" i="5"/>
  <c r="CJ317" i="5"/>
  <c r="CJ316" i="5"/>
  <c r="CJ315" i="5"/>
  <c r="CJ314" i="5"/>
  <c r="CJ313" i="5"/>
  <c r="CJ312" i="5"/>
  <c r="CJ311" i="5"/>
  <c r="CJ310" i="5"/>
  <c r="CJ309" i="5"/>
  <c r="CJ308" i="5"/>
  <c r="CJ307" i="5"/>
  <c r="CJ306" i="5"/>
  <c r="CJ305" i="5"/>
  <c r="CJ304" i="5"/>
  <c r="CJ303" i="5"/>
  <c r="CJ302" i="5"/>
  <c r="CJ301" i="5"/>
  <c r="CJ300" i="5"/>
  <c r="CJ299" i="5"/>
  <c r="CJ298" i="5"/>
  <c r="CJ297" i="5"/>
  <c r="CJ296" i="5"/>
  <c r="CJ295" i="5"/>
  <c r="CJ294" i="5"/>
  <c r="CJ293" i="5"/>
  <c r="CJ292" i="5"/>
  <c r="CJ291" i="5"/>
  <c r="CJ290" i="5"/>
  <c r="CJ289" i="5"/>
  <c r="CJ288" i="5"/>
  <c r="CJ287" i="5"/>
  <c r="CJ286" i="5"/>
  <c r="CJ285" i="5"/>
  <c r="CJ284" i="5"/>
  <c r="CJ283" i="5"/>
  <c r="CJ282" i="5"/>
  <c r="CJ281" i="5"/>
  <c r="CJ280" i="5"/>
  <c r="CJ279" i="5"/>
  <c r="CJ278" i="5"/>
  <c r="CJ277" i="5"/>
  <c r="CJ276" i="5"/>
  <c r="CJ275" i="5"/>
  <c r="CJ274" i="5"/>
  <c r="CJ273" i="5"/>
  <c r="CJ272" i="5"/>
  <c r="CJ271" i="5"/>
  <c r="CJ270" i="5"/>
  <c r="CJ269" i="5"/>
  <c r="CJ268" i="5"/>
  <c r="CJ267" i="5"/>
  <c r="CJ266" i="5"/>
  <c r="CJ265" i="5"/>
  <c r="CJ264" i="5"/>
  <c r="CJ263" i="5"/>
  <c r="CJ262" i="5"/>
  <c r="CJ261" i="5"/>
  <c r="CJ260" i="5"/>
  <c r="CJ259" i="5"/>
  <c r="CJ258" i="5"/>
  <c r="CJ257" i="5"/>
  <c r="CJ256" i="5"/>
  <c r="CJ255" i="5"/>
  <c r="CJ254" i="5"/>
  <c r="CJ253" i="5"/>
  <c r="CJ252" i="5"/>
  <c r="CJ251" i="5"/>
  <c r="CJ250" i="5"/>
  <c r="CJ249" i="5"/>
  <c r="CJ248" i="5"/>
  <c r="CJ247" i="5"/>
  <c r="CJ246" i="5"/>
  <c r="CJ245" i="5"/>
  <c r="CJ244" i="5"/>
  <c r="CJ243" i="5"/>
  <c r="CJ242" i="5"/>
  <c r="CJ241" i="5"/>
  <c r="CJ240" i="5"/>
  <c r="CJ239" i="5"/>
  <c r="CJ238" i="5"/>
  <c r="CJ237" i="5"/>
  <c r="CJ236" i="5"/>
  <c r="CJ235" i="5"/>
  <c r="CJ234" i="5"/>
  <c r="CJ233" i="5"/>
  <c r="CJ232" i="5"/>
  <c r="CJ231" i="5"/>
  <c r="CJ230" i="5"/>
  <c r="CJ229" i="5"/>
  <c r="CJ228" i="5"/>
  <c r="CJ227" i="5"/>
  <c r="CJ226" i="5"/>
  <c r="CJ225" i="5"/>
  <c r="CJ224" i="5"/>
  <c r="CJ223" i="5"/>
  <c r="CJ222" i="5"/>
  <c r="CJ221" i="5"/>
  <c r="CJ220" i="5"/>
  <c r="CJ219" i="5"/>
  <c r="CJ218" i="5"/>
  <c r="CJ217" i="5"/>
  <c r="CJ216" i="5"/>
  <c r="CJ215" i="5"/>
  <c r="CJ214" i="5"/>
  <c r="CJ213" i="5"/>
  <c r="CJ212" i="5"/>
  <c r="CJ211" i="5"/>
  <c r="CJ210" i="5"/>
  <c r="CJ209" i="5"/>
  <c r="CJ208" i="5"/>
  <c r="CJ207" i="5"/>
  <c r="CJ206" i="5"/>
  <c r="CJ205" i="5"/>
  <c r="CJ204" i="5"/>
  <c r="CJ203" i="5"/>
  <c r="CJ202" i="5"/>
  <c r="CJ201" i="5"/>
  <c r="CJ200" i="5"/>
  <c r="CJ199" i="5"/>
  <c r="CJ198" i="5"/>
  <c r="CJ197" i="5"/>
  <c r="CJ196" i="5"/>
  <c r="CJ195" i="5"/>
  <c r="CJ194" i="5"/>
  <c r="CJ193" i="5"/>
  <c r="CJ192" i="5"/>
  <c r="CJ191" i="5"/>
  <c r="CJ190" i="5"/>
  <c r="CJ189" i="5"/>
  <c r="CJ188" i="5"/>
  <c r="CJ187" i="5"/>
  <c r="CJ186" i="5"/>
  <c r="CJ185" i="5"/>
  <c r="CJ184" i="5"/>
  <c r="CJ183" i="5"/>
  <c r="CJ182" i="5"/>
  <c r="CY2" i="5"/>
  <c r="CU2" i="5"/>
  <c r="CS2" i="5"/>
  <c r="CR2" i="5"/>
  <c r="CQ2" i="5"/>
  <c r="CP2" i="5"/>
  <c r="CN2" i="5"/>
  <c r="CM2" i="5"/>
  <c r="CL2" i="5"/>
  <c r="CI2" i="5"/>
  <c r="CH2" i="5"/>
  <c r="CG2" i="5"/>
  <c r="CX160" i="5"/>
  <c r="CX159" i="5"/>
  <c r="CX156" i="5"/>
  <c r="CX148" i="5"/>
  <c r="CX147" i="5"/>
  <c r="CX141" i="5"/>
  <c r="CX136" i="5"/>
  <c r="CX135" i="5"/>
  <c r="CX129" i="5"/>
  <c r="CX123" i="5"/>
  <c r="CX298" i="5" s="1"/>
  <c r="CX117" i="5"/>
  <c r="CX112" i="5"/>
  <c r="CX111" i="5"/>
  <c r="CX286" i="5" s="1"/>
  <c r="CX108" i="5"/>
  <c r="CX105" i="5"/>
  <c r="CX100" i="5"/>
  <c r="CX99" i="5"/>
  <c r="CX96" i="5"/>
  <c r="CX93" i="5"/>
  <c r="CX88" i="5"/>
  <c r="CX87" i="5"/>
  <c r="CX84" i="5"/>
  <c r="CX81" i="5"/>
  <c r="CX76" i="5"/>
  <c r="CX75" i="5"/>
  <c r="CX72" i="5"/>
  <c r="CX69" i="5"/>
  <c r="CX64" i="5"/>
  <c r="CX63" i="5"/>
  <c r="CX238" i="5" s="1"/>
  <c r="CX60" i="5"/>
  <c r="CX57" i="5"/>
  <c r="CX52" i="5"/>
  <c r="CX51" i="5"/>
  <c r="CX226" i="5" s="1"/>
  <c r="CK103" i="5"/>
  <c r="CK102" i="5"/>
  <c r="CK101" i="5"/>
  <c r="CK100" i="5"/>
  <c r="CK99" i="5"/>
  <c r="CK98" i="5"/>
  <c r="CK97" i="5"/>
  <c r="CK96" i="5"/>
  <c r="CK95" i="5"/>
  <c r="CK94" i="5"/>
  <c r="CK93" i="5"/>
  <c r="CK92" i="5"/>
  <c r="CK91" i="5"/>
  <c r="CK90" i="5"/>
  <c r="CK89" i="5"/>
  <c r="CK88" i="5"/>
  <c r="CK87" i="5"/>
  <c r="CK86" i="5"/>
  <c r="CK2" i="5" s="1"/>
  <c r="CK85" i="5"/>
  <c r="CK104" i="5"/>
  <c r="CW60" i="5"/>
  <c r="CX235" i="5" s="1"/>
  <c r="CW59" i="5"/>
  <c r="CW58" i="5"/>
  <c r="CW122" i="5"/>
  <c r="CX122" i="5" s="1"/>
  <c r="CX297" i="5" s="1"/>
  <c r="CW121" i="5"/>
  <c r="CW120" i="5"/>
  <c r="CW126" i="5"/>
  <c r="CW125" i="5"/>
  <c r="CW154" i="5"/>
  <c r="CW153" i="5"/>
  <c r="CW161" i="5"/>
  <c r="CW160" i="5"/>
  <c r="CX335" i="5" s="1"/>
  <c r="CW159" i="5"/>
  <c r="CX334" i="5" s="1"/>
  <c r="CW158" i="5"/>
  <c r="CX158" i="5" s="1"/>
  <c r="CX333" i="5" s="1"/>
  <c r="CW157" i="5"/>
  <c r="CW156" i="5"/>
  <c r="CX331" i="5" s="1"/>
  <c r="CW152" i="5"/>
  <c r="CW151" i="5"/>
  <c r="CW150" i="5"/>
  <c r="CW149" i="5"/>
  <c r="CW148" i="5"/>
  <c r="CX323" i="5" s="1"/>
  <c r="CW147" i="5"/>
  <c r="CX322" i="5" s="1"/>
  <c r="CW146" i="5"/>
  <c r="CX146" i="5" s="1"/>
  <c r="CX321" i="5" s="1"/>
  <c r="CW145" i="5"/>
  <c r="CW144" i="5"/>
  <c r="CW143" i="5"/>
  <c r="CW142" i="5"/>
  <c r="CW141" i="5"/>
  <c r="CX316" i="5" s="1"/>
  <c r="CW140" i="5"/>
  <c r="CW139" i="5"/>
  <c r="CW138" i="5"/>
  <c r="CW137" i="5"/>
  <c r="CW136" i="5"/>
  <c r="CX311" i="5" s="1"/>
  <c r="CW135" i="5"/>
  <c r="CX310" i="5" s="1"/>
  <c r="CW134" i="5"/>
  <c r="CX134" i="5" s="1"/>
  <c r="CX309" i="5" s="1"/>
  <c r="CW133" i="5"/>
  <c r="CW132" i="5"/>
  <c r="CW131" i="5"/>
  <c r="CW130" i="5"/>
  <c r="CW129" i="5"/>
  <c r="CX304" i="5" s="1"/>
  <c r="CW128" i="5"/>
  <c r="CW127" i="5"/>
  <c r="CW124" i="5"/>
  <c r="CX124" i="5" s="1"/>
  <c r="CW123" i="5"/>
  <c r="CW119" i="5"/>
  <c r="CW118" i="5"/>
  <c r="CW117" i="5"/>
  <c r="CX292" i="5" s="1"/>
  <c r="CW116" i="5"/>
  <c r="CW115" i="5"/>
  <c r="CW114" i="5"/>
  <c r="CW113" i="5"/>
  <c r="CW112" i="5"/>
  <c r="CX287" i="5" s="1"/>
  <c r="CW111" i="5"/>
  <c r="CW110" i="5"/>
  <c r="CX110" i="5" s="1"/>
  <c r="CX285" i="5" s="1"/>
  <c r="CW109" i="5"/>
  <c r="CW108" i="5"/>
  <c r="CX283" i="5" s="1"/>
  <c r="CW107" i="5"/>
  <c r="CW106" i="5"/>
  <c r="CW73" i="5"/>
  <c r="CW72" i="5"/>
  <c r="CX247" i="5" s="1"/>
  <c r="CW71" i="5"/>
  <c r="CW70" i="5"/>
  <c r="CW69" i="5"/>
  <c r="CX244" i="5" s="1"/>
  <c r="CW68" i="5"/>
  <c r="CW67" i="5"/>
  <c r="CW66" i="5"/>
  <c r="CW65" i="5"/>
  <c r="CW64" i="5"/>
  <c r="CX239" i="5" s="1"/>
  <c r="CW63" i="5"/>
  <c r="CW62" i="5"/>
  <c r="CX62" i="5" s="1"/>
  <c r="CX237" i="5" s="1"/>
  <c r="CW61" i="5"/>
  <c r="CW57" i="5"/>
  <c r="CX232" i="5" s="1"/>
  <c r="CW56" i="5"/>
  <c r="CW55" i="5"/>
  <c r="CW54" i="5"/>
  <c r="CW53" i="5"/>
  <c r="CW52" i="5"/>
  <c r="CX227" i="5" s="1"/>
  <c r="CW49" i="5"/>
  <c r="CW48" i="5"/>
  <c r="CW47" i="5"/>
  <c r="CW46" i="5"/>
  <c r="CW45" i="5"/>
  <c r="CX45" i="5" s="1"/>
  <c r="CW155" i="5"/>
  <c r="CW105" i="5"/>
  <c r="CX280" i="5" s="1"/>
  <c r="CW104" i="5"/>
  <c r="CW103" i="5"/>
  <c r="CW102" i="5"/>
  <c r="CW101" i="5"/>
  <c r="CW100" i="5"/>
  <c r="CX275" i="5" s="1"/>
  <c r="CW99" i="5"/>
  <c r="CX274" i="5" s="1"/>
  <c r="CW98" i="5"/>
  <c r="CX98" i="5" s="1"/>
  <c r="CW97" i="5"/>
  <c r="CW96" i="5"/>
  <c r="CX271" i="5" s="1"/>
  <c r="CW95" i="5"/>
  <c r="CW94" i="5"/>
  <c r="CW93" i="5"/>
  <c r="CX268" i="5" s="1"/>
  <c r="CW92" i="5"/>
  <c r="CW91" i="5"/>
  <c r="CW90" i="5"/>
  <c r="CW89" i="5"/>
  <c r="CW88" i="5"/>
  <c r="CX263" i="5" s="1"/>
  <c r="CW87" i="5"/>
  <c r="CX262" i="5" s="1"/>
  <c r="CW86" i="5"/>
  <c r="CX86" i="5" s="1"/>
  <c r="CW85" i="5"/>
  <c r="CW84" i="5"/>
  <c r="CX259" i="5" s="1"/>
  <c r="CW83" i="5"/>
  <c r="CW82" i="5"/>
  <c r="CW81" i="5"/>
  <c r="CX256" i="5" s="1"/>
  <c r="CW80" i="5"/>
  <c r="CW79" i="5"/>
  <c r="CW78" i="5"/>
  <c r="CW77" i="5"/>
  <c r="CW76" i="5"/>
  <c r="CX251" i="5" s="1"/>
  <c r="CW75" i="5"/>
  <c r="CX250" i="5" s="1"/>
  <c r="CW74" i="5"/>
  <c r="CX74" i="5" s="1"/>
  <c r="CW51" i="5"/>
  <c r="CW50" i="5"/>
  <c r="CX50" i="5" s="1"/>
  <c r="CX225" i="5" s="1"/>
  <c r="CW44" i="5"/>
  <c r="CW43" i="5"/>
  <c r="CW42" i="5"/>
  <c r="CE2" i="5"/>
  <c r="CC2" i="5"/>
  <c r="CB2" i="5"/>
  <c r="CA2" i="5"/>
  <c r="BZ2" i="5"/>
  <c r="BY2" i="5"/>
  <c r="BX2" i="5"/>
  <c r="BW2" i="5"/>
  <c r="BV2" i="5"/>
  <c r="BU2" i="5"/>
  <c r="CX289" i="5" l="1"/>
  <c r="CX307" i="5"/>
  <c r="CX319" i="5"/>
  <c r="CX277" i="5"/>
  <c r="CX332" i="5"/>
  <c r="CX306" i="5"/>
  <c r="CX230" i="5"/>
  <c r="CX236" i="5"/>
  <c r="CX248" i="5"/>
  <c r="CX219" i="5"/>
  <c r="CX229" i="5"/>
  <c r="CX245" i="5"/>
  <c r="CX282" i="5"/>
  <c r="CX260" i="5"/>
  <c r="CX222" i="5"/>
  <c r="CX240" i="5"/>
  <c r="CX284" i="5"/>
  <c r="CX325" i="5"/>
  <c r="CX218" i="5"/>
  <c r="CX224" i="5"/>
  <c r="CX241" i="5"/>
  <c r="CX302" i="5"/>
  <c r="CX303" i="5"/>
  <c r="CX295" i="5"/>
  <c r="CX252" i="5"/>
  <c r="CX264" i="5"/>
  <c r="CX228" i="5"/>
  <c r="CX53" i="5"/>
  <c r="CX65" i="5"/>
  <c r="CX77" i="5"/>
  <c r="CX89" i="5"/>
  <c r="CX101" i="5"/>
  <c r="CX276" i="5" s="1"/>
  <c r="CX113" i="5"/>
  <c r="CX288" i="5" s="1"/>
  <c r="CX125" i="5"/>
  <c r="CX300" i="5" s="1"/>
  <c r="CX137" i="5"/>
  <c r="CX312" i="5" s="1"/>
  <c r="CX149" i="5"/>
  <c r="CX324" i="5" s="1"/>
  <c r="CX161" i="5"/>
  <c r="CX336" i="5" s="1"/>
  <c r="CX299" i="5"/>
  <c r="CX42" i="5"/>
  <c r="CX217" i="5" s="1"/>
  <c r="CX54" i="5"/>
  <c r="CX66" i="5"/>
  <c r="CX78" i="5"/>
  <c r="CX253" i="5" s="1"/>
  <c r="CX90" i="5"/>
  <c r="CX265" i="5" s="1"/>
  <c r="CX102" i="5"/>
  <c r="CX114" i="5"/>
  <c r="CX126" i="5"/>
  <c r="CX301" i="5" s="1"/>
  <c r="CX138" i="5"/>
  <c r="CX313" i="5" s="1"/>
  <c r="CX150" i="5"/>
  <c r="CW2" i="5"/>
  <c r="CX249" i="5"/>
  <c r="CX43" i="5"/>
  <c r="CX55" i="5"/>
  <c r="CX67" i="5"/>
  <c r="CX242" i="5" s="1"/>
  <c r="CX79" i="5"/>
  <c r="CX254" i="5" s="1"/>
  <c r="CX91" i="5"/>
  <c r="CX266" i="5" s="1"/>
  <c r="CX103" i="5"/>
  <c r="CX278" i="5" s="1"/>
  <c r="CX115" i="5"/>
  <c r="CX290" i="5" s="1"/>
  <c r="CX127" i="5"/>
  <c r="CX139" i="5"/>
  <c r="CX314" i="5" s="1"/>
  <c r="CX151" i="5"/>
  <c r="CX326" i="5" s="1"/>
  <c r="CX44" i="5"/>
  <c r="CX56" i="5"/>
  <c r="CX231" i="5" s="1"/>
  <c r="CX68" i="5"/>
  <c r="CX243" i="5" s="1"/>
  <c r="CX80" i="5"/>
  <c r="CX255" i="5" s="1"/>
  <c r="CX92" i="5"/>
  <c r="CX267" i="5" s="1"/>
  <c r="CX104" i="5"/>
  <c r="CX279" i="5" s="1"/>
  <c r="CX116" i="5"/>
  <c r="CX291" i="5" s="1"/>
  <c r="CX128" i="5"/>
  <c r="CX140" i="5"/>
  <c r="CX315" i="5" s="1"/>
  <c r="CX152" i="5"/>
  <c r="CX327" i="5" s="1"/>
  <c r="CJ181" i="5"/>
  <c r="CJ2" i="5" s="1"/>
  <c r="CO181" i="5"/>
  <c r="CO2" i="5" s="1"/>
  <c r="CT181" i="5"/>
  <c r="CT2" i="5" s="1"/>
  <c r="CX261" i="5"/>
  <c r="CX153" i="5"/>
  <c r="CX328" i="5" s="1"/>
  <c r="CX46" i="5"/>
  <c r="CX221" i="5" s="1"/>
  <c r="CX58" i="5"/>
  <c r="CX233" i="5" s="1"/>
  <c r="CX70" i="5"/>
  <c r="CX82" i="5"/>
  <c r="CX257" i="5" s="1"/>
  <c r="CX94" i="5"/>
  <c r="CX269" i="5" s="1"/>
  <c r="CX106" i="5"/>
  <c r="CX281" i="5" s="1"/>
  <c r="CX118" i="5"/>
  <c r="CX293" i="5" s="1"/>
  <c r="CX130" i="5"/>
  <c r="CX305" i="5" s="1"/>
  <c r="CX142" i="5"/>
  <c r="CX317" i="5" s="1"/>
  <c r="CX154" i="5"/>
  <c r="CX329" i="5" s="1"/>
  <c r="CX220" i="5"/>
  <c r="CX47" i="5"/>
  <c r="CX59" i="5"/>
  <c r="CX234" i="5" s="1"/>
  <c r="CX71" i="5"/>
  <c r="CX246" i="5" s="1"/>
  <c r="CX83" i="5"/>
  <c r="CX258" i="5" s="1"/>
  <c r="CX95" i="5"/>
  <c r="CX270" i="5" s="1"/>
  <c r="CX107" i="5"/>
  <c r="CX119" i="5"/>
  <c r="CX294" i="5" s="1"/>
  <c r="CX131" i="5"/>
  <c r="CX143" i="5"/>
  <c r="CX318" i="5" s="1"/>
  <c r="CX155" i="5"/>
  <c r="CX330" i="5" s="1"/>
  <c r="CX273" i="5"/>
  <c r="CX48" i="5"/>
  <c r="CX223" i="5" s="1"/>
  <c r="CX120" i="5"/>
  <c r="CX132" i="5"/>
  <c r="CX144" i="5"/>
  <c r="CX49" i="5"/>
  <c r="CX61" i="5"/>
  <c r="CX73" i="5"/>
  <c r="CX85" i="5"/>
  <c r="CX97" i="5"/>
  <c r="CX272" i="5" s="1"/>
  <c r="CX109" i="5"/>
  <c r="CX121" i="5"/>
  <c r="CX296" i="5" s="1"/>
  <c r="CX133" i="5"/>
  <c r="CX308" i="5" s="1"/>
  <c r="CX145" i="5"/>
  <c r="CX320" i="5" s="1"/>
  <c r="CX157" i="5"/>
  <c r="CX181" i="5" l="1"/>
  <c r="CX2" i="5" s="1"/>
  <c r="BS2" i="5"/>
  <c r="BL2" i="5"/>
  <c r="BJ2" i="5"/>
  <c r="BP2" i="5"/>
  <c r="BO2" i="5"/>
  <c r="BN2" i="5"/>
  <c r="BM2" i="5"/>
  <c r="BK2" i="5"/>
  <c r="BI2" i="5"/>
  <c r="BH2" i="5"/>
  <c r="BG2" i="5"/>
  <c r="BF2" i="5"/>
  <c r="BE2" i="5"/>
  <c r="BD2" i="5"/>
  <c r="BB2" i="5"/>
  <c r="AZ2" i="5"/>
  <c r="BA349" i="5"/>
  <c r="BA348" i="5"/>
  <c r="BA347" i="5"/>
  <c r="BA346" i="5"/>
  <c r="BA345" i="5"/>
  <c r="BA344" i="5"/>
  <c r="BA343" i="5"/>
  <c r="BA342" i="5"/>
  <c r="BA341" i="5"/>
  <c r="BA340" i="5"/>
  <c r="BA339" i="5"/>
  <c r="BA338" i="5"/>
  <c r="BA337" i="5"/>
  <c r="BA336" i="5"/>
  <c r="BA335" i="5"/>
  <c r="BA334" i="5"/>
  <c r="BA333" i="5"/>
  <c r="BA332" i="5"/>
  <c r="BA331" i="5"/>
  <c r="BA330" i="5"/>
  <c r="BA329"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303" i="5"/>
  <c r="BA302" i="5"/>
  <c r="BA301" i="5"/>
  <c r="BA300" i="5"/>
  <c r="BA299" i="5"/>
  <c r="BA298" i="5"/>
  <c r="BA297" i="5"/>
  <c r="BA296" i="5"/>
  <c r="BA295" i="5"/>
  <c r="BA294" i="5"/>
  <c r="BA293" i="5"/>
  <c r="BA292" i="5"/>
  <c r="BA291" i="5"/>
  <c r="BA290" i="5"/>
  <c r="BA289" i="5"/>
  <c r="BA288" i="5"/>
  <c r="BA287" i="5"/>
  <c r="BA286" i="5"/>
  <c r="BA285" i="5"/>
  <c r="BA284" i="5"/>
  <c r="BA283" i="5"/>
  <c r="BA282" i="5"/>
  <c r="BA281" i="5"/>
  <c r="BA280" i="5"/>
  <c r="BA279" i="5"/>
  <c r="BA278" i="5"/>
  <c r="BA277" i="5"/>
  <c r="BA276" i="5"/>
  <c r="BA275" i="5"/>
  <c r="BA274" i="5"/>
  <c r="BA273" i="5"/>
  <c r="BA272" i="5"/>
  <c r="BA271" i="5"/>
  <c r="BA270" i="5"/>
  <c r="BA269" i="5"/>
  <c r="BA268" i="5"/>
  <c r="BA267" i="5"/>
  <c r="BA266" i="5"/>
  <c r="BA265" i="5"/>
  <c r="BA264" i="5"/>
  <c r="BA263" i="5"/>
  <c r="BA262" i="5"/>
  <c r="BA261" i="5"/>
  <c r="BA260" i="5"/>
  <c r="BA259" i="5"/>
  <c r="BA258" i="5"/>
  <c r="BA257" i="5"/>
  <c r="BA256" i="5"/>
  <c r="BA255" i="5"/>
  <c r="BA254" i="5"/>
  <c r="BA253" i="5"/>
  <c r="BA252" i="5"/>
  <c r="BA251" i="5"/>
  <c r="BA250" i="5"/>
  <c r="BA249" i="5"/>
  <c r="BA248" i="5"/>
  <c r="BA247" i="5"/>
  <c r="BA246" i="5"/>
  <c r="BA245" i="5"/>
  <c r="BA244" i="5"/>
  <c r="BA243" i="5"/>
  <c r="BA242" i="5"/>
  <c r="BA241" i="5"/>
  <c r="BA240" i="5"/>
  <c r="BA239" i="5"/>
  <c r="BA238" i="5"/>
  <c r="BA237" i="5"/>
  <c r="BA236" i="5"/>
  <c r="BA235" i="5"/>
  <c r="BA234" i="5"/>
  <c r="BA233" i="5"/>
  <c r="BA232" i="5"/>
  <c r="BA231" i="5"/>
  <c r="BA230" i="5"/>
  <c r="BA229" i="5"/>
  <c r="BA228" i="5"/>
  <c r="BA227" i="5"/>
  <c r="BA226" i="5"/>
  <c r="BA225" i="5"/>
  <c r="BA224" i="5"/>
  <c r="BA223" i="5"/>
  <c r="BA222" i="5"/>
  <c r="BA221" i="5"/>
  <c r="BA220" i="5"/>
  <c r="BA219" i="5"/>
  <c r="BA218" i="5"/>
  <c r="BA217" i="5"/>
  <c r="BA216" i="5"/>
  <c r="BA215" i="5"/>
  <c r="BA214" i="5"/>
  <c r="BA213" i="5"/>
  <c r="BA212" i="5"/>
  <c r="BA211" i="5"/>
  <c r="BA210" i="5"/>
  <c r="BA209" i="5"/>
  <c r="BA208" i="5"/>
  <c r="BA207" i="5"/>
  <c r="BA206" i="5"/>
  <c r="BA205" i="5"/>
  <c r="BA204" i="5"/>
  <c r="BA203" i="5"/>
  <c r="BA201" i="5"/>
  <c r="BA200" i="5"/>
  <c r="BA199" i="5"/>
  <c r="BA198" i="5"/>
  <c r="BA197" i="5"/>
  <c r="BA196" i="5"/>
  <c r="BA195" i="5"/>
  <c r="BA194" i="5"/>
  <c r="BA193" i="5"/>
  <c r="BA192" i="5"/>
  <c r="BA191" i="5"/>
  <c r="BA190" i="5"/>
  <c r="BA189" i="5"/>
  <c r="BA188" i="5"/>
  <c r="BA187" i="5"/>
  <c r="BA186" i="5"/>
  <c r="BA185" i="5"/>
  <c r="BA184" i="5"/>
  <c r="BA183" i="5"/>
  <c r="BA182" i="5"/>
  <c r="BA27" i="5"/>
  <c r="BA202" i="5" s="1"/>
  <c r="BA181" i="5" l="1"/>
  <c r="BA2" i="5" s="1"/>
  <c r="AV157" i="5" l="1"/>
  <c r="AV156" i="5"/>
  <c r="AV155" i="5"/>
  <c r="AV152" i="5"/>
  <c r="B2" i="5" l="1"/>
  <c r="D2" i="5"/>
  <c r="F2" i="5"/>
  <c r="H2" i="5"/>
  <c r="J2" i="5"/>
  <c r="L2" i="5"/>
  <c r="N2" i="5"/>
  <c r="P2" i="5"/>
  <c r="R2" i="5"/>
  <c r="T2" i="5"/>
  <c r="V2" i="5"/>
  <c r="X2" i="5"/>
  <c r="Z2" i="5"/>
  <c r="AB2" i="5"/>
  <c r="AD2" i="5"/>
  <c r="AF2" i="5"/>
  <c r="AH2" i="5"/>
  <c r="AJ2" i="5"/>
  <c r="AL2" i="5"/>
  <c r="AN2" i="5"/>
  <c r="AP2" i="5"/>
  <c r="AR2" i="5"/>
  <c r="AW349" i="5"/>
  <c r="AW348" i="5"/>
  <c r="AW347" i="5"/>
  <c r="AW346" i="5"/>
  <c r="AW345" i="5"/>
  <c r="AW344" i="5"/>
  <c r="AW343" i="5"/>
  <c r="AW342" i="5"/>
  <c r="AW341" i="5"/>
  <c r="AW340" i="5"/>
  <c r="AW339" i="5"/>
  <c r="AW338" i="5"/>
  <c r="AW337" i="5"/>
  <c r="AW336" i="5"/>
  <c r="AW335" i="5"/>
  <c r="AW334" i="5"/>
  <c r="AW333" i="5"/>
  <c r="AW332" i="5"/>
  <c r="AW331" i="5"/>
  <c r="AW330" i="5"/>
  <c r="AW329" i="5"/>
  <c r="AW328" i="5"/>
  <c r="AW327" i="5"/>
  <c r="AW326" i="5"/>
  <c r="AW325" i="5"/>
  <c r="AW324" i="5"/>
  <c r="AW323" i="5"/>
  <c r="AW322" i="5"/>
  <c r="AW321" i="5"/>
  <c r="AW320" i="5"/>
  <c r="AW319" i="5"/>
  <c r="AW318" i="5"/>
  <c r="AW317" i="5"/>
  <c r="AW316" i="5"/>
  <c r="AW315" i="5"/>
  <c r="AW314" i="5"/>
  <c r="AW313" i="5"/>
  <c r="AW312" i="5"/>
  <c r="AW311" i="5"/>
  <c r="AW310" i="5"/>
  <c r="AW309" i="5"/>
  <c r="AW308" i="5"/>
  <c r="AW307" i="5"/>
  <c r="AW306" i="5"/>
  <c r="AW305" i="5"/>
  <c r="AW304" i="5"/>
  <c r="AW303" i="5"/>
  <c r="AW302" i="5"/>
  <c r="AW301" i="5"/>
  <c r="AW300" i="5"/>
  <c r="AW299" i="5"/>
  <c r="AW298" i="5"/>
  <c r="AW297" i="5"/>
  <c r="AW199" i="5"/>
  <c r="AW198" i="5"/>
  <c r="AW197" i="5"/>
  <c r="AW196" i="5"/>
  <c r="AW195" i="5"/>
  <c r="AW194" i="5"/>
  <c r="AW193" i="5"/>
  <c r="AW192" i="5"/>
  <c r="AW191" i="5"/>
  <c r="AW190" i="5"/>
  <c r="AW189" i="5"/>
  <c r="AW188" i="5"/>
  <c r="AW187" i="5"/>
  <c r="AW186" i="5"/>
  <c r="AW185" i="5"/>
  <c r="AW184" i="5"/>
  <c r="AW183" i="5"/>
  <c r="AW182" i="5"/>
  <c r="AW74" i="5"/>
  <c r="AW69" i="5"/>
  <c r="AV82" i="5"/>
  <c r="AV81" i="5"/>
  <c r="AV80" i="5"/>
  <c r="AV79" i="5"/>
  <c r="AV78" i="5"/>
  <c r="AV77" i="5"/>
  <c r="AW77" i="5" s="1"/>
  <c r="AV76" i="5"/>
  <c r="AW76" i="5" s="1"/>
  <c r="AV75" i="5"/>
  <c r="AW75" i="5" s="1"/>
  <c r="AV74" i="5"/>
  <c r="AV73" i="5"/>
  <c r="AW73" i="5" s="1"/>
  <c r="AV72" i="5"/>
  <c r="AW72" i="5" s="1"/>
  <c r="AV71" i="5"/>
  <c r="AW71" i="5" s="1"/>
  <c r="AW246" i="5" s="1"/>
  <c r="AV70" i="5"/>
  <c r="AV69" i="5"/>
  <c r="AV68" i="5"/>
  <c r="AV67" i="5"/>
  <c r="AV66" i="5"/>
  <c r="AV65" i="5"/>
  <c r="AW65" i="5" s="1"/>
  <c r="AV64" i="5"/>
  <c r="AW64" i="5" s="1"/>
  <c r="AV63" i="5"/>
  <c r="AW63" i="5" s="1"/>
  <c r="AV62" i="5"/>
  <c r="AW62" i="5" s="1"/>
  <c r="AV61" i="5"/>
  <c r="AW61" i="5" s="1"/>
  <c r="AV60" i="5"/>
  <c r="AW60" i="5" s="1"/>
  <c r="AV59" i="5"/>
  <c r="AW59" i="5" s="1"/>
  <c r="AW234" i="5" s="1"/>
  <c r="AV58" i="5"/>
  <c r="AV57" i="5"/>
  <c r="AV56" i="5"/>
  <c r="AV55" i="5"/>
  <c r="AV54" i="5"/>
  <c r="AV53" i="5"/>
  <c r="AW53" i="5" s="1"/>
  <c r="AV52" i="5"/>
  <c r="AW52" i="5" s="1"/>
  <c r="AV51" i="5"/>
  <c r="AW51" i="5" s="1"/>
  <c r="AV50" i="5"/>
  <c r="AV49" i="5"/>
  <c r="AV48" i="5"/>
  <c r="AV47" i="5"/>
  <c r="AV46" i="5"/>
  <c r="AV45" i="5"/>
  <c r="AV44" i="5"/>
  <c r="AV43" i="5"/>
  <c r="AV42" i="5"/>
  <c r="AV41" i="5"/>
  <c r="AV40" i="5"/>
  <c r="AV39" i="5"/>
  <c r="AV38" i="5"/>
  <c r="AW38" i="5" s="1"/>
  <c r="AV37" i="5"/>
  <c r="AW37" i="5" s="1"/>
  <c r="AV36" i="5"/>
  <c r="AW36" i="5" s="1"/>
  <c r="AV35" i="5"/>
  <c r="AW35" i="5" s="1"/>
  <c r="AV34" i="5"/>
  <c r="AV33" i="5"/>
  <c r="AV32" i="5"/>
  <c r="AW32" i="5" s="1"/>
  <c r="AV31" i="5"/>
  <c r="AV30" i="5"/>
  <c r="AV29" i="5"/>
  <c r="AV28" i="5"/>
  <c r="AV27" i="5"/>
  <c r="AW27" i="5" s="1"/>
  <c r="AV26" i="5"/>
  <c r="AW26" i="5" s="1"/>
  <c r="AV83" i="5"/>
  <c r="AW83" i="5" s="1"/>
  <c r="AW258" i="5" s="1"/>
  <c r="AV84" i="5"/>
  <c r="AW84" i="5" s="1"/>
  <c r="AV98" i="5"/>
  <c r="AW98" i="5" s="1"/>
  <c r="AX98" i="5" s="1"/>
  <c r="AV97" i="5"/>
  <c r="AW97" i="5" s="1"/>
  <c r="AV96" i="5"/>
  <c r="AW96" i="5" s="1"/>
  <c r="AV95" i="5"/>
  <c r="AW95" i="5" s="1"/>
  <c r="AW270" i="5" s="1"/>
  <c r="AV94" i="5"/>
  <c r="AV93" i="5"/>
  <c r="AV92" i="5"/>
  <c r="AV91" i="5"/>
  <c r="AV90" i="5"/>
  <c r="AV89" i="5"/>
  <c r="AW89" i="5" s="1"/>
  <c r="AV88" i="5"/>
  <c r="AW88" i="5" s="1"/>
  <c r="AV87" i="5"/>
  <c r="AW87" i="5" s="1"/>
  <c r="AV86" i="5"/>
  <c r="AW86" i="5" s="1"/>
  <c r="AV116" i="5"/>
  <c r="AV115" i="5"/>
  <c r="AV114" i="5"/>
  <c r="AV113" i="5"/>
  <c r="AW113" i="5" s="1"/>
  <c r="AV112" i="5"/>
  <c r="AW112" i="5" s="1"/>
  <c r="AV111" i="5"/>
  <c r="AW111" i="5" s="1"/>
  <c r="AV110" i="5"/>
  <c r="AW110" i="5" s="1"/>
  <c r="AX110" i="5" s="1"/>
  <c r="AV109" i="5"/>
  <c r="AV108" i="5"/>
  <c r="AV107" i="5"/>
  <c r="AV106" i="5"/>
  <c r="AV105" i="5"/>
  <c r="AV104" i="5"/>
  <c r="AV103" i="5"/>
  <c r="AV102" i="5"/>
  <c r="AV101" i="5"/>
  <c r="AW101" i="5" s="1"/>
  <c r="AV100" i="5"/>
  <c r="AW100" i="5" s="1"/>
  <c r="AV99" i="5"/>
  <c r="AW99" i="5" s="1"/>
  <c r="AV85" i="5"/>
  <c r="AW85" i="5" s="1"/>
  <c r="AV121" i="5"/>
  <c r="AW121" i="5" s="1"/>
  <c r="AV120" i="5"/>
  <c r="AV119" i="5"/>
  <c r="AV118" i="5"/>
  <c r="AV117" i="5"/>
  <c r="AW34" i="5"/>
  <c r="AW33" i="5"/>
  <c r="AW31" i="5"/>
  <c r="AW29" i="5"/>
  <c r="AW28" i="5"/>
  <c r="AV25" i="5"/>
  <c r="AU349" i="5"/>
  <c r="AU348" i="5"/>
  <c r="AU347" i="5"/>
  <c r="AU346" i="5"/>
  <c r="AU345" i="5"/>
  <c r="AU344" i="5"/>
  <c r="AU343" i="5"/>
  <c r="AU342" i="5"/>
  <c r="AU341" i="5"/>
  <c r="AU340" i="5"/>
  <c r="AU339" i="5"/>
  <c r="AU338" i="5"/>
  <c r="AU337" i="5"/>
  <c r="AU336" i="5"/>
  <c r="AU335" i="5"/>
  <c r="AU334" i="5"/>
  <c r="AU333" i="5"/>
  <c r="AU332" i="5"/>
  <c r="AU331" i="5"/>
  <c r="AU330" i="5"/>
  <c r="AU329" i="5"/>
  <c r="AU328" i="5"/>
  <c r="AU327" i="5"/>
  <c r="AU326" i="5"/>
  <c r="AU325" i="5"/>
  <c r="AU324" i="5"/>
  <c r="AU323" i="5"/>
  <c r="AU322" i="5"/>
  <c r="AU321" i="5"/>
  <c r="AU320" i="5"/>
  <c r="AU319" i="5"/>
  <c r="AU318" i="5"/>
  <c r="AU317" i="5"/>
  <c r="AU316" i="5"/>
  <c r="AU315" i="5"/>
  <c r="AU314" i="5"/>
  <c r="AU313" i="5"/>
  <c r="AU312" i="5"/>
  <c r="AU311" i="5"/>
  <c r="AU310" i="5"/>
  <c r="AU309" i="5"/>
  <c r="AU308" i="5"/>
  <c r="AU307" i="5"/>
  <c r="AU306" i="5"/>
  <c r="AU305" i="5"/>
  <c r="AU304" i="5"/>
  <c r="AU303" i="5"/>
  <c r="AU302" i="5"/>
  <c r="AU301" i="5"/>
  <c r="AU300" i="5"/>
  <c r="AU299" i="5"/>
  <c r="AU298" i="5"/>
  <c r="AU297" i="5"/>
  <c r="AU296" i="5"/>
  <c r="AU295" i="5"/>
  <c r="AU294" i="5"/>
  <c r="AU293" i="5"/>
  <c r="AU292" i="5"/>
  <c r="AU291" i="5"/>
  <c r="AU290" i="5"/>
  <c r="AU289" i="5"/>
  <c r="AU288" i="5"/>
  <c r="AU287" i="5"/>
  <c r="AU286" i="5"/>
  <c r="AU285" i="5"/>
  <c r="AU284" i="5"/>
  <c r="AU283" i="5"/>
  <c r="AU282" i="5"/>
  <c r="AU281" i="5"/>
  <c r="AU280" i="5"/>
  <c r="AU279" i="5"/>
  <c r="AU278" i="5"/>
  <c r="AU277" i="5"/>
  <c r="AU276" i="5"/>
  <c r="AU275" i="5"/>
  <c r="AU274" i="5"/>
  <c r="AU273" i="5"/>
  <c r="AU272" i="5"/>
  <c r="AU271" i="5"/>
  <c r="AU270" i="5"/>
  <c r="AU269" i="5"/>
  <c r="AU268" i="5"/>
  <c r="AU267" i="5"/>
  <c r="AU266" i="5"/>
  <c r="AU265" i="5"/>
  <c r="AU264" i="5"/>
  <c r="AU263" i="5"/>
  <c r="AU262" i="5"/>
  <c r="AU261" i="5"/>
  <c r="AU260" i="5"/>
  <c r="AU259" i="5"/>
  <c r="AU258" i="5"/>
  <c r="AU257" i="5"/>
  <c r="AU256" i="5"/>
  <c r="AU255" i="5"/>
  <c r="AU254" i="5"/>
  <c r="AU253" i="5"/>
  <c r="AU252" i="5"/>
  <c r="AU251" i="5"/>
  <c r="AU250" i="5"/>
  <c r="AU249" i="5"/>
  <c r="AU248" i="5"/>
  <c r="AU247" i="5"/>
  <c r="AU246" i="5"/>
  <c r="AU245" i="5"/>
  <c r="AU244" i="5"/>
  <c r="AU243" i="5"/>
  <c r="AU242" i="5"/>
  <c r="AU241" i="5"/>
  <c r="AU240" i="5"/>
  <c r="AU239" i="5"/>
  <c r="AU238" i="5"/>
  <c r="AU237" i="5"/>
  <c r="AU236" i="5"/>
  <c r="AU235" i="5"/>
  <c r="AU234" i="5"/>
  <c r="AU233" i="5"/>
  <c r="AU232" i="5"/>
  <c r="AU231" i="5"/>
  <c r="AU230" i="5"/>
  <c r="AU229" i="5"/>
  <c r="AU228" i="5"/>
  <c r="AU227" i="5"/>
  <c r="AU226" i="5"/>
  <c r="AU225" i="5"/>
  <c r="AU224" i="5"/>
  <c r="AU223" i="5"/>
  <c r="AU222" i="5"/>
  <c r="AU221" i="5"/>
  <c r="AU220" i="5"/>
  <c r="AU219" i="5"/>
  <c r="AU218" i="5"/>
  <c r="AU217" i="5"/>
  <c r="AU216" i="5"/>
  <c r="AU215" i="5"/>
  <c r="AU214" i="5"/>
  <c r="AU213" i="5"/>
  <c r="AU212" i="5"/>
  <c r="AU211" i="5"/>
  <c r="AU210" i="5"/>
  <c r="AU209" i="5"/>
  <c r="AU208" i="5"/>
  <c r="AU207" i="5"/>
  <c r="AU206" i="5"/>
  <c r="AU205" i="5"/>
  <c r="AU204" i="5"/>
  <c r="AU203" i="5"/>
  <c r="AU202" i="5"/>
  <c r="AU201" i="5"/>
  <c r="AU200" i="5"/>
  <c r="AU199" i="5"/>
  <c r="AU198" i="5"/>
  <c r="AU197" i="5"/>
  <c r="AU196" i="5"/>
  <c r="AU195" i="5"/>
  <c r="AU194" i="5"/>
  <c r="AU193" i="5"/>
  <c r="AU192" i="5"/>
  <c r="AU191" i="5"/>
  <c r="AU190" i="5"/>
  <c r="AU189" i="5"/>
  <c r="AU188" i="5"/>
  <c r="AU187" i="5"/>
  <c r="AU186" i="5"/>
  <c r="AU185" i="5"/>
  <c r="AU184" i="5"/>
  <c r="AU183" i="5"/>
  <c r="AU182"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Q349" i="5"/>
  <c r="AQ348" i="5"/>
  <c r="AQ347" i="5"/>
  <c r="AQ346" i="5"/>
  <c r="AQ345" i="5"/>
  <c r="AQ344" i="5"/>
  <c r="AQ343" i="5"/>
  <c r="AQ342" i="5"/>
  <c r="AQ341" i="5"/>
  <c r="AQ340" i="5"/>
  <c r="AQ339" i="5"/>
  <c r="AQ338" i="5"/>
  <c r="AQ337" i="5"/>
  <c r="AQ336" i="5"/>
  <c r="AQ335" i="5"/>
  <c r="AQ334" i="5"/>
  <c r="AQ333" i="5"/>
  <c r="AQ332" i="5"/>
  <c r="AQ331" i="5"/>
  <c r="AQ330" i="5"/>
  <c r="AQ329" i="5"/>
  <c r="AQ328" i="5"/>
  <c r="AQ327" i="5"/>
  <c r="AQ326" i="5"/>
  <c r="AQ325" i="5"/>
  <c r="AQ324" i="5"/>
  <c r="AQ323" i="5"/>
  <c r="AQ322" i="5"/>
  <c r="AQ321" i="5"/>
  <c r="AQ320" i="5"/>
  <c r="AQ319" i="5"/>
  <c r="AQ318" i="5"/>
  <c r="AQ317" i="5"/>
  <c r="AQ316" i="5"/>
  <c r="AQ315" i="5"/>
  <c r="AQ314" i="5"/>
  <c r="AQ313" i="5"/>
  <c r="AQ312" i="5"/>
  <c r="AQ311" i="5"/>
  <c r="AQ310" i="5"/>
  <c r="AQ309" i="5"/>
  <c r="AQ308" i="5"/>
  <c r="AQ307" i="5"/>
  <c r="AQ306" i="5"/>
  <c r="AQ305" i="5"/>
  <c r="AQ304" i="5"/>
  <c r="AQ303" i="5"/>
  <c r="AQ302" i="5"/>
  <c r="AQ301" i="5"/>
  <c r="AQ300" i="5"/>
  <c r="AQ299" i="5"/>
  <c r="AQ298" i="5"/>
  <c r="AQ297" i="5"/>
  <c r="AQ296" i="5"/>
  <c r="AQ295" i="5"/>
  <c r="AQ294" i="5"/>
  <c r="AQ293" i="5"/>
  <c r="AQ292" i="5"/>
  <c r="AQ291" i="5"/>
  <c r="AQ290" i="5"/>
  <c r="AQ289" i="5"/>
  <c r="AQ288" i="5"/>
  <c r="AQ287" i="5"/>
  <c r="AQ286" i="5"/>
  <c r="AQ285" i="5"/>
  <c r="AQ284" i="5"/>
  <c r="AQ283" i="5"/>
  <c r="AQ282" i="5"/>
  <c r="AQ281" i="5"/>
  <c r="AQ280" i="5"/>
  <c r="AQ279" i="5"/>
  <c r="AQ278" i="5"/>
  <c r="AQ277" i="5"/>
  <c r="AQ276" i="5"/>
  <c r="AQ275" i="5"/>
  <c r="AQ274" i="5"/>
  <c r="AQ273" i="5"/>
  <c r="AQ272" i="5"/>
  <c r="AQ271" i="5"/>
  <c r="AQ270" i="5"/>
  <c r="AQ269" i="5"/>
  <c r="AQ268" i="5"/>
  <c r="AQ267" i="5"/>
  <c r="AQ266" i="5"/>
  <c r="AQ265" i="5"/>
  <c r="AQ264" i="5"/>
  <c r="AQ263" i="5"/>
  <c r="AQ262" i="5"/>
  <c r="AQ261" i="5"/>
  <c r="AQ260" i="5"/>
  <c r="AQ259" i="5"/>
  <c r="AQ258" i="5"/>
  <c r="AQ257" i="5"/>
  <c r="AQ256" i="5"/>
  <c r="AQ255" i="5"/>
  <c r="AQ254" i="5"/>
  <c r="AQ253" i="5"/>
  <c r="AQ252" i="5"/>
  <c r="AQ251" i="5"/>
  <c r="AQ250" i="5"/>
  <c r="AQ249" i="5"/>
  <c r="AQ248" i="5"/>
  <c r="AQ247" i="5"/>
  <c r="AQ246" i="5"/>
  <c r="AQ245" i="5"/>
  <c r="AQ244" i="5"/>
  <c r="AQ243" i="5"/>
  <c r="AQ242" i="5"/>
  <c r="AQ241" i="5"/>
  <c r="AQ240" i="5"/>
  <c r="AQ239" i="5"/>
  <c r="AQ238" i="5"/>
  <c r="AQ237" i="5"/>
  <c r="AQ236" i="5"/>
  <c r="AQ235" i="5"/>
  <c r="AQ234" i="5"/>
  <c r="AQ233" i="5"/>
  <c r="AQ232" i="5"/>
  <c r="AQ231" i="5"/>
  <c r="AQ230" i="5"/>
  <c r="AQ229" i="5"/>
  <c r="AQ228" i="5"/>
  <c r="AQ227" i="5"/>
  <c r="AQ226" i="5"/>
  <c r="AQ225" i="5"/>
  <c r="AQ224" i="5"/>
  <c r="AQ223" i="5"/>
  <c r="AQ222" i="5"/>
  <c r="AQ221" i="5"/>
  <c r="AQ220" i="5"/>
  <c r="AQ219" i="5"/>
  <c r="AQ218" i="5"/>
  <c r="AQ217" i="5"/>
  <c r="AQ216" i="5"/>
  <c r="AQ215" i="5"/>
  <c r="AQ214" i="5"/>
  <c r="AQ213" i="5"/>
  <c r="AQ212" i="5"/>
  <c r="AQ211" i="5"/>
  <c r="AQ210" i="5"/>
  <c r="AQ209" i="5"/>
  <c r="AQ208" i="5"/>
  <c r="AQ207" i="5"/>
  <c r="AQ206" i="5"/>
  <c r="AQ205" i="5"/>
  <c r="AQ204" i="5"/>
  <c r="AQ203" i="5"/>
  <c r="AQ202" i="5"/>
  <c r="AQ201" i="5"/>
  <c r="AQ200" i="5"/>
  <c r="AQ199" i="5"/>
  <c r="AQ198" i="5"/>
  <c r="AQ197" i="5"/>
  <c r="AQ196" i="5"/>
  <c r="AQ195" i="5"/>
  <c r="AQ194" i="5"/>
  <c r="AQ193" i="5"/>
  <c r="AQ192" i="5"/>
  <c r="AQ191" i="5"/>
  <c r="AQ190" i="5"/>
  <c r="AQ189" i="5"/>
  <c r="AQ188" i="5"/>
  <c r="AQ187" i="5"/>
  <c r="AQ186" i="5"/>
  <c r="AQ185" i="5"/>
  <c r="AQ184" i="5"/>
  <c r="AQ183" i="5"/>
  <c r="AQ182" i="5"/>
  <c r="AO349" i="5"/>
  <c r="AO348" i="5"/>
  <c r="AO347" i="5"/>
  <c r="AO346" i="5"/>
  <c r="AO345" i="5"/>
  <c r="AO344" i="5"/>
  <c r="AO343" i="5"/>
  <c r="AO342" i="5"/>
  <c r="AO341" i="5"/>
  <c r="AO340" i="5"/>
  <c r="AO339" i="5"/>
  <c r="AO338" i="5"/>
  <c r="AO337" i="5"/>
  <c r="AO336" i="5"/>
  <c r="AO335" i="5"/>
  <c r="AO334" i="5"/>
  <c r="AO333" i="5"/>
  <c r="AO332" i="5"/>
  <c r="AO331" i="5"/>
  <c r="AO330" i="5"/>
  <c r="AO329" i="5"/>
  <c r="AO328" i="5"/>
  <c r="AO327" i="5"/>
  <c r="AO326" i="5"/>
  <c r="AO325" i="5"/>
  <c r="AO324" i="5"/>
  <c r="AO323" i="5"/>
  <c r="AO322" i="5"/>
  <c r="AO321" i="5"/>
  <c r="AO320" i="5"/>
  <c r="AO319" i="5"/>
  <c r="AO318" i="5"/>
  <c r="AO317" i="5"/>
  <c r="AO316" i="5"/>
  <c r="AO315" i="5"/>
  <c r="AO314" i="5"/>
  <c r="AO313" i="5"/>
  <c r="AO312" i="5"/>
  <c r="AO311" i="5"/>
  <c r="AO310" i="5"/>
  <c r="AO309" i="5"/>
  <c r="AO308" i="5"/>
  <c r="AO307" i="5"/>
  <c r="AO306" i="5"/>
  <c r="AO305" i="5"/>
  <c r="AO304" i="5"/>
  <c r="AO303" i="5"/>
  <c r="AO302" i="5"/>
  <c r="AO301" i="5"/>
  <c r="AO300" i="5"/>
  <c r="AO299" i="5"/>
  <c r="AO298" i="5"/>
  <c r="AO297" i="5"/>
  <c r="AO296" i="5"/>
  <c r="AO295" i="5"/>
  <c r="AO294" i="5"/>
  <c r="AO293" i="5"/>
  <c r="AO292" i="5"/>
  <c r="AO291" i="5"/>
  <c r="AO290" i="5"/>
  <c r="AO289" i="5"/>
  <c r="AO288" i="5"/>
  <c r="AO287" i="5"/>
  <c r="AO286" i="5"/>
  <c r="AO285" i="5"/>
  <c r="AO284" i="5"/>
  <c r="AO283" i="5"/>
  <c r="AO282" i="5"/>
  <c r="AO281" i="5"/>
  <c r="AO280" i="5"/>
  <c r="AO279" i="5"/>
  <c r="AO278" i="5"/>
  <c r="AO277" i="5"/>
  <c r="AO276" i="5"/>
  <c r="AO275" i="5"/>
  <c r="AO274" i="5"/>
  <c r="AO273" i="5"/>
  <c r="AO272" i="5"/>
  <c r="AO271" i="5"/>
  <c r="AO270" i="5"/>
  <c r="AO269" i="5"/>
  <c r="AO268" i="5"/>
  <c r="AO267" i="5"/>
  <c r="AO266" i="5"/>
  <c r="AO265" i="5"/>
  <c r="AO264" i="5"/>
  <c r="AO263" i="5"/>
  <c r="AO262" i="5"/>
  <c r="AO261" i="5"/>
  <c r="AO260" i="5"/>
  <c r="AO259" i="5"/>
  <c r="AO258" i="5"/>
  <c r="AO257" i="5"/>
  <c r="AO256" i="5"/>
  <c r="AO255" i="5"/>
  <c r="AO254" i="5"/>
  <c r="AO253" i="5"/>
  <c r="AO252" i="5"/>
  <c r="AO251" i="5"/>
  <c r="AO250" i="5"/>
  <c r="AO249" i="5"/>
  <c r="AO248" i="5"/>
  <c r="AO247" i="5"/>
  <c r="AO246" i="5"/>
  <c r="AO245" i="5"/>
  <c r="AO244" i="5"/>
  <c r="AO243" i="5"/>
  <c r="AO242" i="5"/>
  <c r="AO241" i="5"/>
  <c r="AO240" i="5"/>
  <c r="AO239" i="5"/>
  <c r="AO238" i="5"/>
  <c r="AO237" i="5"/>
  <c r="AO236" i="5"/>
  <c r="AO235" i="5"/>
  <c r="AO234" i="5"/>
  <c r="AO233" i="5"/>
  <c r="AO232" i="5"/>
  <c r="AO231" i="5"/>
  <c r="AO230" i="5"/>
  <c r="AO229" i="5"/>
  <c r="AO228" i="5"/>
  <c r="AO227" i="5"/>
  <c r="AO226" i="5"/>
  <c r="AO225" i="5"/>
  <c r="AO224" i="5"/>
  <c r="AO223" i="5"/>
  <c r="AO222" i="5"/>
  <c r="AO221" i="5"/>
  <c r="AO220" i="5"/>
  <c r="AO219" i="5"/>
  <c r="AO218" i="5"/>
  <c r="AO217" i="5"/>
  <c r="AO216" i="5"/>
  <c r="AO215" i="5"/>
  <c r="AO214" i="5"/>
  <c r="AO213" i="5"/>
  <c r="AO212" i="5"/>
  <c r="AO211" i="5"/>
  <c r="AO210" i="5"/>
  <c r="AO209" i="5"/>
  <c r="AO208" i="5"/>
  <c r="AO207" i="5"/>
  <c r="AO206" i="5"/>
  <c r="AO205" i="5"/>
  <c r="AO204" i="5"/>
  <c r="AO203" i="5"/>
  <c r="AO202" i="5"/>
  <c r="AO201" i="5"/>
  <c r="AO200" i="5"/>
  <c r="AO199" i="5"/>
  <c r="AO198" i="5"/>
  <c r="AO197" i="5"/>
  <c r="AO196" i="5"/>
  <c r="AO195" i="5"/>
  <c r="AO194" i="5"/>
  <c r="AO193" i="5"/>
  <c r="AO192" i="5"/>
  <c r="AO191" i="5"/>
  <c r="AO190" i="5"/>
  <c r="AO189" i="5"/>
  <c r="AO188" i="5"/>
  <c r="AO187" i="5"/>
  <c r="AO186" i="5"/>
  <c r="AO185" i="5"/>
  <c r="AO184" i="5"/>
  <c r="AO183" i="5"/>
  <c r="AO182"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K349" i="5"/>
  <c r="AK348" i="5"/>
  <c r="AK347" i="5"/>
  <c r="AK346" i="5"/>
  <c r="AK345" i="5"/>
  <c r="AK344" i="5"/>
  <c r="AK343" i="5"/>
  <c r="AK342" i="5"/>
  <c r="AK341" i="5"/>
  <c r="AK340" i="5"/>
  <c r="AK339" i="5"/>
  <c r="AK338" i="5"/>
  <c r="AK337" i="5"/>
  <c r="AK336" i="5"/>
  <c r="AK335" i="5"/>
  <c r="AK334" i="5"/>
  <c r="AK333" i="5"/>
  <c r="AK332" i="5"/>
  <c r="AK331" i="5"/>
  <c r="AK330" i="5"/>
  <c r="AK329" i="5"/>
  <c r="AK328" i="5"/>
  <c r="AK327" i="5"/>
  <c r="AK326" i="5"/>
  <c r="AK325" i="5"/>
  <c r="AK324" i="5"/>
  <c r="AK323" i="5"/>
  <c r="AK322" i="5"/>
  <c r="AK321" i="5"/>
  <c r="AK320" i="5"/>
  <c r="AK319" i="5"/>
  <c r="AK318" i="5"/>
  <c r="AK317" i="5"/>
  <c r="AK316" i="5"/>
  <c r="AK315" i="5"/>
  <c r="AK314" i="5"/>
  <c r="AK313" i="5"/>
  <c r="AK312" i="5"/>
  <c r="AK311" i="5"/>
  <c r="AK310" i="5"/>
  <c r="AK309" i="5"/>
  <c r="AK308" i="5"/>
  <c r="AK307" i="5"/>
  <c r="AK306" i="5"/>
  <c r="AK305" i="5"/>
  <c r="AK304" i="5"/>
  <c r="AK303" i="5"/>
  <c r="AK302" i="5"/>
  <c r="AK301" i="5"/>
  <c r="AK300" i="5"/>
  <c r="AK299" i="5"/>
  <c r="AK298" i="5"/>
  <c r="AK297" i="5"/>
  <c r="AK296" i="5"/>
  <c r="AK295" i="5"/>
  <c r="AK294" i="5"/>
  <c r="AK293" i="5"/>
  <c r="AK292" i="5"/>
  <c r="AK291" i="5"/>
  <c r="AK290" i="5"/>
  <c r="AK289" i="5"/>
  <c r="AK288" i="5"/>
  <c r="AK287" i="5"/>
  <c r="AK286" i="5"/>
  <c r="AK285" i="5"/>
  <c r="AK284" i="5"/>
  <c r="AK283" i="5"/>
  <c r="AK282" i="5"/>
  <c r="AK281" i="5"/>
  <c r="AK280" i="5"/>
  <c r="AK279" i="5"/>
  <c r="AK278" i="5"/>
  <c r="AK277" i="5"/>
  <c r="AK276" i="5"/>
  <c r="AK275" i="5"/>
  <c r="AK274" i="5"/>
  <c r="AK273" i="5"/>
  <c r="AK272" i="5"/>
  <c r="AK271" i="5"/>
  <c r="AK270" i="5"/>
  <c r="AK269" i="5"/>
  <c r="AK268" i="5"/>
  <c r="AK267" i="5"/>
  <c r="AK266" i="5"/>
  <c r="AK265" i="5"/>
  <c r="AK264" i="5"/>
  <c r="AK263" i="5"/>
  <c r="AK262" i="5"/>
  <c r="AK261" i="5"/>
  <c r="AK260" i="5"/>
  <c r="AK259" i="5"/>
  <c r="AK258" i="5"/>
  <c r="AK257" i="5"/>
  <c r="AK256" i="5"/>
  <c r="AK255" i="5"/>
  <c r="AK254" i="5"/>
  <c r="AK253" i="5"/>
  <c r="AK252" i="5"/>
  <c r="AK251" i="5"/>
  <c r="AK250" i="5"/>
  <c r="AK249" i="5"/>
  <c r="AK248" i="5"/>
  <c r="AK247" i="5"/>
  <c r="AK246" i="5"/>
  <c r="AK245" i="5"/>
  <c r="AK244" i="5"/>
  <c r="AK243" i="5"/>
  <c r="AK242" i="5"/>
  <c r="AK241" i="5"/>
  <c r="AK240" i="5"/>
  <c r="AK239" i="5"/>
  <c r="AK238" i="5"/>
  <c r="AK237" i="5"/>
  <c r="AK236" i="5"/>
  <c r="AK235" i="5"/>
  <c r="AK234" i="5"/>
  <c r="AK233" i="5"/>
  <c r="AK232" i="5"/>
  <c r="AK231" i="5"/>
  <c r="AK230" i="5"/>
  <c r="AK229" i="5"/>
  <c r="AK228" i="5"/>
  <c r="AK227" i="5"/>
  <c r="AK226" i="5"/>
  <c r="AK225" i="5"/>
  <c r="AK224" i="5"/>
  <c r="AK223" i="5"/>
  <c r="AK222" i="5"/>
  <c r="AK221" i="5"/>
  <c r="AK220" i="5"/>
  <c r="AK219" i="5"/>
  <c r="AK218" i="5"/>
  <c r="AK217" i="5"/>
  <c r="AK216" i="5"/>
  <c r="AK215" i="5"/>
  <c r="AK214" i="5"/>
  <c r="AK213" i="5"/>
  <c r="AK212" i="5"/>
  <c r="AK211" i="5"/>
  <c r="AK210" i="5"/>
  <c r="AK209" i="5"/>
  <c r="AK208" i="5"/>
  <c r="AK207" i="5"/>
  <c r="AK206" i="5"/>
  <c r="AK205" i="5"/>
  <c r="AK204" i="5"/>
  <c r="AK203" i="5"/>
  <c r="AK202" i="5"/>
  <c r="AK201" i="5"/>
  <c r="AK200" i="5"/>
  <c r="AK199" i="5"/>
  <c r="AK198" i="5"/>
  <c r="AK197" i="5"/>
  <c r="AK196" i="5"/>
  <c r="AK195" i="5"/>
  <c r="AK194" i="5"/>
  <c r="AK193" i="5"/>
  <c r="AK192" i="5"/>
  <c r="AK191" i="5"/>
  <c r="AK190" i="5"/>
  <c r="AK189" i="5"/>
  <c r="AK188" i="5"/>
  <c r="AK187" i="5"/>
  <c r="AK186" i="5"/>
  <c r="AK185" i="5"/>
  <c r="AK184" i="5"/>
  <c r="AK183" i="5"/>
  <c r="AK182" i="5"/>
  <c r="AI349" i="5"/>
  <c r="AI348" i="5"/>
  <c r="AI347" i="5"/>
  <c r="AI346" i="5"/>
  <c r="AI345" i="5"/>
  <c r="AI344" i="5"/>
  <c r="AI343" i="5"/>
  <c r="AI342" i="5"/>
  <c r="AI341" i="5"/>
  <c r="AI340" i="5"/>
  <c r="AI339" i="5"/>
  <c r="AI338" i="5"/>
  <c r="AI337" i="5"/>
  <c r="AI336" i="5"/>
  <c r="AI335" i="5"/>
  <c r="AI334" i="5"/>
  <c r="AI333" i="5"/>
  <c r="AI332" i="5"/>
  <c r="AI331" i="5"/>
  <c r="AI330" i="5"/>
  <c r="AI329" i="5"/>
  <c r="AI328" i="5"/>
  <c r="AI327" i="5"/>
  <c r="AI326" i="5"/>
  <c r="AI325" i="5"/>
  <c r="AI324" i="5"/>
  <c r="AI323" i="5"/>
  <c r="AI322" i="5"/>
  <c r="AI321" i="5"/>
  <c r="AI320" i="5"/>
  <c r="AI319" i="5"/>
  <c r="AI318" i="5"/>
  <c r="AI317" i="5"/>
  <c r="AI316" i="5"/>
  <c r="AI315" i="5"/>
  <c r="AI314" i="5"/>
  <c r="AI313" i="5"/>
  <c r="AI312" i="5"/>
  <c r="AI311" i="5"/>
  <c r="AI310" i="5"/>
  <c r="AI309" i="5"/>
  <c r="AI308" i="5"/>
  <c r="AI307" i="5"/>
  <c r="AI306" i="5"/>
  <c r="AI305" i="5"/>
  <c r="AI304" i="5"/>
  <c r="AI303" i="5"/>
  <c r="AI302" i="5"/>
  <c r="AI301" i="5"/>
  <c r="AI300" i="5"/>
  <c r="AI299" i="5"/>
  <c r="AI298" i="5"/>
  <c r="AI297" i="5"/>
  <c r="AI296" i="5"/>
  <c r="AI295" i="5"/>
  <c r="AI294" i="5"/>
  <c r="AI293" i="5"/>
  <c r="AI292" i="5"/>
  <c r="AI291" i="5"/>
  <c r="AI290" i="5"/>
  <c r="AI289" i="5"/>
  <c r="AI288" i="5"/>
  <c r="AI287" i="5"/>
  <c r="AI286" i="5"/>
  <c r="AI285" i="5"/>
  <c r="AI284" i="5"/>
  <c r="AI283" i="5"/>
  <c r="AI282" i="5"/>
  <c r="AI281" i="5"/>
  <c r="AI280" i="5"/>
  <c r="AI279" i="5"/>
  <c r="AI278" i="5"/>
  <c r="AI277" i="5"/>
  <c r="AI276" i="5"/>
  <c r="AI275" i="5"/>
  <c r="AI274" i="5"/>
  <c r="AI273" i="5"/>
  <c r="AI272" i="5"/>
  <c r="AI271" i="5"/>
  <c r="AI270" i="5"/>
  <c r="AI269" i="5"/>
  <c r="AI268" i="5"/>
  <c r="AI267" i="5"/>
  <c r="AI266" i="5"/>
  <c r="AI265" i="5"/>
  <c r="AI264" i="5"/>
  <c r="AI263" i="5"/>
  <c r="AI262" i="5"/>
  <c r="AI261" i="5"/>
  <c r="AI260" i="5"/>
  <c r="AI259" i="5"/>
  <c r="AI258" i="5"/>
  <c r="AI257" i="5"/>
  <c r="AI256" i="5"/>
  <c r="AI255" i="5"/>
  <c r="AI254" i="5"/>
  <c r="AI253" i="5"/>
  <c r="AI252" i="5"/>
  <c r="AI251" i="5"/>
  <c r="AI250" i="5"/>
  <c r="AI249" i="5"/>
  <c r="AI248" i="5"/>
  <c r="AI247" i="5"/>
  <c r="AI246" i="5"/>
  <c r="AI245" i="5"/>
  <c r="AI244" i="5"/>
  <c r="AI243" i="5"/>
  <c r="AI242" i="5"/>
  <c r="AI241" i="5"/>
  <c r="AI240" i="5"/>
  <c r="AI239" i="5"/>
  <c r="AI238" i="5"/>
  <c r="AI237" i="5"/>
  <c r="AI236" i="5"/>
  <c r="AI235" i="5"/>
  <c r="AI234" i="5"/>
  <c r="AI233" i="5"/>
  <c r="AI232" i="5"/>
  <c r="AI231" i="5"/>
  <c r="AI230" i="5"/>
  <c r="AI229" i="5"/>
  <c r="AI228" i="5"/>
  <c r="AI227" i="5"/>
  <c r="AI226" i="5"/>
  <c r="AI225" i="5"/>
  <c r="AI224" i="5"/>
  <c r="AI223" i="5"/>
  <c r="AI222" i="5"/>
  <c r="AI221" i="5"/>
  <c r="AI220" i="5"/>
  <c r="AI219" i="5"/>
  <c r="AI218" i="5"/>
  <c r="AI217" i="5"/>
  <c r="AI216" i="5"/>
  <c r="AI215" i="5"/>
  <c r="AI214" i="5"/>
  <c r="AI213" i="5"/>
  <c r="AI212" i="5"/>
  <c r="AI211" i="5"/>
  <c r="AI210" i="5"/>
  <c r="AI209" i="5"/>
  <c r="AI208" i="5"/>
  <c r="AI207" i="5"/>
  <c r="AI206" i="5"/>
  <c r="AI205" i="5"/>
  <c r="AI204" i="5"/>
  <c r="AI203" i="5"/>
  <c r="AI202" i="5"/>
  <c r="AI201" i="5"/>
  <c r="AI200" i="5"/>
  <c r="AI199" i="5"/>
  <c r="AI198" i="5"/>
  <c r="AI197" i="5"/>
  <c r="AI196" i="5"/>
  <c r="AI195" i="5"/>
  <c r="AI194" i="5"/>
  <c r="AI193" i="5"/>
  <c r="AI192" i="5"/>
  <c r="AI191" i="5"/>
  <c r="AI190" i="5"/>
  <c r="AI189" i="5"/>
  <c r="AI188" i="5"/>
  <c r="AI187" i="5"/>
  <c r="AI186" i="5"/>
  <c r="AI185" i="5"/>
  <c r="AI184" i="5"/>
  <c r="AI183" i="5"/>
  <c r="AI182" i="5"/>
  <c r="AG349" i="5"/>
  <c r="AG348" i="5"/>
  <c r="AG347" i="5"/>
  <c r="AG346" i="5"/>
  <c r="AG345" i="5"/>
  <c r="AG344" i="5"/>
  <c r="AG343" i="5"/>
  <c r="AG342" i="5"/>
  <c r="AG341" i="5"/>
  <c r="AG340" i="5"/>
  <c r="AG339" i="5"/>
  <c r="AG338" i="5"/>
  <c r="AG337" i="5"/>
  <c r="AG336" i="5"/>
  <c r="AG335" i="5"/>
  <c r="AG334" i="5"/>
  <c r="AG333" i="5"/>
  <c r="AG332" i="5"/>
  <c r="AG331" i="5"/>
  <c r="AG330" i="5"/>
  <c r="AG329" i="5"/>
  <c r="AG328" i="5"/>
  <c r="AG327" i="5"/>
  <c r="AG326" i="5"/>
  <c r="AG325" i="5"/>
  <c r="AG324" i="5"/>
  <c r="AG323" i="5"/>
  <c r="AG322" i="5"/>
  <c r="AG321" i="5"/>
  <c r="AG320" i="5"/>
  <c r="AG319" i="5"/>
  <c r="AG318" i="5"/>
  <c r="AG317" i="5"/>
  <c r="AG316" i="5"/>
  <c r="AG315" i="5"/>
  <c r="AG314" i="5"/>
  <c r="AG313" i="5"/>
  <c r="AG312" i="5"/>
  <c r="AG311" i="5"/>
  <c r="AG310" i="5"/>
  <c r="AG309" i="5"/>
  <c r="AG308" i="5"/>
  <c r="AG307" i="5"/>
  <c r="AG306" i="5"/>
  <c r="AG305" i="5"/>
  <c r="AG304" i="5"/>
  <c r="AG303" i="5"/>
  <c r="AG302" i="5"/>
  <c r="AG301" i="5"/>
  <c r="AG300" i="5"/>
  <c r="AG299" i="5"/>
  <c r="AG298" i="5"/>
  <c r="AG297" i="5"/>
  <c r="AG296" i="5"/>
  <c r="AG295" i="5"/>
  <c r="AG294" i="5"/>
  <c r="AG293" i="5"/>
  <c r="AG292" i="5"/>
  <c r="AG291" i="5"/>
  <c r="AG290" i="5"/>
  <c r="AG289" i="5"/>
  <c r="AG288" i="5"/>
  <c r="AG287" i="5"/>
  <c r="AG286" i="5"/>
  <c r="AG285" i="5"/>
  <c r="AG284" i="5"/>
  <c r="AG283" i="5"/>
  <c r="AG282" i="5"/>
  <c r="AG281" i="5"/>
  <c r="AG280" i="5"/>
  <c r="AG279" i="5"/>
  <c r="AG278" i="5"/>
  <c r="AG277" i="5"/>
  <c r="AG276" i="5"/>
  <c r="AG275" i="5"/>
  <c r="AG274" i="5"/>
  <c r="AG273" i="5"/>
  <c r="AG272" i="5"/>
  <c r="AG271" i="5"/>
  <c r="AG270" i="5"/>
  <c r="AG269" i="5"/>
  <c r="AG268" i="5"/>
  <c r="AG267" i="5"/>
  <c r="AG266" i="5"/>
  <c r="AG265" i="5"/>
  <c r="AG264" i="5"/>
  <c r="AG263" i="5"/>
  <c r="AG262" i="5"/>
  <c r="AG261" i="5"/>
  <c r="AG260" i="5"/>
  <c r="AG259" i="5"/>
  <c r="AG258" i="5"/>
  <c r="AG257" i="5"/>
  <c r="AG256" i="5"/>
  <c r="AG255" i="5"/>
  <c r="AG254" i="5"/>
  <c r="AG253" i="5"/>
  <c r="AG252" i="5"/>
  <c r="AG251" i="5"/>
  <c r="AG250" i="5"/>
  <c r="AG249" i="5"/>
  <c r="AG248" i="5"/>
  <c r="AG247" i="5"/>
  <c r="AG246" i="5"/>
  <c r="AG245" i="5"/>
  <c r="AG244" i="5"/>
  <c r="AG243" i="5"/>
  <c r="AG242" i="5"/>
  <c r="AG241" i="5"/>
  <c r="AG240" i="5"/>
  <c r="AG239" i="5"/>
  <c r="AG238" i="5"/>
  <c r="AG237" i="5"/>
  <c r="AG236" i="5"/>
  <c r="AG235" i="5"/>
  <c r="AG234" i="5"/>
  <c r="AG233" i="5"/>
  <c r="AG232" i="5"/>
  <c r="AG231" i="5"/>
  <c r="AG230" i="5"/>
  <c r="AG229" i="5"/>
  <c r="AG228" i="5"/>
  <c r="AG227" i="5"/>
  <c r="AG226" i="5"/>
  <c r="AG225" i="5"/>
  <c r="AG224" i="5"/>
  <c r="AG223" i="5"/>
  <c r="AG222" i="5"/>
  <c r="AG221" i="5"/>
  <c r="AG220" i="5"/>
  <c r="AG219" i="5"/>
  <c r="AG218" i="5"/>
  <c r="AG217" i="5"/>
  <c r="AG216" i="5"/>
  <c r="AG215" i="5"/>
  <c r="AG214" i="5"/>
  <c r="AG213" i="5"/>
  <c r="AG212" i="5"/>
  <c r="AG211" i="5"/>
  <c r="AG210" i="5"/>
  <c r="AG209"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E349" i="5"/>
  <c r="AE348" i="5"/>
  <c r="AE347" i="5"/>
  <c r="AE346" i="5"/>
  <c r="AE345" i="5"/>
  <c r="AE344" i="5"/>
  <c r="AE343" i="5"/>
  <c r="AE342" i="5"/>
  <c r="AE341" i="5"/>
  <c r="AE340" i="5"/>
  <c r="AE339" i="5"/>
  <c r="AE338" i="5"/>
  <c r="AE337" i="5"/>
  <c r="AE336" i="5"/>
  <c r="AE335" i="5"/>
  <c r="AE334" i="5"/>
  <c r="AE333" i="5"/>
  <c r="AE332" i="5"/>
  <c r="AE331" i="5"/>
  <c r="AE330" i="5"/>
  <c r="AE329" i="5"/>
  <c r="AE328" i="5"/>
  <c r="AE327" i="5"/>
  <c r="AE326" i="5"/>
  <c r="AE325" i="5"/>
  <c r="AE324" i="5"/>
  <c r="AE323" i="5"/>
  <c r="AE322" i="5"/>
  <c r="AE321" i="5"/>
  <c r="AE320" i="5"/>
  <c r="AE319" i="5"/>
  <c r="AE318" i="5"/>
  <c r="AE317" i="5"/>
  <c r="AE316" i="5"/>
  <c r="AE315" i="5"/>
  <c r="AE314" i="5"/>
  <c r="AE313" i="5"/>
  <c r="AE312" i="5"/>
  <c r="AE311" i="5"/>
  <c r="AE310" i="5"/>
  <c r="AE309" i="5"/>
  <c r="AE308" i="5"/>
  <c r="AE307" i="5"/>
  <c r="AE306" i="5"/>
  <c r="AE305" i="5"/>
  <c r="AE304" i="5"/>
  <c r="AE303" i="5"/>
  <c r="AE302" i="5"/>
  <c r="AE301" i="5"/>
  <c r="AE300" i="5"/>
  <c r="AE299" i="5"/>
  <c r="AE298" i="5"/>
  <c r="AE297" i="5"/>
  <c r="AE296" i="5"/>
  <c r="AE295" i="5"/>
  <c r="AE294" i="5"/>
  <c r="AE293" i="5"/>
  <c r="AE292" i="5"/>
  <c r="AE291" i="5"/>
  <c r="AE290" i="5"/>
  <c r="AE289" i="5"/>
  <c r="AE288" i="5"/>
  <c r="AE287" i="5"/>
  <c r="AE286" i="5"/>
  <c r="AE285" i="5"/>
  <c r="AE284" i="5"/>
  <c r="AE283" i="5"/>
  <c r="AE282" i="5"/>
  <c r="AE281" i="5"/>
  <c r="AE280" i="5"/>
  <c r="AE279" i="5"/>
  <c r="AE278" i="5"/>
  <c r="AE277" i="5"/>
  <c r="AE276" i="5"/>
  <c r="AE275" i="5"/>
  <c r="AE274" i="5"/>
  <c r="AE273" i="5"/>
  <c r="AE272" i="5"/>
  <c r="AE271" i="5"/>
  <c r="AE270" i="5"/>
  <c r="AE269" i="5"/>
  <c r="AE268" i="5"/>
  <c r="AE267" i="5"/>
  <c r="AE266" i="5"/>
  <c r="AE265" i="5"/>
  <c r="AE264" i="5"/>
  <c r="AE263" i="5"/>
  <c r="AE262" i="5"/>
  <c r="AE261" i="5"/>
  <c r="AE260" i="5"/>
  <c r="AE259" i="5"/>
  <c r="AE258" i="5"/>
  <c r="AE257" i="5"/>
  <c r="AE256" i="5"/>
  <c r="AE255" i="5"/>
  <c r="AE254" i="5"/>
  <c r="AE253" i="5"/>
  <c r="AE252" i="5"/>
  <c r="AE251" i="5"/>
  <c r="AE250" i="5"/>
  <c r="AE249" i="5"/>
  <c r="AE248" i="5"/>
  <c r="AE247" i="5"/>
  <c r="AE246" i="5"/>
  <c r="AE245" i="5"/>
  <c r="AE244" i="5"/>
  <c r="AE243" i="5"/>
  <c r="AE242" i="5"/>
  <c r="AE241" i="5"/>
  <c r="AE240" i="5"/>
  <c r="AE239" i="5"/>
  <c r="AE238" i="5"/>
  <c r="AE237" i="5"/>
  <c r="AE236" i="5"/>
  <c r="AE235" i="5"/>
  <c r="AE234" i="5"/>
  <c r="AE233" i="5"/>
  <c r="AE232" i="5"/>
  <c r="AE231" i="5"/>
  <c r="AE230" i="5"/>
  <c r="AE229" i="5"/>
  <c r="AE228" i="5"/>
  <c r="AE227" i="5"/>
  <c r="AE226" i="5"/>
  <c r="AE225" i="5"/>
  <c r="AE224" i="5"/>
  <c r="AE223" i="5"/>
  <c r="AE222" i="5"/>
  <c r="AE221" i="5"/>
  <c r="AE220" i="5"/>
  <c r="AE219" i="5"/>
  <c r="AE218" i="5"/>
  <c r="AE217" i="5"/>
  <c r="AE216" i="5"/>
  <c r="AE215" i="5"/>
  <c r="AE214" i="5"/>
  <c r="AE213" i="5"/>
  <c r="AE212" i="5"/>
  <c r="AE211" i="5"/>
  <c r="AE210" i="5"/>
  <c r="AE209"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C349" i="5"/>
  <c r="AC348" i="5"/>
  <c r="AC347" i="5"/>
  <c r="AC346" i="5"/>
  <c r="AC345" i="5"/>
  <c r="AC344" i="5"/>
  <c r="AC343" i="5"/>
  <c r="AC342" i="5"/>
  <c r="AC341" i="5"/>
  <c r="AC340" i="5"/>
  <c r="AC339" i="5"/>
  <c r="AC338" i="5"/>
  <c r="AC337" i="5"/>
  <c r="AC336" i="5"/>
  <c r="AC335" i="5"/>
  <c r="AC334" i="5"/>
  <c r="AC333" i="5"/>
  <c r="AC332" i="5"/>
  <c r="AC331" i="5"/>
  <c r="AC330" i="5"/>
  <c r="AC329" i="5"/>
  <c r="AC328" i="5"/>
  <c r="AC327" i="5"/>
  <c r="AC326" i="5"/>
  <c r="AC325" i="5"/>
  <c r="AC324" i="5"/>
  <c r="AC323" i="5"/>
  <c r="AC322" i="5"/>
  <c r="AC321" i="5"/>
  <c r="AC320" i="5"/>
  <c r="AC319" i="5"/>
  <c r="AC318" i="5"/>
  <c r="AC317" i="5"/>
  <c r="AC316" i="5"/>
  <c r="AC315" i="5"/>
  <c r="AC314" i="5"/>
  <c r="AC313" i="5"/>
  <c r="AC312" i="5"/>
  <c r="AC311" i="5"/>
  <c r="AC310" i="5"/>
  <c r="AC309" i="5"/>
  <c r="AC308" i="5"/>
  <c r="AC307" i="5"/>
  <c r="AC306" i="5"/>
  <c r="AC305" i="5"/>
  <c r="AC304" i="5"/>
  <c r="AC303" i="5"/>
  <c r="AC302" i="5"/>
  <c r="AC301" i="5"/>
  <c r="AC300" i="5"/>
  <c r="AC299" i="5"/>
  <c r="AC298" i="5"/>
  <c r="AC297" i="5"/>
  <c r="AC296" i="5"/>
  <c r="AC295" i="5"/>
  <c r="AC294" i="5"/>
  <c r="AC293" i="5"/>
  <c r="AC292" i="5"/>
  <c r="AC291" i="5"/>
  <c r="AC290" i="5"/>
  <c r="AC289" i="5"/>
  <c r="AC288" i="5"/>
  <c r="AC287" i="5"/>
  <c r="AC286" i="5"/>
  <c r="AC285" i="5"/>
  <c r="AC284" i="5"/>
  <c r="AC283" i="5"/>
  <c r="AC282" i="5"/>
  <c r="AC281" i="5"/>
  <c r="AC280" i="5"/>
  <c r="AC279" i="5"/>
  <c r="AC278" i="5"/>
  <c r="AC277" i="5"/>
  <c r="AC276" i="5"/>
  <c r="AC275" i="5"/>
  <c r="AC274" i="5"/>
  <c r="AC273" i="5"/>
  <c r="AC272" i="5"/>
  <c r="AC271" i="5"/>
  <c r="AC270" i="5"/>
  <c r="AC269" i="5"/>
  <c r="AC268" i="5"/>
  <c r="AC267" i="5"/>
  <c r="AC266" i="5"/>
  <c r="AC265" i="5"/>
  <c r="AC264" i="5"/>
  <c r="AC263" i="5"/>
  <c r="AC262" i="5"/>
  <c r="AC261" i="5"/>
  <c r="AC260" i="5"/>
  <c r="AC259" i="5"/>
  <c r="AC258" i="5"/>
  <c r="AC257" i="5"/>
  <c r="AC256" i="5"/>
  <c r="AC255" i="5"/>
  <c r="AC254" i="5"/>
  <c r="AC253" i="5"/>
  <c r="AC252" i="5"/>
  <c r="AC251" i="5"/>
  <c r="AC250" i="5"/>
  <c r="AC249" i="5"/>
  <c r="AC248" i="5"/>
  <c r="AC247" i="5"/>
  <c r="AC246" i="5"/>
  <c r="AC245" i="5"/>
  <c r="AC244" i="5"/>
  <c r="AC243" i="5"/>
  <c r="AC242" i="5"/>
  <c r="AC241" i="5"/>
  <c r="AC240" i="5"/>
  <c r="AC239" i="5"/>
  <c r="AC238" i="5"/>
  <c r="AC237" i="5"/>
  <c r="AC236" i="5"/>
  <c r="AC235" i="5"/>
  <c r="AC234" i="5"/>
  <c r="AC233" i="5"/>
  <c r="AC232" i="5"/>
  <c r="AC231" i="5"/>
  <c r="AC230" i="5"/>
  <c r="AC229" i="5"/>
  <c r="AC228" i="5"/>
  <c r="AC227" i="5"/>
  <c r="AC226" i="5"/>
  <c r="AC225" i="5"/>
  <c r="AC224" i="5"/>
  <c r="AC223" i="5"/>
  <c r="AC222" i="5"/>
  <c r="AC221" i="5"/>
  <c r="AC220" i="5"/>
  <c r="AC219" i="5"/>
  <c r="AC218" i="5"/>
  <c r="AC217" i="5"/>
  <c r="AC216" i="5"/>
  <c r="AC215" i="5"/>
  <c r="AC214" i="5"/>
  <c r="AC213" i="5"/>
  <c r="AC212" i="5"/>
  <c r="AC211" i="5"/>
  <c r="AC210" i="5"/>
  <c r="AC209" i="5"/>
  <c r="AC208" i="5"/>
  <c r="AC207" i="5"/>
  <c r="AC206" i="5"/>
  <c r="AC205" i="5"/>
  <c r="AC204" i="5"/>
  <c r="AC203" i="5"/>
  <c r="AC202" i="5"/>
  <c r="AC201" i="5"/>
  <c r="AC200" i="5"/>
  <c r="AC199" i="5"/>
  <c r="AC198" i="5"/>
  <c r="AC197" i="5"/>
  <c r="AC196" i="5"/>
  <c r="AC195" i="5"/>
  <c r="AC194" i="5"/>
  <c r="AC193" i="5"/>
  <c r="AC192" i="5"/>
  <c r="AC191" i="5"/>
  <c r="AC190" i="5"/>
  <c r="AC189" i="5"/>
  <c r="AC188" i="5"/>
  <c r="AC187" i="5"/>
  <c r="AC186" i="5"/>
  <c r="AC185" i="5"/>
  <c r="AC184" i="5"/>
  <c r="AC183" i="5"/>
  <c r="AC182" i="5"/>
  <c r="AA349" i="5"/>
  <c r="AA348" i="5"/>
  <c r="AA347" i="5"/>
  <c r="AA346" i="5"/>
  <c r="AA345" i="5"/>
  <c r="AA344" i="5"/>
  <c r="AA343" i="5"/>
  <c r="AA342" i="5"/>
  <c r="AA341" i="5"/>
  <c r="AA340" i="5"/>
  <c r="AA339" i="5"/>
  <c r="AA338" i="5"/>
  <c r="AA337" i="5"/>
  <c r="AA336" i="5"/>
  <c r="AA335" i="5"/>
  <c r="AA334" i="5"/>
  <c r="AA333" i="5"/>
  <c r="AA332" i="5"/>
  <c r="AA331" i="5"/>
  <c r="AA330" i="5"/>
  <c r="AA329" i="5"/>
  <c r="AA328" i="5"/>
  <c r="AA327" i="5"/>
  <c r="AA326" i="5"/>
  <c r="AA325" i="5"/>
  <c r="AA324" i="5"/>
  <c r="AA323" i="5"/>
  <c r="AA322" i="5"/>
  <c r="AA321" i="5"/>
  <c r="AA320" i="5"/>
  <c r="AA319" i="5"/>
  <c r="AA318" i="5"/>
  <c r="AA317" i="5"/>
  <c r="AA316" i="5"/>
  <c r="AA315" i="5"/>
  <c r="AA314" i="5"/>
  <c r="AA313" i="5"/>
  <c r="AA312" i="5"/>
  <c r="AA311" i="5"/>
  <c r="AA310" i="5"/>
  <c r="AA309" i="5"/>
  <c r="AA308" i="5"/>
  <c r="AA307" i="5"/>
  <c r="AA306" i="5"/>
  <c r="AA305" i="5"/>
  <c r="AA304" i="5"/>
  <c r="AA303" i="5"/>
  <c r="AA302" i="5"/>
  <c r="AA301" i="5"/>
  <c r="AA300" i="5"/>
  <c r="AA299" i="5"/>
  <c r="AA298" i="5"/>
  <c r="AA297" i="5"/>
  <c r="AA296" i="5"/>
  <c r="AA295" i="5"/>
  <c r="AA294" i="5"/>
  <c r="AA293" i="5"/>
  <c r="AA292" i="5"/>
  <c r="AA291" i="5"/>
  <c r="AA290" i="5"/>
  <c r="AA289" i="5"/>
  <c r="AA288" i="5"/>
  <c r="AA287" i="5"/>
  <c r="AA286" i="5"/>
  <c r="AA285" i="5"/>
  <c r="AA284" i="5"/>
  <c r="AA283" i="5"/>
  <c r="AA282" i="5"/>
  <c r="AA281" i="5"/>
  <c r="AA280" i="5"/>
  <c r="AA279" i="5"/>
  <c r="AA278" i="5"/>
  <c r="AA277" i="5"/>
  <c r="AA276" i="5"/>
  <c r="AA275" i="5"/>
  <c r="AA274" i="5"/>
  <c r="AA273" i="5"/>
  <c r="AA272" i="5"/>
  <c r="AA271" i="5"/>
  <c r="AA270" i="5"/>
  <c r="AA269" i="5"/>
  <c r="AA268" i="5"/>
  <c r="AA267" i="5"/>
  <c r="AA266" i="5"/>
  <c r="AA265" i="5"/>
  <c r="AA264" i="5"/>
  <c r="AA263" i="5"/>
  <c r="AA262" i="5"/>
  <c r="AA261" i="5"/>
  <c r="AA260" i="5"/>
  <c r="AA259" i="5"/>
  <c r="AA258" i="5"/>
  <c r="AA257" i="5"/>
  <c r="AA256" i="5"/>
  <c r="AA255" i="5"/>
  <c r="AA254" i="5"/>
  <c r="AA253" i="5"/>
  <c r="AA252" i="5"/>
  <c r="AA251" i="5"/>
  <c r="AA250" i="5"/>
  <c r="AA249" i="5"/>
  <c r="AA248" i="5"/>
  <c r="AA247" i="5"/>
  <c r="AA246" i="5"/>
  <c r="AA245" i="5"/>
  <c r="AA244" i="5"/>
  <c r="AA243" i="5"/>
  <c r="AA242" i="5"/>
  <c r="AA241" i="5"/>
  <c r="AA240" i="5"/>
  <c r="AA239" i="5"/>
  <c r="AA238" i="5"/>
  <c r="AA237" i="5"/>
  <c r="AA236" i="5"/>
  <c r="AA235" i="5"/>
  <c r="AA234" i="5"/>
  <c r="AA233" i="5"/>
  <c r="AA232" i="5"/>
  <c r="AA231" i="5"/>
  <c r="AA230" i="5"/>
  <c r="AA229" i="5"/>
  <c r="AA228" i="5"/>
  <c r="AA227" i="5"/>
  <c r="AA226" i="5"/>
  <c r="AA225" i="5"/>
  <c r="AA224" i="5"/>
  <c r="AA223" i="5"/>
  <c r="AA222" i="5"/>
  <c r="AA221" i="5"/>
  <c r="AA220" i="5"/>
  <c r="AA219" i="5"/>
  <c r="AA218" i="5"/>
  <c r="AA217" i="5"/>
  <c r="AA216" i="5"/>
  <c r="AA215" i="5"/>
  <c r="AA214" i="5"/>
  <c r="AA213" i="5"/>
  <c r="AA212" i="5"/>
  <c r="AA211" i="5"/>
  <c r="AA210" i="5"/>
  <c r="AA209" i="5"/>
  <c r="AA208" i="5"/>
  <c r="AA207" i="5"/>
  <c r="AA206" i="5"/>
  <c r="AA205" i="5"/>
  <c r="AA204" i="5"/>
  <c r="AA203" i="5"/>
  <c r="AA202" i="5"/>
  <c r="AA201" i="5"/>
  <c r="AA200" i="5"/>
  <c r="AA199" i="5"/>
  <c r="AA198" i="5"/>
  <c r="AA197" i="5"/>
  <c r="AA196" i="5"/>
  <c r="AA195" i="5"/>
  <c r="AA194" i="5"/>
  <c r="AA193" i="5"/>
  <c r="AA192" i="5"/>
  <c r="AA191" i="5"/>
  <c r="AA190" i="5"/>
  <c r="AA189" i="5"/>
  <c r="AA188" i="5"/>
  <c r="AA187" i="5"/>
  <c r="AA186" i="5"/>
  <c r="AA185" i="5"/>
  <c r="AA184" i="5"/>
  <c r="AA183" i="5"/>
  <c r="AA182" i="5"/>
  <c r="Y349" i="5"/>
  <c r="Y348" i="5"/>
  <c r="Y347" i="5"/>
  <c r="Y346" i="5"/>
  <c r="Y345" i="5"/>
  <c r="Y344" i="5"/>
  <c r="Y343" i="5"/>
  <c r="Y342" i="5"/>
  <c r="Y341" i="5"/>
  <c r="Y340" i="5"/>
  <c r="Y339" i="5"/>
  <c r="Y338" i="5"/>
  <c r="Y337"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303" i="5"/>
  <c r="Y302" i="5"/>
  <c r="Y301" i="5"/>
  <c r="Y300" i="5"/>
  <c r="Y299" i="5"/>
  <c r="Y298" i="5"/>
  <c r="Y297" i="5"/>
  <c r="Y296" i="5"/>
  <c r="Y295" i="5"/>
  <c r="Y294" i="5"/>
  <c r="Y293" i="5"/>
  <c r="Y292" i="5"/>
  <c r="Y291" i="5"/>
  <c r="Y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Y259" i="5"/>
  <c r="Y258" i="5"/>
  <c r="Y257" i="5"/>
  <c r="Y256" i="5"/>
  <c r="Y255" i="5"/>
  <c r="Y254" i="5"/>
  <c r="Y253" i="5"/>
  <c r="Y252" i="5"/>
  <c r="Y251" i="5"/>
  <c r="Y250" i="5"/>
  <c r="Y249" i="5"/>
  <c r="Y248" i="5"/>
  <c r="Y247" i="5"/>
  <c r="Y246" i="5"/>
  <c r="Y245" i="5"/>
  <c r="Y244" i="5"/>
  <c r="Y243" i="5"/>
  <c r="Y242" i="5"/>
  <c r="Y241" i="5"/>
  <c r="Y240" i="5"/>
  <c r="Y239" i="5"/>
  <c r="Y238" i="5"/>
  <c r="Y237" i="5"/>
  <c r="Y236" i="5"/>
  <c r="Y235" i="5"/>
  <c r="Y234" i="5"/>
  <c r="Y233" i="5"/>
  <c r="Y232" i="5"/>
  <c r="Y231" i="5"/>
  <c r="Y230" i="5"/>
  <c r="Y229" i="5"/>
  <c r="Y228" i="5"/>
  <c r="Y227" i="5"/>
  <c r="Y226" i="5"/>
  <c r="Y225" i="5"/>
  <c r="Y224" i="5"/>
  <c r="Y223" i="5"/>
  <c r="Y222" i="5"/>
  <c r="Y221" i="5"/>
  <c r="Y220" i="5"/>
  <c r="Y219" i="5"/>
  <c r="Y218" i="5"/>
  <c r="Y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Y188" i="5"/>
  <c r="Y187" i="5"/>
  <c r="Y186" i="5"/>
  <c r="Y185" i="5"/>
  <c r="Y184" i="5"/>
  <c r="Y183" i="5"/>
  <c r="Y182" i="5"/>
  <c r="W349" i="5"/>
  <c r="W348" i="5"/>
  <c r="W347" i="5"/>
  <c r="W346" i="5"/>
  <c r="W345" i="5"/>
  <c r="W344" i="5"/>
  <c r="W343" i="5"/>
  <c r="W342" i="5"/>
  <c r="W341" i="5"/>
  <c r="W340" i="5"/>
  <c r="W339" i="5"/>
  <c r="W338" i="5"/>
  <c r="W337" i="5"/>
  <c r="W336" i="5"/>
  <c r="W335" i="5"/>
  <c r="W334" i="5"/>
  <c r="W333" i="5"/>
  <c r="W332" i="5"/>
  <c r="W331" i="5"/>
  <c r="W330" i="5"/>
  <c r="W329" i="5"/>
  <c r="W328" i="5"/>
  <c r="W327" i="5"/>
  <c r="W326" i="5"/>
  <c r="W325" i="5"/>
  <c r="W324" i="5"/>
  <c r="W323" i="5"/>
  <c r="W322" i="5"/>
  <c r="W321" i="5"/>
  <c r="W320" i="5"/>
  <c r="W319" i="5"/>
  <c r="W318" i="5"/>
  <c r="W317" i="5"/>
  <c r="W316" i="5"/>
  <c r="W315" i="5"/>
  <c r="W314" i="5"/>
  <c r="W313" i="5"/>
  <c r="W312" i="5"/>
  <c r="W311" i="5"/>
  <c r="W310" i="5"/>
  <c r="W309" i="5"/>
  <c r="W308" i="5"/>
  <c r="W307" i="5"/>
  <c r="W306" i="5"/>
  <c r="W305" i="5"/>
  <c r="W304" i="5"/>
  <c r="W303" i="5"/>
  <c r="W302" i="5"/>
  <c r="W301" i="5"/>
  <c r="W300" i="5"/>
  <c r="W299" i="5"/>
  <c r="W298" i="5"/>
  <c r="W297" i="5"/>
  <c r="W296" i="5"/>
  <c r="W295" i="5"/>
  <c r="W294" i="5"/>
  <c r="W293" i="5"/>
  <c r="W292" i="5"/>
  <c r="W291" i="5"/>
  <c r="W290" i="5"/>
  <c r="W289" i="5"/>
  <c r="W288" i="5"/>
  <c r="W287" i="5"/>
  <c r="W286" i="5"/>
  <c r="W285" i="5"/>
  <c r="W284" i="5"/>
  <c r="W283" i="5"/>
  <c r="W282" i="5"/>
  <c r="W281" i="5"/>
  <c r="W280" i="5"/>
  <c r="W279" i="5"/>
  <c r="W278" i="5"/>
  <c r="W277" i="5"/>
  <c r="W276" i="5"/>
  <c r="W275" i="5"/>
  <c r="W274" i="5"/>
  <c r="W273" i="5"/>
  <c r="W272" i="5"/>
  <c r="W271" i="5"/>
  <c r="W270" i="5"/>
  <c r="W269" i="5"/>
  <c r="W268" i="5"/>
  <c r="W267" i="5"/>
  <c r="W266" i="5"/>
  <c r="W265" i="5"/>
  <c r="W264" i="5"/>
  <c r="W263" i="5"/>
  <c r="W262" i="5"/>
  <c r="W261" i="5"/>
  <c r="W260" i="5"/>
  <c r="W259" i="5"/>
  <c r="W258" i="5"/>
  <c r="W257" i="5"/>
  <c r="W256" i="5"/>
  <c r="W255" i="5"/>
  <c r="W254" i="5"/>
  <c r="W253" i="5"/>
  <c r="W252" i="5"/>
  <c r="W251" i="5"/>
  <c r="W250" i="5"/>
  <c r="W249" i="5"/>
  <c r="W248" i="5"/>
  <c r="W247" i="5"/>
  <c r="W246" i="5"/>
  <c r="W245" i="5"/>
  <c r="W244" i="5"/>
  <c r="W243" i="5"/>
  <c r="W242" i="5"/>
  <c r="W241" i="5"/>
  <c r="W240" i="5"/>
  <c r="W239" i="5"/>
  <c r="W238" i="5"/>
  <c r="W237" i="5"/>
  <c r="W236" i="5"/>
  <c r="W235" i="5"/>
  <c r="W234" i="5"/>
  <c r="W233" i="5"/>
  <c r="W232" i="5"/>
  <c r="W231" i="5"/>
  <c r="W230" i="5"/>
  <c r="W229" i="5"/>
  <c r="W228" i="5"/>
  <c r="W227" i="5"/>
  <c r="W226" i="5"/>
  <c r="W225" i="5"/>
  <c r="W224" i="5"/>
  <c r="W223" i="5"/>
  <c r="W222" i="5"/>
  <c r="W221" i="5"/>
  <c r="W220" i="5"/>
  <c r="W219" i="5"/>
  <c r="W218" i="5"/>
  <c r="W217" i="5"/>
  <c r="W216" i="5"/>
  <c r="W215" i="5"/>
  <c r="W214" i="5"/>
  <c r="W213" i="5"/>
  <c r="W212" i="5"/>
  <c r="W211" i="5"/>
  <c r="W210" i="5"/>
  <c r="W209" i="5"/>
  <c r="W208" i="5"/>
  <c r="W207" i="5"/>
  <c r="W206" i="5"/>
  <c r="W205" i="5"/>
  <c r="W204" i="5"/>
  <c r="W203" i="5"/>
  <c r="W202" i="5"/>
  <c r="W201" i="5"/>
  <c r="W200" i="5"/>
  <c r="W199" i="5"/>
  <c r="W198" i="5"/>
  <c r="W197" i="5"/>
  <c r="W196" i="5"/>
  <c r="W195" i="5"/>
  <c r="W194" i="5"/>
  <c r="W193" i="5"/>
  <c r="W192" i="5"/>
  <c r="W191" i="5"/>
  <c r="W190" i="5"/>
  <c r="W189" i="5"/>
  <c r="W188" i="5"/>
  <c r="W187" i="5"/>
  <c r="W186" i="5"/>
  <c r="W185" i="5"/>
  <c r="W184" i="5"/>
  <c r="W183" i="5"/>
  <c r="W182" i="5"/>
  <c r="U349" i="5"/>
  <c r="U348" i="5"/>
  <c r="U347" i="5"/>
  <c r="U346" i="5"/>
  <c r="U345" i="5"/>
  <c r="U344" i="5"/>
  <c r="U343" i="5"/>
  <c r="U342" i="5"/>
  <c r="U341" i="5"/>
  <c r="U340" i="5"/>
  <c r="U339" i="5"/>
  <c r="U338" i="5"/>
  <c r="U337" i="5"/>
  <c r="U336" i="5"/>
  <c r="U335" i="5"/>
  <c r="U334" i="5"/>
  <c r="U333" i="5"/>
  <c r="U332" i="5"/>
  <c r="U331" i="5"/>
  <c r="U330" i="5"/>
  <c r="U329" i="5"/>
  <c r="U328" i="5"/>
  <c r="U327" i="5"/>
  <c r="U326" i="5"/>
  <c r="U325" i="5"/>
  <c r="U324" i="5"/>
  <c r="U323" i="5"/>
  <c r="U322" i="5"/>
  <c r="U321" i="5"/>
  <c r="U320" i="5"/>
  <c r="U319" i="5"/>
  <c r="U318" i="5"/>
  <c r="U317" i="5"/>
  <c r="U316" i="5"/>
  <c r="U315" i="5"/>
  <c r="U314" i="5"/>
  <c r="U313" i="5"/>
  <c r="U312" i="5"/>
  <c r="U311" i="5"/>
  <c r="U310" i="5"/>
  <c r="U309" i="5"/>
  <c r="U308" i="5"/>
  <c r="U307" i="5"/>
  <c r="U306" i="5"/>
  <c r="U305" i="5"/>
  <c r="U304" i="5"/>
  <c r="U303" i="5"/>
  <c r="U302" i="5"/>
  <c r="U301" i="5"/>
  <c r="U300" i="5"/>
  <c r="U299" i="5"/>
  <c r="U298" i="5"/>
  <c r="U297" i="5"/>
  <c r="U296" i="5"/>
  <c r="U295" i="5"/>
  <c r="U294" i="5"/>
  <c r="U293" i="5"/>
  <c r="U292" i="5"/>
  <c r="U291" i="5"/>
  <c r="U290" i="5"/>
  <c r="U289" i="5"/>
  <c r="U288" i="5"/>
  <c r="U287" i="5"/>
  <c r="U286" i="5"/>
  <c r="U285" i="5"/>
  <c r="U284" i="5"/>
  <c r="U283" i="5"/>
  <c r="U282" i="5"/>
  <c r="U281" i="5"/>
  <c r="U280" i="5"/>
  <c r="U279" i="5"/>
  <c r="U278" i="5"/>
  <c r="U277" i="5"/>
  <c r="U276" i="5"/>
  <c r="U275" i="5"/>
  <c r="U274" i="5"/>
  <c r="U273" i="5"/>
  <c r="U272" i="5"/>
  <c r="U271" i="5"/>
  <c r="U270" i="5"/>
  <c r="U269" i="5"/>
  <c r="U268" i="5"/>
  <c r="U267" i="5"/>
  <c r="U266" i="5"/>
  <c r="U265" i="5"/>
  <c r="U264" i="5"/>
  <c r="U263" i="5"/>
  <c r="U262" i="5"/>
  <c r="U261" i="5"/>
  <c r="U260" i="5"/>
  <c r="U259" i="5"/>
  <c r="U258" i="5"/>
  <c r="U257" i="5"/>
  <c r="U256" i="5"/>
  <c r="U255" i="5"/>
  <c r="U254" i="5"/>
  <c r="U253" i="5"/>
  <c r="U252" i="5"/>
  <c r="U251" i="5"/>
  <c r="U250" i="5"/>
  <c r="U249" i="5"/>
  <c r="U248" i="5"/>
  <c r="U247" i="5"/>
  <c r="U246" i="5"/>
  <c r="U245" i="5"/>
  <c r="U244" i="5"/>
  <c r="U243" i="5"/>
  <c r="U242" i="5"/>
  <c r="U241" i="5"/>
  <c r="U240" i="5"/>
  <c r="U239" i="5"/>
  <c r="U238" i="5"/>
  <c r="U237" i="5"/>
  <c r="U236" i="5"/>
  <c r="U235" i="5"/>
  <c r="U234" i="5"/>
  <c r="U233" i="5"/>
  <c r="U232" i="5"/>
  <c r="U231" i="5"/>
  <c r="U230" i="5"/>
  <c r="U229" i="5"/>
  <c r="U228" i="5"/>
  <c r="U227" i="5"/>
  <c r="U226" i="5"/>
  <c r="U225" i="5"/>
  <c r="U224" i="5"/>
  <c r="U223" i="5"/>
  <c r="U222" i="5"/>
  <c r="U221" i="5"/>
  <c r="U220" i="5"/>
  <c r="U219" i="5"/>
  <c r="U218" i="5"/>
  <c r="U217" i="5"/>
  <c r="U216" i="5"/>
  <c r="U215" i="5"/>
  <c r="U214" i="5"/>
  <c r="U213" i="5"/>
  <c r="U212" i="5"/>
  <c r="U211" i="5"/>
  <c r="U210" i="5"/>
  <c r="U209" i="5"/>
  <c r="U208" i="5"/>
  <c r="U207" i="5"/>
  <c r="U206" i="5"/>
  <c r="U205" i="5"/>
  <c r="U204" i="5"/>
  <c r="U203" i="5"/>
  <c r="U202" i="5"/>
  <c r="U201" i="5"/>
  <c r="U200" i="5"/>
  <c r="U199" i="5"/>
  <c r="U198" i="5"/>
  <c r="U197" i="5"/>
  <c r="U196" i="5"/>
  <c r="U195" i="5"/>
  <c r="U194" i="5"/>
  <c r="U193" i="5"/>
  <c r="U192" i="5"/>
  <c r="U191" i="5"/>
  <c r="U190" i="5"/>
  <c r="U189" i="5"/>
  <c r="U188" i="5"/>
  <c r="U187" i="5"/>
  <c r="U186" i="5"/>
  <c r="U185" i="5"/>
  <c r="U184" i="5"/>
  <c r="U183" i="5"/>
  <c r="U182"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Q349" i="5"/>
  <c r="Q348" i="5"/>
  <c r="Q347" i="5"/>
  <c r="Q346" i="5"/>
  <c r="Q345" i="5"/>
  <c r="Q344" i="5"/>
  <c r="Q343" i="5"/>
  <c r="Q342" i="5"/>
  <c r="Q341" i="5"/>
  <c r="Q340" i="5"/>
  <c r="Q339" i="5"/>
  <c r="Q338" i="5"/>
  <c r="Q337" i="5"/>
  <c r="Q336" i="5"/>
  <c r="Q335" i="5"/>
  <c r="Q334" i="5"/>
  <c r="Q333" i="5"/>
  <c r="Q332" i="5"/>
  <c r="Q331" i="5"/>
  <c r="Q330" i="5"/>
  <c r="Q329" i="5"/>
  <c r="Q328" i="5"/>
  <c r="Q327" i="5"/>
  <c r="Q326" i="5"/>
  <c r="Q325" i="5"/>
  <c r="Q324" i="5"/>
  <c r="Q323" i="5"/>
  <c r="Q322" i="5"/>
  <c r="Q321" i="5"/>
  <c r="Q320" i="5"/>
  <c r="Q319" i="5"/>
  <c r="Q318" i="5"/>
  <c r="Q317" i="5"/>
  <c r="Q316" i="5"/>
  <c r="Q315" i="5"/>
  <c r="Q314" i="5"/>
  <c r="Q313" i="5"/>
  <c r="Q312" i="5"/>
  <c r="Q311" i="5"/>
  <c r="Q310" i="5"/>
  <c r="Q309" i="5"/>
  <c r="Q308" i="5"/>
  <c r="Q307" i="5"/>
  <c r="Q306" i="5"/>
  <c r="Q305" i="5"/>
  <c r="Q304" i="5"/>
  <c r="Q303" i="5"/>
  <c r="Q302" i="5"/>
  <c r="Q301" i="5"/>
  <c r="Q300" i="5"/>
  <c r="Q299" i="5"/>
  <c r="Q298" i="5"/>
  <c r="Q297" i="5"/>
  <c r="Q296" i="5"/>
  <c r="Q295" i="5"/>
  <c r="Q294" i="5"/>
  <c r="Q293" i="5"/>
  <c r="Q292" i="5"/>
  <c r="Q291" i="5"/>
  <c r="Q290" i="5"/>
  <c r="Q289" i="5"/>
  <c r="Q288" i="5"/>
  <c r="Q287" i="5"/>
  <c r="Q286" i="5"/>
  <c r="Q285" i="5"/>
  <c r="Q284" i="5"/>
  <c r="Q283" i="5"/>
  <c r="Q282" i="5"/>
  <c r="Q281" i="5"/>
  <c r="Q280" i="5"/>
  <c r="Q279" i="5"/>
  <c r="Q278" i="5"/>
  <c r="Q277" i="5"/>
  <c r="Q276" i="5"/>
  <c r="Q275" i="5"/>
  <c r="Q274" i="5"/>
  <c r="Q273" i="5"/>
  <c r="Q272" i="5"/>
  <c r="Q271" i="5"/>
  <c r="Q270" i="5"/>
  <c r="Q269" i="5"/>
  <c r="Q268" i="5"/>
  <c r="Q267" i="5"/>
  <c r="Q266" i="5"/>
  <c r="Q265" i="5"/>
  <c r="Q264" i="5"/>
  <c r="Q263" i="5"/>
  <c r="Q262" i="5"/>
  <c r="Q261" i="5"/>
  <c r="Q260" i="5"/>
  <c r="Q259" i="5"/>
  <c r="Q258" i="5"/>
  <c r="Q257" i="5"/>
  <c r="Q256" i="5"/>
  <c r="Q255" i="5"/>
  <c r="Q254" i="5"/>
  <c r="Q253" i="5"/>
  <c r="Q252" i="5"/>
  <c r="Q251" i="5"/>
  <c r="Q250" i="5"/>
  <c r="Q249" i="5"/>
  <c r="Q248" i="5"/>
  <c r="Q247" i="5"/>
  <c r="Q246" i="5"/>
  <c r="Q245" i="5"/>
  <c r="Q244" i="5"/>
  <c r="Q243" i="5"/>
  <c r="Q242" i="5"/>
  <c r="Q241" i="5"/>
  <c r="Q240" i="5"/>
  <c r="Q239" i="5"/>
  <c r="Q238" i="5"/>
  <c r="Q237" i="5"/>
  <c r="Q236" i="5"/>
  <c r="Q235" i="5"/>
  <c r="Q234" i="5"/>
  <c r="Q233" i="5"/>
  <c r="Q232" i="5"/>
  <c r="Q231" i="5"/>
  <c r="Q230" i="5"/>
  <c r="Q229" i="5"/>
  <c r="Q228" i="5"/>
  <c r="Q227" i="5"/>
  <c r="Q226" i="5"/>
  <c r="Q225" i="5"/>
  <c r="Q224" i="5"/>
  <c r="Q223" i="5"/>
  <c r="Q222" i="5"/>
  <c r="Q221" i="5"/>
  <c r="Q220" i="5"/>
  <c r="Q219" i="5"/>
  <c r="Q218" i="5"/>
  <c r="Q217" i="5"/>
  <c r="Q216" i="5"/>
  <c r="Q215" i="5"/>
  <c r="Q214" i="5"/>
  <c r="Q213" i="5"/>
  <c r="Q212" i="5"/>
  <c r="Q211" i="5"/>
  <c r="Q210" i="5"/>
  <c r="Q209" i="5"/>
  <c r="Q208" i="5"/>
  <c r="Q207" i="5"/>
  <c r="Q206" i="5"/>
  <c r="Q205" i="5"/>
  <c r="Q204" i="5"/>
  <c r="Q203" i="5"/>
  <c r="Q202" i="5"/>
  <c r="Q201" i="5"/>
  <c r="Q200" i="5"/>
  <c r="Q199" i="5"/>
  <c r="Q198" i="5"/>
  <c r="Q197" i="5"/>
  <c r="Q196" i="5"/>
  <c r="Q195" i="5"/>
  <c r="Q194" i="5"/>
  <c r="Q193" i="5"/>
  <c r="Q192" i="5"/>
  <c r="Q191" i="5"/>
  <c r="Q190" i="5"/>
  <c r="Q189" i="5"/>
  <c r="Q188" i="5"/>
  <c r="Q187" i="5"/>
  <c r="Q186" i="5"/>
  <c r="Q185" i="5"/>
  <c r="Q184" i="5"/>
  <c r="Q183" i="5"/>
  <c r="Q182" i="5"/>
  <c r="O349" i="5"/>
  <c r="O348" i="5"/>
  <c r="O347" i="5"/>
  <c r="O346" i="5"/>
  <c r="O345" i="5"/>
  <c r="O344" i="5"/>
  <c r="O343" i="5"/>
  <c r="O342" i="5"/>
  <c r="O341" i="5"/>
  <c r="O340" i="5"/>
  <c r="O339" i="5"/>
  <c r="O338" i="5"/>
  <c r="O337" i="5"/>
  <c r="O336" i="5"/>
  <c r="O335" i="5"/>
  <c r="O334" i="5"/>
  <c r="O333" i="5"/>
  <c r="O332" i="5"/>
  <c r="O331" i="5"/>
  <c r="O330" i="5"/>
  <c r="O329" i="5"/>
  <c r="O328" i="5"/>
  <c r="O327" i="5"/>
  <c r="O326" i="5"/>
  <c r="O325" i="5"/>
  <c r="O324" i="5"/>
  <c r="O323" i="5"/>
  <c r="O322" i="5"/>
  <c r="O321" i="5"/>
  <c r="O320" i="5"/>
  <c r="O319" i="5"/>
  <c r="O318" i="5"/>
  <c r="O317" i="5"/>
  <c r="O316" i="5"/>
  <c r="O315" i="5"/>
  <c r="O314" i="5"/>
  <c r="O313" i="5"/>
  <c r="O312" i="5"/>
  <c r="O311" i="5"/>
  <c r="O310" i="5"/>
  <c r="O309" i="5"/>
  <c r="O308" i="5"/>
  <c r="O307" i="5"/>
  <c r="O306" i="5"/>
  <c r="O305" i="5"/>
  <c r="O304" i="5"/>
  <c r="O303" i="5"/>
  <c r="O302" i="5"/>
  <c r="O301" i="5"/>
  <c r="O300" i="5"/>
  <c r="O299" i="5"/>
  <c r="O298" i="5"/>
  <c r="O297" i="5"/>
  <c r="O296" i="5"/>
  <c r="O295" i="5"/>
  <c r="O294" i="5"/>
  <c r="O293" i="5"/>
  <c r="O292" i="5"/>
  <c r="O291" i="5"/>
  <c r="O290" i="5"/>
  <c r="O289" i="5"/>
  <c r="O288" i="5"/>
  <c r="O287" i="5"/>
  <c r="O286" i="5"/>
  <c r="O285" i="5"/>
  <c r="O284" i="5"/>
  <c r="O283" i="5"/>
  <c r="O282" i="5"/>
  <c r="O281" i="5"/>
  <c r="O280" i="5"/>
  <c r="O279" i="5"/>
  <c r="O278" i="5"/>
  <c r="O277" i="5"/>
  <c r="O276" i="5"/>
  <c r="O275" i="5"/>
  <c r="O274" i="5"/>
  <c r="O273" i="5"/>
  <c r="O272" i="5"/>
  <c r="O271" i="5"/>
  <c r="O270" i="5"/>
  <c r="O269" i="5"/>
  <c r="O268" i="5"/>
  <c r="O267" i="5"/>
  <c r="O266" i="5"/>
  <c r="O265" i="5"/>
  <c r="O264" i="5"/>
  <c r="O263" i="5"/>
  <c r="O262" i="5"/>
  <c r="O261" i="5"/>
  <c r="O260" i="5"/>
  <c r="O259" i="5"/>
  <c r="O258" i="5"/>
  <c r="O257" i="5"/>
  <c r="O256" i="5"/>
  <c r="O255" i="5"/>
  <c r="O254" i="5"/>
  <c r="O253" i="5"/>
  <c r="O252" i="5"/>
  <c r="O251" i="5"/>
  <c r="O250" i="5"/>
  <c r="O249" i="5"/>
  <c r="O248" i="5"/>
  <c r="O247" i="5"/>
  <c r="O246" i="5"/>
  <c r="O245" i="5"/>
  <c r="O244" i="5"/>
  <c r="O243" i="5"/>
  <c r="O242" i="5"/>
  <c r="O241" i="5"/>
  <c r="O240" i="5"/>
  <c r="O239" i="5"/>
  <c r="O238" i="5"/>
  <c r="O237" i="5"/>
  <c r="O236" i="5"/>
  <c r="O235" i="5"/>
  <c r="O234" i="5"/>
  <c r="O233" i="5"/>
  <c r="O232" i="5"/>
  <c r="O231" i="5"/>
  <c r="O230" i="5"/>
  <c r="O229" i="5"/>
  <c r="O228" i="5"/>
  <c r="O227" i="5"/>
  <c r="O226" i="5"/>
  <c r="O225" i="5"/>
  <c r="O224" i="5"/>
  <c r="O223" i="5"/>
  <c r="O222" i="5"/>
  <c r="O221" i="5"/>
  <c r="O220" i="5"/>
  <c r="O219" i="5"/>
  <c r="O218" i="5"/>
  <c r="O217" i="5"/>
  <c r="O216" i="5"/>
  <c r="O215" i="5"/>
  <c r="O214" i="5"/>
  <c r="O213" i="5"/>
  <c r="O212" i="5"/>
  <c r="O211" i="5"/>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2"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AX74" i="5" l="1"/>
  <c r="AW206" i="5"/>
  <c r="AW66" i="5"/>
  <c r="AX66" i="5" s="1"/>
  <c r="AW210" i="5"/>
  <c r="AW208" i="5"/>
  <c r="AX69" i="5"/>
  <c r="AW209" i="5"/>
  <c r="AW78" i="5"/>
  <c r="AX78" i="5" s="1"/>
  <c r="AW102" i="5"/>
  <c r="AW277" i="5" s="1"/>
  <c r="AX36" i="5"/>
  <c r="AW42" i="5"/>
  <c r="AX42" i="5" s="1"/>
  <c r="AW114" i="5"/>
  <c r="AW289" i="5" s="1"/>
  <c r="AX37" i="5"/>
  <c r="AW43" i="5"/>
  <c r="AW218" i="5" s="1"/>
  <c r="AX38" i="5"/>
  <c r="AX62" i="5"/>
  <c r="AW45" i="5"/>
  <c r="AW220" i="5" s="1"/>
  <c r="AW50" i="5"/>
  <c r="AX50" i="5" s="1"/>
  <c r="AX28" i="5"/>
  <c r="AW54" i="5"/>
  <c r="AX54" i="5" s="1"/>
  <c r="AW30" i="5"/>
  <c r="AW205" i="5" s="1"/>
  <c r="AX29" i="5"/>
  <c r="AW57" i="5"/>
  <c r="AX57" i="5" s="1"/>
  <c r="AW90" i="5"/>
  <c r="AX90" i="5" s="1"/>
  <c r="C181" i="5"/>
  <c r="E181" i="5"/>
  <c r="G181" i="5"/>
  <c r="G2" i="5" s="1"/>
  <c r="I181" i="5"/>
  <c r="K181" i="5"/>
  <c r="K2" i="5" s="1"/>
  <c r="M181" i="5"/>
  <c r="M2" i="5" s="1"/>
  <c r="O181" i="5"/>
  <c r="O2" i="5" s="1"/>
  <c r="S181" i="5"/>
  <c r="S2" i="5" s="1"/>
  <c r="U181" i="5"/>
  <c r="U2" i="5" s="1"/>
  <c r="W181" i="5"/>
  <c r="Y181" i="5"/>
  <c r="Y2" i="5" s="1"/>
  <c r="AA181" i="5"/>
  <c r="AA2" i="5" s="1"/>
  <c r="AC181" i="5"/>
  <c r="AE181" i="5"/>
  <c r="AE2" i="5" s="1"/>
  <c r="AG181" i="5"/>
  <c r="AG2" i="5" s="1"/>
  <c r="AI181" i="5"/>
  <c r="AI2" i="5" s="1"/>
  <c r="AK181" i="5"/>
  <c r="AK2" i="5" s="1"/>
  <c r="AM181" i="5"/>
  <c r="AM2" i="5" s="1"/>
  <c r="AO181" i="5"/>
  <c r="AQ181" i="5"/>
  <c r="AQ2" i="5" s="1"/>
  <c r="AS181" i="5"/>
  <c r="AS2" i="5" s="1"/>
  <c r="AU181" i="5"/>
  <c r="AU2" i="5" s="1"/>
  <c r="AW55" i="5"/>
  <c r="AX55" i="5" s="1"/>
  <c r="AW67" i="5"/>
  <c r="AX67" i="5" s="1"/>
  <c r="AW79" i="5"/>
  <c r="AX79" i="5" s="1"/>
  <c r="AW91" i="5"/>
  <c r="AX91" i="5" s="1"/>
  <c r="AW103" i="5"/>
  <c r="AW278" i="5" s="1"/>
  <c r="AW115" i="5"/>
  <c r="AW290" i="5" s="1"/>
  <c r="AX31" i="5"/>
  <c r="AX43" i="5"/>
  <c r="AX59" i="5"/>
  <c r="AX71" i="5"/>
  <c r="AX83" i="5"/>
  <c r="AX95" i="5"/>
  <c r="AX99" i="5"/>
  <c r="AX111" i="5"/>
  <c r="AW211" i="5"/>
  <c r="AW235" i="5"/>
  <c r="AW247" i="5"/>
  <c r="AW259" i="5"/>
  <c r="AW271" i="5"/>
  <c r="AW44" i="5"/>
  <c r="AW219" i="5" s="1"/>
  <c r="AW56" i="5"/>
  <c r="AW231" i="5" s="1"/>
  <c r="AW68" i="5"/>
  <c r="AX68" i="5" s="1"/>
  <c r="AW80" i="5"/>
  <c r="AX80" i="5" s="1"/>
  <c r="AW92" i="5"/>
  <c r="AX92" i="5" s="1"/>
  <c r="AW104" i="5"/>
  <c r="AW279" i="5" s="1"/>
  <c r="AW116" i="5"/>
  <c r="AW291" i="5" s="1"/>
  <c r="AX32" i="5"/>
  <c r="AX44" i="5"/>
  <c r="AX60" i="5"/>
  <c r="AX72" i="5"/>
  <c r="AX84" i="5"/>
  <c r="AX96" i="5"/>
  <c r="AX100" i="5"/>
  <c r="AX112" i="5"/>
  <c r="AW212" i="5"/>
  <c r="AW236" i="5"/>
  <c r="AW248" i="5"/>
  <c r="AW260" i="5"/>
  <c r="AW272" i="5"/>
  <c r="AW296" i="5"/>
  <c r="AW81" i="5"/>
  <c r="AX81" i="5" s="1"/>
  <c r="AW93" i="5"/>
  <c r="AW268" i="5" s="1"/>
  <c r="AW105" i="5"/>
  <c r="AW280" i="5" s="1"/>
  <c r="AW117" i="5"/>
  <c r="AX117" i="5" s="1"/>
  <c r="AX33" i="5"/>
  <c r="AX45" i="5"/>
  <c r="AX61" i="5"/>
  <c r="AX73" i="5"/>
  <c r="AX85" i="5"/>
  <c r="AX97" i="5"/>
  <c r="AX101" i="5"/>
  <c r="AX113" i="5"/>
  <c r="AW201" i="5"/>
  <c r="AW213" i="5"/>
  <c r="AW225" i="5"/>
  <c r="AW237" i="5"/>
  <c r="AW249" i="5"/>
  <c r="AW261" i="5"/>
  <c r="AW273" i="5"/>
  <c r="AW285" i="5"/>
  <c r="I2" i="5"/>
  <c r="AW46" i="5"/>
  <c r="AW221" i="5" s="1"/>
  <c r="AW58" i="5"/>
  <c r="AX58" i="5" s="1"/>
  <c r="AW70" i="5"/>
  <c r="AX70" i="5" s="1"/>
  <c r="AW82" i="5"/>
  <c r="AX82" i="5" s="1"/>
  <c r="AW94" i="5"/>
  <c r="AX94" i="5" s="1"/>
  <c r="AW106" i="5"/>
  <c r="AX106" i="5" s="1"/>
  <c r="AW118" i="5"/>
  <c r="AW293" i="5" s="1"/>
  <c r="AX34" i="5"/>
  <c r="AX86" i="5"/>
  <c r="AX102" i="5"/>
  <c r="AW202" i="5"/>
  <c r="AW226" i="5"/>
  <c r="AW238" i="5"/>
  <c r="AW250" i="5"/>
  <c r="AW262" i="5"/>
  <c r="AW274" i="5"/>
  <c r="AW286" i="5"/>
  <c r="AW47" i="5"/>
  <c r="AW222" i="5" s="1"/>
  <c r="AW107" i="5"/>
  <c r="AW282" i="5" s="1"/>
  <c r="AW119" i="5"/>
  <c r="AW294" i="5" s="1"/>
  <c r="AX35" i="5"/>
  <c r="AX63" i="5"/>
  <c r="AX75" i="5"/>
  <c r="AX87" i="5"/>
  <c r="AX103" i="5"/>
  <c r="AX115" i="5"/>
  <c r="AW203" i="5"/>
  <c r="AW227" i="5"/>
  <c r="AW239" i="5"/>
  <c r="AW251" i="5"/>
  <c r="AW263" i="5"/>
  <c r="AW275" i="5"/>
  <c r="AW287" i="5"/>
  <c r="AC2" i="5"/>
  <c r="E2" i="5"/>
  <c r="AW48" i="5"/>
  <c r="AW223" i="5" s="1"/>
  <c r="AW108" i="5"/>
  <c r="AX108" i="5" s="1"/>
  <c r="AW120" i="5"/>
  <c r="AX120" i="5" s="1"/>
  <c r="AX64" i="5"/>
  <c r="AX76" i="5"/>
  <c r="AX88" i="5"/>
  <c r="AW204" i="5"/>
  <c r="AW228" i="5"/>
  <c r="AW240" i="5"/>
  <c r="AW252" i="5"/>
  <c r="AW264" i="5"/>
  <c r="AW276" i="5"/>
  <c r="AW288" i="5"/>
  <c r="C2" i="5"/>
  <c r="AW49" i="5"/>
  <c r="AX49" i="5" s="1"/>
  <c r="AW109" i="5"/>
  <c r="AX109" i="5" s="1"/>
  <c r="AX26" i="5"/>
  <c r="AX65" i="5"/>
  <c r="AX77" i="5"/>
  <c r="AX89" i="5"/>
  <c r="AX121" i="5"/>
  <c r="AW229" i="5"/>
  <c r="AW241" i="5"/>
  <c r="AW253" i="5"/>
  <c r="Q181" i="5"/>
  <c r="Q2" i="5" s="1"/>
  <c r="AX51" i="5"/>
  <c r="AW254" i="5"/>
  <c r="AW266" i="5"/>
  <c r="W2" i="5"/>
  <c r="AW39" i="5"/>
  <c r="AW214" i="5" s="1"/>
  <c r="AX27" i="5"/>
  <c r="AX52" i="5"/>
  <c r="AX53" i="5"/>
  <c r="AW207" i="5"/>
  <c r="AW255" i="5"/>
  <c r="AW25" i="5"/>
  <c r="AX25" i="5" s="1"/>
  <c r="AV2" i="5"/>
  <c r="AW40" i="5"/>
  <c r="AW215" i="5" s="1"/>
  <c r="AW244" i="5"/>
  <c r="AW256" i="5"/>
  <c r="AW41" i="5"/>
  <c r="AX41" i="5" s="1"/>
  <c r="AO2" i="5"/>
  <c r="EA1" i="3"/>
  <c r="K17" i="6" s="1"/>
  <c r="EE1" i="3"/>
  <c r="K22" i="6" s="1"/>
  <c r="EC1" i="3"/>
  <c r="K19" i="6" s="1"/>
  <c r="EB1" i="3"/>
  <c r="K18" i="6" s="1"/>
  <c r="DZ1" i="3"/>
  <c r="K16" i="6" s="1"/>
  <c r="EF1" i="3"/>
  <c r="K24" i="6" s="1"/>
  <c r="K26" i="6" s="1"/>
  <c r="BZ193" i="3"/>
  <c r="BZ192" i="3"/>
  <c r="BZ191" i="3"/>
  <c r="BZ190" i="3"/>
  <c r="BZ195" i="3"/>
  <c r="BZ196" i="3"/>
  <c r="BZ197" i="3"/>
  <c r="BZ198" i="3"/>
  <c r="BZ199" i="3"/>
  <c r="MG202" i="3"/>
  <c r="MG5" i="3" s="1"/>
  <c r="LL194" i="3"/>
  <c r="LL5" i="3" s="1"/>
  <c r="JG194" i="3"/>
  <c r="KL194" i="3"/>
  <c r="JG202" i="3"/>
  <c r="KL202" i="3"/>
  <c r="LL202" i="3"/>
  <c r="KL5" i="3" l="1"/>
  <c r="JG5" i="3"/>
  <c r="AX105" i="5"/>
  <c r="AW242" i="5"/>
  <c r="AW230" i="5"/>
  <c r="AW232" i="5"/>
  <c r="AX114" i="5"/>
  <c r="AX104" i="5"/>
  <c r="AW265" i="5"/>
  <c r="AX48" i="5"/>
  <c r="AX30" i="5"/>
  <c r="AW284" i="5"/>
  <c r="AW267" i="5"/>
  <c r="AW217" i="5"/>
  <c r="AW243" i="5"/>
  <c r="AX116" i="5"/>
  <c r="AW295" i="5"/>
  <c r="AX40" i="5"/>
  <c r="AW281" i="5"/>
  <c r="AX118" i="5"/>
  <c r="AW283" i="5"/>
  <c r="AX39" i="5"/>
  <c r="AX47" i="5"/>
  <c r="AX93" i="5"/>
  <c r="AX46" i="5"/>
  <c r="AW224" i="5"/>
  <c r="AW292" i="5"/>
  <c r="AW257" i="5"/>
  <c r="AX56" i="5"/>
  <c r="AW200" i="5"/>
  <c r="AW245" i="5"/>
  <c r="AW233" i="5"/>
  <c r="AX107" i="5"/>
  <c r="AW216" i="5"/>
  <c r="AX119" i="5"/>
  <c r="AW269" i="5"/>
  <c r="IM209" i="3"/>
  <c r="BZ206" i="3"/>
  <c r="BZ204" i="3"/>
  <c r="BZ203" i="3"/>
  <c r="AX2" i="5" l="1"/>
  <c r="AW181" i="5"/>
  <c r="AW2" i="5" s="1"/>
  <c r="IM210" i="3"/>
  <c r="IM5" i="3" s="1"/>
  <c r="BZ209" i="3" l="1"/>
  <c r="BZ208" i="3"/>
  <c r="GT201" i="3"/>
  <c r="GT200" i="3"/>
  <c r="GT5" i="3" s="1"/>
  <c r="S30" i="6" s="1"/>
  <c r="BZ201" i="3" l="1"/>
  <c r="BZ200" i="3"/>
  <c r="FM200" i="3"/>
  <c r="BZ5" i="3" l="1"/>
  <c r="NJ1" i="3"/>
  <c r="NI1" i="3"/>
  <c r="NG1" i="3"/>
  <c r="NE1" i="3"/>
  <c r="NC1" i="3"/>
  <c r="NA1" i="3"/>
  <c r="MY1" i="3"/>
  <c r="HZ233" i="3" l="1"/>
  <c r="HZ232" i="3"/>
  <c r="HZ231" i="3"/>
  <c r="HZ230" i="3"/>
  <c r="HZ229" i="3"/>
  <c r="HZ228" i="3"/>
  <c r="HZ227" i="3"/>
  <c r="HZ226" i="3"/>
  <c r="HZ225" i="3"/>
  <c r="HZ224" i="3"/>
  <c r="HZ214" i="3"/>
  <c r="HZ175" i="3"/>
  <c r="HZ174" i="3"/>
  <c r="HZ173" i="3"/>
  <c r="HZ172" i="3"/>
  <c r="HZ171" i="3"/>
  <c r="HZ170" i="3"/>
  <c r="HZ206" i="3"/>
  <c r="HZ205" i="3"/>
  <c r="HZ204" i="3"/>
  <c r="HZ203" i="3"/>
  <c r="HZ202" i="3"/>
  <c r="HZ201" i="3"/>
  <c r="HZ200" i="3"/>
  <c r="HZ199" i="3"/>
  <c r="HZ198" i="3"/>
  <c r="HZ197" i="3"/>
  <c r="HZ196" i="3"/>
  <c r="HZ195" i="3"/>
  <c r="HZ194" i="3"/>
  <c r="HZ193" i="3"/>
  <c r="HZ192" i="3"/>
  <c r="HZ191" i="3"/>
  <c r="HZ190" i="3"/>
  <c r="HZ189" i="3"/>
  <c r="HZ188" i="3"/>
  <c r="HZ187" i="3"/>
  <c r="HZ186" i="3"/>
  <c r="HZ185" i="3"/>
  <c r="HZ184" i="3"/>
  <c r="HZ183" i="3"/>
  <c r="HZ182" i="3"/>
  <c r="HZ181" i="3"/>
  <c r="HZ180" i="3"/>
  <c r="HZ179" i="3"/>
  <c r="HZ178" i="3"/>
  <c r="HZ177" i="3"/>
  <c r="HZ176" i="3"/>
  <c r="HZ169" i="3"/>
  <c r="HZ168" i="3"/>
  <c r="HZ167" i="3"/>
  <c r="HZ166" i="3"/>
  <c r="HZ165" i="3"/>
  <c r="HZ164" i="3"/>
  <c r="HZ163" i="3"/>
  <c r="HZ162" i="3"/>
  <c r="HZ161" i="3"/>
  <c r="HZ160" i="3"/>
  <c r="HZ156" i="3"/>
  <c r="HZ155" i="3"/>
  <c r="HZ154" i="3"/>
  <c r="HY1" i="3"/>
  <c r="U21" i="6" s="1"/>
  <c r="HX1" i="3"/>
  <c r="U20" i="6" s="1"/>
  <c r="HW1" i="3"/>
  <c r="U17" i="6" s="1"/>
  <c r="HV1" i="3"/>
  <c r="U16" i="6" s="1"/>
  <c r="MV1" i="3"/>
  <c r="MS1" i="3"/>
  <c r="MQ1" i="3"/>
  <c r="AL24" i="6" s="1"/>
  <c r="AL26" i="6" s="1"/>
  <c r="MN1" i="3"/>
  <c r="AL21" i="6" s="1"/>
  <c r="MM1" i="3"/>
  <c r="AL20" i="6" s="1"/>
  <c r="MJ1" i="3"/>
  <c r="AL17" i="6" s="1"/>
  <c r="MG1" i="3"/>
  <c r="AL16" i="6" s="1"/>
  <c r="MD1" i="3"/>
  <c r="MC1" i="3"/>
  <c r="AK24" i="6" s="1"/>
  <c r="AK26" i="6" s="1"/>
  <c r="MB1" i="3"/>
  <c r="AK22" i="6" s="1"/>
  <c r="LY1" i="3"/>
  <c r="AK21" i="6" s="1"/>
  <c r="LV1" i="3"/>
  <c r="AK20" i="6" s="1"/>
  <c r="LS1" i="3"/>
  <c r="AK19" i="6" s="1"/>
  <c r="LR1" i="3"/>
  <c r="AK18" i="6" s="1"/>
  <c r="LO1" i="3"/>
  <c r="AK17" i="6" s="1"/>
  <c r="LL1" i="3"/>
  <c r="AK16" i="6" s="1"/>
  <c r="LH1" i="3"/>
  <c r="AI23" i="6" s="1"/>
  <c r="LE1" i="3"/>
  <c r="LC1" i="3"/>
  <c r="AI24" i="6" s="1"/>
  <c r="AI26" i="6" s="1"/>
  <c r="LB1" i="3"/>
  <c r="AI22" i="6" s="1"/>
  <c r="KY1" i="3"/>
  <c r="AI21" i="6" s="1"/>
  <c r="KV1" i="3"/>
  <c r="AI20" i="6" s="1"/>
  <c r="KS1" i="3"/>
  <c r="AI19" i="6" s="1"/>
  <c r="KR1" i="3"/>
  <c r="AI18" i="6" s="1"/>
  <c r="KO1" i="3"/>
  <c r="AI17" i="6" s="1"/>
  <c r="KL1" i="3"/>
  <c r="AI16" i="6" s="1"/>
  <c r="KI1" i="3"/>
  <c r="AJ24" i="6" s="1"/>
  <c r="AJ26" i="6" s="1"/>
  <c r="KH1" i="3"/>
  <c r="AJ22" i="6" s="1"/>
  <c r="KE1" i="3"/>
  <c r="AJ21" i="6" s="1"/>
  <c r="KC1" i="3"/>
  <c r="AJ20" i="6" s="1"/>
  <c r="KA1" i="3"/>
  <c r="AJ16" i="6" s="1"/>
  <c r="JX1" i="3"/>
  <c r="JV1" i="3"/>
  <c r="AH24" i="6" s="1"/>
  <c r="AH26" i="6" s="1"/>
  <c r="JU1" i="3"/>
  <c r="AH22" i="6" s="1"/>
  <c r="JR1" i="3"/>
  <c r="AH21" i="6" s="1"/>
  <c r="JO1" i="3"/>
  <c r="AH20" i="6" s="1"/>
  <c r="JN1" i="3"/>
  <c r="AH19" i="6" s="1"/>
  <c r="JM1" i="3"/>
  <c r="AH18" i="6" s="1"/>
  <c r="JJ1" i="3"/>
  <c r="AH17" i="6" s="1"/>
  <c r="JG1" i="3"/>
  <c r="AH16" i="6" s="1"/>
  <c r="JD1" i="3"/>
  <c r="AG24" i="6" s="1"/>
  <c r="AG26" i="6" s="1"/>
  <c r="JB1" i="3"/>
  <c r="JC1" i="3"/>
  <c r="AG21" i="6" s="1"/>
  <c r="HZ6" i="3" l="1"/>
  <c r="U31" i="6" s="1"/>
  <c r="HZ5" i="3"/>
  <c r="U30" i="6" s="1"/>
  <c r="HZ4" i="3"/>
  <c r="U29" i="6" s="1"/>
  <c r="JB2" i="3"/>
  <c r="AG16" i="6"/>
  <c r="JC2" i="3"/>
  <c r="HZ1" i="3"/>
  <c r="IY1" i="3"/>
  <c r="HY2" i="3" l="1"/>
  <c r="U24" i="6"/>
  <c r="U26" i="6" s="1"/>
  <c r="HX2" i="3"/>
  <c r="HW2" i="3"/>
  <c r="HV2" i="3"/>
  <c r="IZ1" i="3"/>
  <c r="IX1" i="3"/>
  <c r="IW1" i="3"/>
  <c r="CQ1" i="3"/>
  <c r="N23" i="6" s="1"/>
  <c r="IX2" i="3" l="1"/>
  <c r="IW2" i="3"/>
  <c r="AF23" i="6"/>
  <c r="IY2" i="3"/>
  <c r="AF24" i="6"/>
  <c r="AF26" i="6" s="1"/>
  <c r="BD1" i="3"/>
  <c r="I23" i="6" s="1"/>
  <c r="IT1" i="3" l="1"/>
  <c r="AE22" i="6" s="1"/>
  <c r="IS1" i="3"/>
  <c r="AE16" i="6" s="1"/>
  <c r="IO1" i="3"/>
  <c r="AD22" i="6" s="1"/>
  <c r="IN1" i="3"/>
  <c r="AD21" i="6" s="1"/>
  <c r="IM1" i="3"/>
  <c r="AD16" i="6" s="1"/>
  <c r="IJ1" i="3"/>
  <c r="L24" i="6" s="1"/>
  <c r="L26" i="6" s="1"/>
  <c r="II1" i="3"/>
  <c r="L22" i="6" s="1"/>
  <c r="IH1" i="3"/>
  <c r="L21" i="6" s="1"/>
  <c r="IG1" i="3"/>
  <c r="L20" i="6" s="1"/>
  <c r="IF1" i="3"/>
  <c r="L19" i="6" s="1"/>
  <c r="IE1" i="3"/>
  <c r="L18" i="6" s="1"/>
  <c r="ID1" i="3"/>
  <c r="L17" i="6" s="1"/>
  <c r="IC1" i="3"/>
  <c r="L16" i="6" s="1"/>
  <c r="ID2" i="3" l="1"/>
  <c r="IC2" i="3"/>
  <c r="IE2" i="3"/>
  <c r="IF2" i="3"/>
  <c r="IG2" i="3"/>
  <c r="II2" i="3"/>
  <c r="IH2" i="3"/>
  <c r="IP1" i="3"/>
  <c r="GT1" i="3"/>
  <c r="S24" i="6" s="1"/>
  <c r="S26" i="6" s="1"/>
  <c r="GS1" i="3"/>
  <c r="S23" i="6" s="1"/>
  <c r="GR1" i="3"/>
  <c r="S21" i="6" s="1"/>
  <c r="GQ1" i="3"/>
  <c r="S20" i="6" s="1"/>
  <c r="GP1" i="3"/>
  <c r="S18" i="6" s="1"/>
  <c r="GO1" i="3"/>
  <c r="S17" i="6" s="1"/>
  <c r="GN1" i="3"/>
  <c r="S16" i="6" s="1"/>
  <c r="GJ1" i="3"/>
  <c r="AC22" i="6" s="1"/>
  <c r="GI1" i="3"/>
  <c r="AC21" i="6" s="1"/>
  <c r="GH1" i="3"/>
  <c r="AC20" i="6" s="1"/>
  <c r="GG1" i="3"/>
  <c r="AC18" i="6" s="1"/>
  <c r="GF1" i="3"/>
  <c r="AC17" i="6" s="1"/>
  <c r="GE1" i="3"/>
  <c r="AC16" i="6" s="1"/>
  <c r="GA1" i="3"/>
  <c r="AB22" i="6" s="1"/>
  <c r="GB1" i="3"/>
  <c r="AB24" i="6" s="1"/>
  <c r="AB26" i="6" s="1"/>
  <c r="FZ1" i="3"/>
  <c r="AB21" i="6" s="1"/>
  <c r="FY1" i="3"/>
  <c r="AB17" i="6" s="1"/>
  <c r="FR1" i="3"/>
  <c r="AA19" i="6" s="1"/>
  <c r="FU1" i="3"/>
  <c r="AA22" i="6" s="1"/>
  <c r="FT1" i="3"/>
  <c r="AA21" i="6" s="1"/>
  <c r="FV1" i="3"/>
  <c r="AA24" i="6" s="1"/>
  <c r="AA26" i="6" s="1"/>
  <c r="FS1" i="3"/>
  <c r="AA20" i="6" s="1"/>
  <c r="FQ1" i="3"/>
  <c r="AA17" i="6" s="1"/>
  <c r="FP1" i="3"/>
  <c r="AA16" i="6" s="1"/>
  <c r="FM176" i="3"/>
  <c r="FM175" i="3"/>
  <c r="FM174" i="3"/>
  <c r="FM172" i="3"/>
  <c r="FM171" i="3"/>
  <c r="FM170" i="3"/>
  <c r="FM166" i="3"/>
  <c r="FM165" i="3"/>
  <c r="FM164" i="3"/>
  <c r="FM163" i="3"/>
  <c r="FM162" i="3"/>
  <c r="FM161" i="3"/>
  <c r="FM160" i="3"/>
  <c r="FM151" i="3"/>
  <c r="FM157" i="3"/>
  <c r="FM156" i="3"/>
  <c r="FM155" i="3"/>
  <c r="FM154" i="3"/>
  <c r="FM153" i="3"/>
  <c r="FM152" i="3"/>
  <c r="FM150" i="3"/>
  <c r="FM149" i="3"/>
  <c r="FM148" i="3"/>
  <c r="FM147" i="3"/>
  <c r="FM146" i="3"/>
  <c r="FM144" i="3"/>
  <c r="FM143" i="3"/>
  <c r="FM142" i="3"/>
  <c r="FM141" i="3"/>
  <c r="FM138" i="3"/>
  <c r="FM137" i="3"/>
  <c r="FM136" i="3"/>
  <c r="FM135" i="3"/>
  <c r="FM134" i="3"/>
  <c r="FM133" i="3"/>
  <c r="FM132" i="3"/>
  <c r="FM131" i="3"/>
  <c r="FM130" i="3"/>
  <c r="FM129" i="3"/>
  <c r="FM128" i="3"/>
  <c r="FM127" i="3"/>
  <c r="FM126" i="3"/>
  <c r="FM125" i="3"/>
  <c r="FM124" i="3"/>
  <c r="FM123" i="3"/>
  <c r="FM122" i="3"/>
  <c r="FM121" i="3"/>
  <c r="FM120" i="3"/>
  <c r="FM119" i="3"/>
  <c r="FM118" i="3"/>
  <c r="FM117" i="3"/>
  <c r="FM116" i="3"/>
  <c r="FM115" i="3"/>
  <c r="FM225" i="3"/>
  <c r="FM224" i="3"/>
  <c r="FM223" i="3"/>
  <c r="FM222" i="3"/>
  <c r="FM221" i="3"/>
  <c r="FM220" i="3"/>
  <c r="FM219" i="3"/>
  <c r="FM218" i="3"/>
  <c r="FM217" i="3"/>
  <c r="FM216" i="3"/>
  <c r="FM215" i="3"/>
  <c r="FM214" i="3"/>
  <c r="FM213" i="3"/>
  <c r="FM212" i="3"/>
  <c r="FM211" i="3"/>
  <c r="FM210" i="3"/>
  <c r="FM209" i="3"/>
  <c r="FM208" i="3"/>
  <c r="FM193" i="3"/>
  <c r="FM169" i="3"/>
  <c r="FM168" i="3"/>
  <c r="FM145" i="3"/>
  <c r="FM114" i="3"/>
  <c r="FM113" i="3"/>
  <c r="FM112" i="3"/>
  <c r="FM111" i="3"/>
  <c r="FM110" i="3"/>
  <c r="FM109" i="3"/>
  <c r="FM108" i="3"/>
  <c r="FM107" i="3"/>
  <c r="FM106" i="3"/>
  <c r="FM94" i="3"/>
  <c r="FK1" i="3"/>
  <c r="Z19" i="6" s="1"/>
  <c r="FJ1" i="3"/>
  <c r="Z17" i="6" s="1"/>
  <c r="FI1" i="3"/>
  <c r="Z16" i="6" s="1"/>
  <c r="FE1" i="3"/>
  <c r="FD1" i="3"/>
  <c r="FC1" i="3"/>
  <c r="R23" i="6" l="1"/>
  <c r="FM3" i="3"/>
  <c r="Z28" i="6" s="1"/>
  <c r="FM5" i="3"/>
  <c r="Z30" i="6" s="1"/>
  <c r="FM6" i="3"/>
  <c r="Z31" i="6" s="1"/>
  <c r="FM4" i="3"/>
  <c r="Z29" i="6" s="1"/>
  <c r="IM2" i="3"/>
  <c r="AD24" i="6"/>
  <c r="AD26" i="6" s="1"/>
  <c r="FZ2" i="3"/>
  <c r="EC2" i="3"/>
  <c r="FR2" i="3"/>
  <c r="GA2" i="3"/>
  <c r="DZ2" i="3"/>
  <c r="EA2" i="3"/>
  <c r="EB2" i="3"/>
  <c r="EE2" i="3"/>
  <c r="FQ2" i="3"/>
  <c r="FS2" i="3"/>
  <c r="FT2" i="3"/>
  <c r="FU2" i="3"/>
  <c r="FY2" i="3"/>
  <c r="IO2" i="3"/>
  <c r="ED2" i="3"/>
  <c r="GS2" i="3"/>
  <c r="FP2" i="3"/>
  <c r="GN2" i="3"/>
  <c r="GP2" i="3"/>
  <c r="IN2" i="3"/>
  <c r="GO2" i="3"/>
  <c r="GQ2" i="3"/>
  <c r="GR2" i="3"/>
  <c r="FF1" i="3"/>
  <c r="FB1" i="3"/>
  <c r="R19" i="6" s="1"/>
  <c r="FA1" i="3"/>
  <c r="R18" i="6" s="1"/>
  <c r="EZ1" i="3"/>
  <c r="R17" i="6" s="1"/>
  <c r="EY1" i="3"/>
  <c r="R16" i="6" s="1"/>
  <c r="FD2" i="3" l="1"/>
  <c r="R24" i="6"/>
  <c r="R26" i="6" s="1"/>
  <c r="EY2" i="3"/>
  <c r="FE2" i="3"/>
  <c r="FC2" i="3"/>
  <c r="EZ2" i="3"/>
  <c r="FB2" i="3"/>
  <c r="FA2" i="3"/>
  <c r="HP1" i="3"/>
  <c r="HO1" i="3"/>
  <c r="HM1" i="3"/>
  <c r="HC1" i="3"/>
  <c r="HB1" i="3"/>
  <c r="Q18" i="6" s="1"/>
  <c r="HT1" i="3"/>
  <c r="HS1" i="3"/>
  <c r="HR1" i="3"/>
  <c r="HQ1" i="3"/>
  <c r="HN1" i="3"/>
  <c r="HL1" i="3"/>
  <c r="HK1" i="3"/>
  <c r="HJ1" i="3"/>
  <c r="HI1" i="3"/>
  <c r="HH1" i="3"/>
  <c r="HG1" i="3"/>
  <c r="Q19" i="6" s="1"/>
  <c r="HF1" i="3"/>
  <c r="HE1" i="3"/>
  <c r="HD1" i="3"/>
  <c r="GW1" i="3"/>
  <c r="Q17" i="6" s="1"/>
  <c r="IU166" i="3"/>
  <c r="IU163" i="3"/>
  <c r="IU162" i="3"/>
  <c r="IU161" i="3"/>
  <c r="IU160" i="3"/>
  <c r="IU159" i="3"/>
  <c r="IU157" i="3"/>
  <c r="IU156" i="3"/>
  <c r="IU155" i="3"/>
  <c r="IU150" i="3"/>
  <c r="IU147" i="3"/>
  <c r="IU146" i="3"/>
  <c r="IU144" i="3"/>
  <c r="IU143" i="3"/>
  <c r="IU142" i="3"/>
  <c r="IU141" i="3"/>
  <c r="IU140" i="3"/>
  <c r="IU139" i="3"/>
  <c r="IU118" i="3"/>
  <c r="IU5" i="3" l="1"/>
  <c r="AE30" i="6" s="1"/>
  <c r="IU4" i="3"/>
  <c r="AE29" i="6" s="1"/>
  <c r="Q21" i="6"/>
  <c r="Q24" i="6"/>
  <c r="Q26" i="6" s="1"/>
  <c r="IU1" i="3"/>
  <c r="GX1" i="3"/>
  <c r="IK233" i="3"/>
  <c r="IK232" i="3"/>
  <c r="IK231" i="3"/>
  <c r="IK230" i="3"/>
  <c r="IK229" i="3"/>
  <c r="IK228" i="3"/>
  <c r="IS2" i="3" l="1"/>
  <c r="AE24" i="6"/>
  <c r="AE26" i="6" s="1"/>
  <c r="IT2" i="3"/>
  <c r="GY1" i="3"/>
  <c r="GK226" i="3"/>
  <c r="GK221" i="3"/>
  <c r="GK6" i="3" s="1"/>
  <c r="AC31" i="6" s="1"/>
  <c r="GK175" i="3"/>
  <c r="GK174" i="3"/>
  <c r="GK173" i="3"/>
  <c r="GK154" i="3"/>
  <c r="GK153" i="3"/>
  <c r="GK170" i="3"/>
  <c r="GK169" i="3"/>
  <c r="GK168" i="3"/>
  <c r="GK167" i="3"/>
  <c r="GK166" i="3"/>
  <c r="GK165" i="3"/>
  <c r="GK164" i="3"/>
  <c r="GK163" i="3"/>
  <c r="GK162" i="3"/>
  <c r="GK161" i="3"/>
  <c r="GK160" i="3"/>
  <c r="GK159" i="3"/>
  <c r="GK158" i="3"/>
  <c r="GK157" i="3"/>
  <c r="GK156" i="3"/>
  <c r="GK147" i="3"/>
  <c r="GK146" i="3"/>
  <c r="GK145" i="3"/>
  <c r="GK144" i="3"/>
  <c r="GK143" i="3"/>
  <c r="GK142" i="3"/>
  <c r="GK141" i="3"/>
  <c r="GK140" i="3"/>
  <c r="GK139" i="3"/>
  <c r="GK155" i="3"/>
  <c r="GK152" i="3"/>
  <c r="GK151" i="3"/>
  <c r="GK150" i="3"/>
  <c r="GK149" i="3"/>
  <c r="GK148" i="3"/>
  <c r="GK138" i="3"/>
  <c r="GK137" i="3"/>
  <c r="GK136" i="3"/>
  <c r="GK135" i="3"/>
  <c r="GK134" i="3"/>
  <c r="GK133" i="3"/>
  <c r="GK132" i="3"/>
  <c r="GK131" i="3"/>
  <c r="GK130" i="3"/>
  <c r="GK129" i="3"/>
  <c r="GK128" i="3"/>
  <c r="GK127" i="3"/>
  <c r="GK126" i="3"/>
  <c r="GK125" i="3"/>
  <c r="GK124" i="3"/>
  <c r="GK123" i="3"/>
  <c r="GK122" i="3"/>
  <c r="GK121" i="3"/>
  <c r="GK120" i="3"/>
  <c r="GK119" i="3"/>
  <c r="GK118" i="3"/>
  <c r="GK117" i="3"/>
  <c r="GK116" i="3"/>
  <c r="GK115" i="3"/>
  <c r="GK113" i="3"/>
  <c r="GK196" i="3"/>
  <c r="GK114" i="3"/>
  <c r="GK112" i="3"/>
  <c r="GK3" i="3" s="1"/>
  <c r="AC28" i="6" s="1"/>
  <c r="GK4" i="3" l="1"/>
  <c r="AC29" i="6" s="1"/>
  <c r="GK5" i="3"/>
  <c r="AC30" i="6" s="1"/>
  <c r="GK1" i="3"/>
  <c r="AC24" i="6" s="1"/>
  <c r="AC26" i="6" s="1"/>
  <c r="GZ1" i="3"/>
  <c r="HA1" i="3"/>
  <c r="FW206" i="3"/>
  <c r="FW205" i="3"/>
  <c r="FW203" i="3"/>
  <c r="FW202" i="3"/>
  <c r="FW168" i="3"/>
  <c r="FW167" i="3"/>
  <c r="FW166" i="3"/>
  <c r="FW165" i="3"/>
  <c r="FW164" i="3"/>
  <c r="FW163" i="3"/>
  <c r="FW162" i="3"/>
  <c r="FW161" i="3"/>
  <c r="FW160" i="3"/>
  <c r="FW159" i="3"/>
  <c r="FW158" i="3"/>
  <c r="FW157" i="3"/>
  <c r="FW156" i="3"/>
  <c r="FW155" i="3"/>
  <c r="FW154" i="3"/>
  <c r="FW153" i="3"/>
  <c r="FW152" i="3"/>
  <c r="FW150" i="3"/>
  <c r="FW149" i="3"/>
  <c r="FW148" i="3"/>
  <c r="FW147" i="3"/>
  <c r="FW146" i="3"/>
  <c r="FW145" i="3"/>
  <c r="FW144" i="3"/>
  <c r="FW143" i="3"/>
  <c r="FW141" i="3"/>
  <c r="FW140" i="3"/>
  <c r="FW139" i="3"/>
  <c r="FW138" i="3"/>
  <c r="FW137" i="3"/>
  <c r="FW136" i="3"/>
  <c r="FW135" i="3"/>
  <c r="FW134" i="3"/>
  <c r="FW133" i="3"/>
  <c r="FW132" i="3"/>
  <c r="FW131" i="3"/>
  <c r="FW130" i="3"/>
  <c r="FW129" i="3"/>
  <c r="FW128" i="3"/>
  <c r="FW127" i="3"/>
  <c r="FW126" i="3"/>
  <c r="FW123" i="3"/>
  <c r="FW112" i="3"/>
  <c r="FW113" i="3"/>
  <c r="FW114" i="3"/>
  <c r="FW115" i="3"/>
  <c r="FW116" i="3"/>
  <c r="FW117" i="3"/>
  <c r="FW118" i="3"/>
  <c r="FW119" i="3"/>
  <c r="FW120" i="3"/>
  <c r="FW108" i="3"/>
  <c r="FW107" i="3"/>
  <c r="FW106" i="3"/>
  <c r="FW78" i="3"/>
  <c r="FM1" i="3"/>
  <c r="Z24" i="6" s="1"/>
  <c r="Z26" i="6" s="1"/>
  <c r="FL1" i="3"/>
  <c r="Z21" i="6" s="1"/>
  <c r="FL2" i="3" l="1"/>
  <c r="FK2" i="3"/>
  <c r="FJ2" i="3"/>
  <c r="FI2" i="3"/>
  <c r="GJ2" i="3"/>
  <c r="GI2" i="3"/>
  <c r="GE2" i="3"/>
  <c r="GF2" i="3"/>
  <c r="GH2" i="3"/>
  <c r="GG2" i="3"/>
  <c r="EV1" i="3"/>
  <c r="Y24" i="6" s="1"/>
  <c r="Y26" i="6" s="1"/>
  <c r="EU1" i="3"/>
  <c r="Y21" i="6" s="1"/>
  <c r="EU2" i="3" l="1"/>
  <c r="ER1" i="3" l="1"/>
  <c r="EQ1" i="3"/>
  <c r="V24" i="6" l="1"/>
  <c r="V26" i="6" s="1"/>
  <c r="V21" i="6"/>
  <c r="EQ2" i="3"/>
  <c r="CS228" i="3" l="1"/>
  <c r="CS229" i="3"/>
  <c r="CS230" i="3"/>
  <c r="CS231" i="3"/>
  <c r="CS232" i="3"/>
  <c r="CS233" i="3"/>
  <c r="EN126" i="3" l="1"/>
  <c r="EN125" i="3"/>
  <c r="EN124" i="3"/>
  <c r="EN123" i="3"/>
  <c r="EN127" i="3"/>
  <c r="EN144" i="3"/>
  <c r="EN139" i="3"/>
  <c r="EN137" i="3"/>
  <c r="DL87" i="3"/>
  <c r="DL86" i="3"/>
  <c r="DL85" i="3"/>
  <c r="DL84" i="3"/>
  <c r="DL83" i="3"/>
  <c r="DL82" i="3"/>
  <c r="DL81" i="3"/>
  <c r="DL80" i="3"/>
  <c r="DL79" i="3"/>
  <c r="DL78" i="3"/>
  <c r="DL77" i="3"/>
  <c r="DL76" i="3"/>
  <c r="DL75" i="3"/>
  <c r="DL74" i="3"/>
  <c r="DL73" i="3"/>
  <c r="DL72" i="3"/>
  <c r="DL71" i="3"/>
  <c r="EM1" i="3" l="1"/>
  <c r="M24" i="6" s="1"/>
  <c r="M26" i="6" s="1"/>
  <c r="EL1" i="3"/>
  <c r="M22" i="6" s="1"/>
  <c r="EK1" i="3"/>
  <c r="M21" i="6" s="1"/>
  <c r="EJ1" i="3"/>
  <c r="M20" i="6" s="1"/>
  <c r="EI1" i="3"/>
  <c r="M16" i="6" s="1"/>
  <c r="DV1" i="3"/>
  <c r="G24" i="6" s="1"/>
  <c r="G26" i="6" s="1"/>
  <c r="DU1" i="3"/>
  <c r="G22" i="6" s="1"/>
  <c r="DT1" i="3"/>
  <c r="G21" i="6" s="1"/>
  <c r="DS1" i="3"/>
  <c r="G20" i="6" s="1"/>
  <c r="DR1" i="3"/>
  <c r="G19" i="6" s="1"/>
  <c r="DQ1" i="3"/>
  <c r="G18" i="6" s="1"/>
  <c r="DP1" i="3"/>
  <c r="G17" i="6" s="1"/>
  <c r="DO1" i="3"/>
  <c r="G16" i="6" s="1"/>
  <c r="DK1" i="3"/>
  <c r="F24" i="6" s="1"/>
  <c r="F26" i="6" s="1"/>
  <c r="DJ1" i="3"/>
  <c r="F22" i="6" s="1"/>
  <c r="DI1" i="3"/>
  <c r="F21" i="6" s="1"/>
  <c r="DH1" i="3"/>
  <c r="F20" i="6" s="1"/>
  <c r="DG1" i="3"/>
  <c r="F19" i="6" s="1"/>
  <c r="DF1" i="3"/>
  <c r="F18" i="6" s="1"/>
  <c r="DE1" i="3"/>
  <c r="F17" i="6" s="1"/>
  <c r="DD1" i="3"/>
  <c r="F16" i="6" s="1"/>
  <c r="CX1" i="3"/>
  <c r="H21" i="6" s="1"/>
  <c r="CW1" i="3"/>
  <c r="H19" i="6" s="1"/>
  <c r="CV1" i="3"/>
  <c r="H16" i="6" s="1"/>
  <c r="CR1" i="3"/>
  <c r="CP1" i="3"/>
  <c r="N22" i="6" s="1"/>
  <c r="CO1" i="3"/>
  <c r="N21" i="6" s="1"/>
  <c r="CN1" i="3"/>
  <c r="N20" i="6" s="1"/>
  <c r="CM1" i="3"/>
  <c r="N19" i="6" s="1"/>
  <c r="CL1" i="3"/>
  <c r="N18" i="6" s="1"/>
  <c r="CK1" i="3"/>
  <c r="N17" i="6" s="1"/>
  <c r="CJ1" i="3"/>
  <c r="N16" i="6" s="1"/>
  <c r="CG1" i="3"/>
  <c r="J24" i="6" s="1"/>
  <c r="J26" i="6" s="1"/>
  <c r="CF1" i="3"/>
  <c r="J22" i="6" s="1"/>
  <c r="CE1" i="3"/>
  <c r="J21" i="6" s="1"/>
  <c r="CD1" i="3"/>
  <c r="J20" i="6" s="1"/>
  <c r="CC1" i="3"/>
  <c r="J19" i="6" s="1"/>
  <c r="CB1" i="3"/>
  <c r="J18" i="6" s="1"/>
  <c r="CA1" i="3"/>
  <c r="J17" i="6" s="1"/>
  <c r="BZ1" i="3"/>
  <c r="J16" i="6" s="1"/>
  <c r="BV1" i="3"/>
  <c r="T24" i="6" s="1"/>
  <c r="T26" i="6" s="1"/>
  <c r="BU1" i="3"/>
  <c r="T22" i="6" s="1"/>
  <c r="BT1" i="3"/>
  <c r="T21" i="6" s="1"/>
  <c r="BS1" i="3"/>
  <c r="T17" i="6" s="1"/>
  <c r="BO1" i="3"/>
  <c r="E24" i="6" s="1"/>
  <c r="E26" i="6" s="1"/>
  <c r="BN1" i="3"/>
  <c r="E22" i="6" s="1"/>
  <c r="BM1" i="3"/>
  <c r="E21" i="6" s="1"/>
  <c r="BL1" i="3"/>
  <c r="E20" i="6" s="1"/>
  <c r="BK1" i="3"/>
  <c r="E19" i="6" s="1"/>
  <c r="BJ1" i="3"/>
  <c r="E18" i="6" s="1"/>
  <c r="BI1" i="3"/>
  <c r="E17" i="6" s="1"/>
  <c r="BH1" i="3"/>
  <c r="E16" i="6" s="1"/>
  <c r="BE1" i="3"/>
  <c r="BC1" i="3"/>
  <c r="I21" i="6" s="1"/>
  <c r="BB1" i="3"/>
  <c r="I19" i="6" s="1"/>
  <c r="BA1" i="3"/>
  <c r="I17" i="6" s="1"/>
  <c r="AZ1" i="3"/>
  <c r="I16" i="6" s="1"/>
  <c r="AW1" i="3"/>
  <c r="AT1" i="3"/>
  <c r="O24" i="6" s="1"/>
  <c r="O26" i="6" s="1"/>
  <c r="AS1" i="3"/>
  <c r="O21" i="6" s="1"/>
  <c r="AR1" i="3"/>
  <c r="O20" i="6" s="1"/>
  <c r="AQ1" i="3"/>
  <c r="O19" i="6" s="1"/>
  <c r="AP1" i="3"/>
  <c r="O18" i="6" s="1"/>
  <c r="AN1" i="3"/>
  <c r="O16" i="6" s="1"/>
  <c r="AC1" i="3"/>
  <c r="AB1" i="3"/>
  <c r="W22" i="6" s="1"/>
  <c r="AA1" i="3"/>
  <c r="W21" i="6" s="1"/>
  <c r="Z1" i="3"/>
  <c r="W18" i="6" s="1"/>
  <c r="Y1" i="3"/>
  <c r="W17" i="6" s="1"/>
  <c r="X1" i="3"/>
  <c r="W16" i="6" s="1"/>
  <c r="T1" i="3"/>
  <c r="D24" i="6" s="1"/>
  <c r="D26" i="6" s="1"/>
  <c r="S1" i="3"/>
  <c r="D22" i="6" s="1"/>
  <c r="R1" i="3"/>
  <c r="D21" i="6" s="1"/>
  <c r="Q1" i="3"/>
  <c r="D20" i="6" s="1"/>
  <c r="P1" i="3"/>
  <c r="D19" i="6" s="1"/>
  <c r="O1" i="3"/>
  <c r="D18" i="6" s="1"/>
  <c r="N1" i="3"/>
  <c r="D17" i="6" s="1"/>
  <c r="M1" i="3"/>
  <c r="D16" i="6" s="1"/>
  <c r="I1" i="3"/>
  <c r="C24" i="6" s="1"/>
  <c r="C26" i="6" s="1"/>
  <c r="H1" i="3"/>
  <c r="C22" i="6" s="1"/>
  <c r="G1" i="3"/>
  <c r="C21" i="6" s="1"/>
  <c r="F1" i="3"/>
  <c r="C20" i="6" s="1"/>
  <c r="E1" i="3"/>
  <c r="C19" i="6" s="1"/>
  <c r="D1" i="3"/>
  <c r="C18" i="6" s="1"/>
  <c r="C1" i="3"/>
  <c r="C17" i="6" s="1"/>
  <c r="B1" i="3"/>
  <c r="C16" i="6" s="1"/>
  <c r="W24" i="6" l="1"/>
  <c r="W26" i="6" s="1"/>
  <c r="P24" i="6"/>
  <c r="P26" i="6" s="1"/>
  <c r="P18" i="6"/>
  <c r="BD2" i="3"/>
  <c r="I24" i="6"/>
  <c r="I26" i="6" s="1"/>
  <c r="CQ2" i="3"/>
  <c r="N24" i="6"/>
  <c r="N26" i="6" s="1"/>
  <c r="DH2" i="3"/>
  <c r="DP2" i="3"/>
  <c r="DR2" i="3"/>
  <c r="H2" i="3"/>
  <c r="DQ2" i="3"/>
  <c r="AS2" i="3"/>
  <c r="DU2" i="3"/>
  <c r="EI2" i="3"/>
  <c r="EL2" i="3"/>
  <c r="Z2" i="3"/>
  <c r="BA2" i="3"/>
  <c r="BS2" i="3"/>
  <c r="Q2" i="3"/>
  <c r="AQ2" i="3"/>
  <c r="AR2" i="3"/>
  <c r="DO2" i="3"/>
  <c r="EJ2" i="3"/>
  <c r="X2" i="3"/>
  <c r="Y2" i="3"/>
  <c r="AZ2" i="3"/>
  <c r="DD2" i="3"/>
  <c r="DE2" i="3"/>
  <c r="DJ2" i="3"/>
  <c r="EK2" i="3"/>
  <c r="AN2" i="3"/>
  <c r="BH2" i="3"/>
  <c r="DI2" i="3"/>
  <c r="AP2" i="3"/>
  <c r="BI2" i="3"/>
  <c r="B2" i="3"/>
  <c r="BJ2" i="3"/>
  <c r="C2" i="3"/>
  <c r="BK2" i="3"/>
  <c r="D2" i="3"/>
  <c r="BL2" i="3"/>
  <c r="E2" i="3"/>
  <c r="F2" i="3"/>
  <c r="BN2" i="3"/>
  <c r="G2" i="3"/>
  <c r="BM2" i="3"/>
  <c r="M2" i="3"/>
  <c r="AA2" i="3"/>
  <c r="BB2" i="3"/>
  <c r="BT2" i="3"/>
  <c r="DF2" i="3"/>
  <c r="N2" i="3"/>
  <c r="AB2" i="3"/>
  <c r="BC2" i="3"/>
  <c r="BU2" i="3"/>
  <c r="DG2" i="3"/>
  <c r="DT2" i="3"/>
  <c r="O2" i="3"/>
  <c r="DS2" i="3"/>
  <c r="CY1" i="3"/>
  <c r="CZ1" i="3"/>
  <c r="H23" i="6" s="1"/>
  <c r="P2" i="3"/>
  <c r="R2" i="3"/>
  <c r="S2" i="3"/>
  <c r="CO2" i="3"/>
  <c r="CN2" i="3"/>
  <c r="CM2" i="3"/>
  <c r="CP2" i="3"/>
  <c r="CL2" i="3"/>
  <c r="CJ2" i="3"/>
  <c r="CK2" i="3"/>
  <c r="CB2" i="3"/>
  <c r="CC2" i="3"/>
  <c r="CE2" i="3"/>
  <c r="CF2" i="3"/>
  <c r="BZ2" i="3"/>
  <c r="CA2" i="3"/>
  <c r="CD2" i="3"/>
  <c r="CX2" i="3" l="1"/>
  <c r="H24" i="6"/>
  <c r="H26" i="6"/>
  <c r="H29" i="6" s="1"/>
  <c r="CV2" i="3"/>
  <c r="CW2" i="3"/>
  <c r="AO1" i="3" l="1"/>
  <c r="AO2" i="3" l="1"/>
  <c r="O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Mudd</author>
  </authors>
  <commentList>
    <comment ref="AM12" authorId="0" shapeId="0" xr:uid="{98940142-AA5F-4730-92FF-B19C9E842DBB}">
      <text>
        <r>
          <rPr>
            <b/>
            <sz val="9"/>
            <color indexed="81"/>
            <rFont val="Tahoma"/>
            <family val="2"/>
          </rPr>
          <t>Gavin Mudd:</t>
        </r>
        <r>
          <rPr>
            <sz val="9"/>
            <color indexed="81"/>
            <rFont val="Tahoma"/>
            <family val="2"/>
          </rPr>
          <t xml:space="preserve">
incomplete statistics for the NT time series for Bismuth at time of publication</t>
        </r>
      </text>
    </comment>
    <comment ref="AM22" authorId="0" shapeId="0" xr:uid="{D25B579B-FAA6-4F15-9221-21885025E2A7}">
      <text>
        <r>
          <rPr>
            <b/>
            <sz val="9"/>
            <color indexed="81"/>
            <rFont val="Tahoma"/>
            <family val="2"/>
          </rPr>
          <t>Gavin Mudd:</t>
        </r>
        <r>
          <rPr>
            <sz val="9"/>
            <color indexed="81"/>
            <rFont val="Tahoma"/>
            <family val="2"/>
          </rPr>
          <t xml:space="preserve">
incomplete statistics for the NT time series for Bismuth at time of publication</t>
        </r>
      </text>
    </comment>
    <comment ref="H23" authorId="0" shapeId="0" xr:uid="{38DCB9C5-0961-46B6-A201-15E8BC9D342D}">
      <text>
        <r>
          <rPr>
            <b/>
            <sz val="9"/>
            <color indexed="81"/>
            <rFont val="Tahoma"/>
            <family val="2"/>
          </rPr>
          <t>Gavin Mudd:</t>
        </r>
        <r>
          <rPr>
            <sz val="9"/>
            <color indexed="81"/>
            <rFont val="Tahoma"/>
            <family val="2"/>
          </rPr>
          <t xml:space="preserve">
believed to be refined nickel production from the Yabulu refinery using imported nickel ores</t>
        </r>
      </text>
    </comment>
    <comment ref="AI23" authorId="0" shapeId="0" xr:uid="{9900E5E9-E05C-4EAE-8928-AF2110411D90}">
      <text>
        <r>
          <rPr>
            <b/>
            <sz val="9"/>
            <color indexed="81"/>
            <rFont val="Tahoma"/>
            <family val="2"/>
          </rPr>
          <t>Gavin Mudd:</t>
        </r>
        <r>
          <rPr>
            <sz val="9"/>
            <color indexed="81"/>
            <rFont val="Tahoma"/>
            <family val="2"/>
          </rPr>
          <t xml:space="preserve">
Synthetic Rutile</t>
        </r>
      </text>
    </comment>
    <comment ref="AM24" authorId="0" shapeId="0" xr:uid="{BAE5417F-1522-4BE1-9267-16A9454AF759}">
      <text>
        <r>
          <rPr>
            <b/>
            <sz val="9"/>
            <color indexed="81"/>
            <rFont val="Tahoma"/>
            <family val="2"/>
          </rPr>
          <t>Gavin Mudd:</t>
        </r>
        <r>
          <rPr>
            <sz val="9"/>
            <color indexed="81"/>
            <rFont val="Tahoma"/>
            <family val="2"/>
          </rPr>
          <t xml:space="preserve">
incomplete statistics for the NT time series for Bismuth at time of publication</t>
        </r>
      </text>
    </comment>
    <comment ref="AM26" authorId="0" shapeId="0" xr:uid="{AEC9846F-7699-4CC7-ABDB-5DEB9A780432}">
      <text>
        <r>
          <rPr>
            <b/>
            <sz val="9"/>
            <color indexed="81"/>
            <rFont val="Tahoma"/>
            <family val="2"/>
          </rPr>
          <t>Gavin Mudd:</t>
        </r>
        <r>
          <rPr>
            <sz val="9"/>
            <color indexed="81"/>
            <rFont val="Tahoma"/>
            <family val="2"/>
          </rPr>
          <t xml:space="preserve">
incomplete statistics for the NT time series for Bismuth at time of publication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Gavin Mudd</author>
  </authors>
  <commentList>
    <comment ref="C56" authorId="0" shapeId="0" xr:uid="{C5FB414C-688C-4B3D-8411-AEED59F62BAE}">
      <text>
        <r>
          <rPr>
            <b/>
            <sz val="9"/>
            <color indexed="81"/>
            <rFont val="Tahoma"/>
            <family val="2"/>
          </rPr>
          <t>Gavin Mudd:</t>
        </r>
        <r>
          <rPr>
            <sz val="9"/>
            <color indexed="81"/>
            <rFont val="Tahoma"/>
            <family val="2"/>
          </rPr>
          <t xml:space="preserve">
incorporated into Agnew from 2014</t>
        </r>
      </text>
    </comment>
    <comment ref="D156" authorId="0" shapeId="0" xr:uid="{48F950CA-DDBD-4F04-A227-773BE2289A85}">
      <text>
        <r>
          <rPr>
            <b/>
            <sz val="9"/>
            <color indexed="81"/>
            <rFont val="Tahoma"/>
            <family val="2"/>
          </rPr>
          <t>Gavin Mudd:</t>
        </r>
        <r>
          <rPr>
            <sz val="9"/>
            <color indexed="81"/>
            <rFont val="Tahoma"/>
            <family val="2"/>
          </rPr>
          <t xml:space="preserve">
values from:
Brown, H Y L, 1908, Record of the Mines of South Australia. 4th Edition, SA Department of Mines (SADM), Adelaide, SA, 382 p.</t>
        </r>
      </text>
    </comment>
    <comment ref="G156" authorId="0" shapeId="0" xr:uid="{CEC50C9C-E629-435F-AA91-08112C6EAF96}">
      <text>
        <r>
          <rPr>
            <b/>
            <sz val="9"/>
            <color indexed="81"/>
            <rFont val="Tahoma"/>
            <family val="2"/>
          </rPr>
          <t>Gavin Mudd:</t>
        </r>
        <r>
          <rPr>
            <sz val="9"/>
            <color indexed="81"/>
            <rFont val="Tahoma"/>
            <family val="2"/>
          </rPr>
          <t xml:space="preserve">
values from:
Brown, H Y L, 1908, Record of the Mines of South Australia. 4th Edition, SA Department of Mines (SADM), Adelaide, SA, 382 p.</t>
        </r>
      </text>
    </comment>
    <comment ref="BU156" authorId="0" shapeId="0" xr:uid="{09F9464F-2E07-4EE8-9CFD-52E37A42E762}">
      <text>
        <r>
          <rPr>
            <b/>
            <sz val="9"/>
            <color indexed="81"/>
            <rFont val="Tahoma"/>
            <family val="2"/>
          </rPr>
          <t>Gavin Mudd:</t>
        </r>
        <r>
          <rPr>
            <sz val="9"/>
            <color indexed="81"/>
            <rFont val="Tahoma"/>
            <family val="2"/>
          </rPr>
          <t xml:space="preserve">
values from:
Brown, H Y L, 1908, Record of the Mines of South Australia. 4th Edition, SA Department of Mines (SADM), Adelaide, SA, 382 p.</t>
        </r>
      </text>
    </comment>
    <comment ref="D157" authorId="0" shapeId="0" xr:uid="{C67AA529-AB61-4F99-81E6-589B048103D0}">
      <text>
        <r>
          <rPr>
            <b/>
            <sz val="9"/>
            <color indexed="81"/>
            <rFont val="Tahoma"/>
            <family val="2"/>
          </rPr>
          <t>Gavin Mudd:</t>
        </r>
        <r>
          <rPr>
            <sz val="9"/>
            <color indexed="81"/>
            <rFont val="Tahoma"/>
            <family val="2"/>
          </rPr>
          <t xml:space="preserve">
values from:
Foots, J, 1979, Clem Lack Memorial Oration: A Journey Through Queenland's Northern Triangle. Royal Historical Society of Queensland, Brisbane, QLD, Presented 22 March 1979, pp 29-46.
URL:
https://espace.library.uq.edu.au/view/UQ:205091/s00855804_1978_79_10_4_29.pdf</t>
        </r>
      </text>
    </comment>
    <comment ref="G157" authorId="0" shapeId="0" xr:uid="{67298F05-079B-4287-9A90-860519DFCFEF}">
      <text>
        <r>
          <rPr>
            <b/>
            <sz val="9"/>
            <color indexed="81"/>
            <rFont val="Tahoma"/>
            <family val="2"/>
          </rPr>
          <t>Gavin Mudd:</t>
        </r>
        <r>
          <rPr>
            <sz val="9"/>
            <color indexed="81"/>
            <rFont val="Tahoma"/>
            <family val="2"/>
          </rPr>
          <t xml:space="preserve">
values from:
Foots, J, 1979, Clem Lack Memorial Oration: A Journey Through Queenland's Northern Triangle. Royal Historical Society of Queensland, Brisbane, QLD, Presented 22 March 1979, pp 29-46.
URL:
https://espace.library.uq.edu.au/view/UQ:205091/s00855804_1978_79_10_4_29.pdf</t>
        </r>
      </text>
    </comment>
    <comment ref="BU157" authorId="0" shapeId="0" xr:uid="{44C30519-5BE9-4407-95A7-574CB4F7FFD8}">
      <text>
        <r>
          <rPr>
            <b/>
            <sz val="9"/>
            <color indexed="81"/>
            <rFont val="Tahoma"/>
            <family val="2"/>
          </rPr>
          <t>Gavin Mudd:</t>
        </r>
        <r>
          <rPr>
            <sz val="9"/>
            <color indexed="81"/>
            <rFont val="Tahoma"/>
            <family val="2"/>
          </rPr>
          <t xml:space="preserve">
values from:
Foots, J, 1979, Clem Lack Memorial Oration: A Journey Through Queenland's Northern Triangle. Royal Historical Society of Queensland, Brisbane, QLD, Presented 22 March 1979, pp 29-46.
URL:
https://espace.library.uq.edu.au/view/UQ:205091/s00855804_1978_79_10_4_29.pdf</t>
        </r>
      </text>
    </comment>
    <comment ref="Z158" authorId="0" shapeId="0" xr:uid="{39C2E547-CA92-4450-9AB1-F8F998F99EA2}">
      <text>
        <r>
          <rPr>
            <b/>
            <sz val="9"/>
            <color indexed="81"/>
            <rFont val="Tahoma"/>
            <family val="2"/>
          </rPr>
          <t>Gavin Mudd:</t>
        </r>
        <r>
          <rPr>
            <sz val="9"/>
            <color indexed="81"/>
            <rFont val="Tahoma"/>
            <family val="2"/>
          </rPr>
          <t xml:space="preserve">
Cu oxide concentrate</t>
        </r>
      </text>
    </comment>
    <comment ref="AA158" authorId="0" shapeId="0" xr:uid="{7813A204-B53F-4D50-BB35-B3C8A7040A14}">
      <text>
        <r>
          <rPr>
            <b/>
            <sz val="9"/>
            <color indexed="81"/>
            <rFont val="Tahoma"/>
            <family val="2"/>
          </rPr>
          <t>Gavin Mudd:</t>
        </r>
        <r>
          <rPr>
            <sz val="9"/>
            <color indexed="81"/>
            <rFont val="Tahoma"/>
            <family val="2"/>
          </rPr>
          <t xml:space="preserve">
Cu oxide concentrate</t>
        </r>
      </text>
    </comment>
    <comment ref="D159" authorId="0" shapeId="0" xr:uid="{D1802AC1-7E74-40BB-BE36-512AEC6C0741}">
      <text>
        <r>
          <rPr>
            <b/>
            <sz val="9"/>
            <color indexed="81"/>
            <rFont val="Tahoma"/>
            <family val="2"/>
          </rPr>
          <t>Gavin Mudd:</t>
        </r>
        <r>
          <rPr>
            <sz val="9"/>
            <color indexed="81"/>
            <rFont val="Tahoma"/>
            <family val="2"/>
          </rPr>
          <t xml:space="preserve">
data from SA MINDEP database:
https://minerals.sarig.sa.gov.au/MineralDepositDetails.aspx</t>
        </r>
      </text>
    </comment>
    <comment ref="G159" authorId="0" shapeId="0" xr:uid="{295DEDC1-07AC-43D9-9F5A-42A2DBB542A9}">
      <text>
        <r>
          <rPr>
            <b/>
            <sz val="9"/>
            <color indexed="81"/>
            <rFont val="Tahoma"/>
            <family val="2"/>
          </rPr>
          <t>Gavin Mudd:</t>
        </r>
        <r>
          <rPr>
            <sz val="9"/>
            <color indexed="81"/>
            <rFont val="Tahoma"/>
            <family val="2"/>
          </rPr>
          <t xml:space="preserve">
data from SA MINDEP database:
https://minerals.sarig.sa.gov.au/MineralDepositDetails.aspx</t>
        </r>
      </text>
    </comment>
    <comment ref="R191" authorId="0" shapeId="0" xr:uid="{4C12D0A2-509F-4408-900C-DCAA8D4A2078}">
      <text>
        <r>
          <rPr>
            <b/>
            <sz val="9"/>
            <color indexed="81"/>
            <rFont val="Tahoma"/>
            <family val="2"/>
          </rPr>
          <t>Gavin Mudd:</t>
        </r>
        <r>
          <rPr>
            <sz val="9"/>
            <color indexed="81"/>
            <rFont val="Tahoma"/>
            <family val="2"/>
          </rPr>
          <t xml:space="preserve">
data from Table 6-1, Technical Report Dec. 2009, TriAusMin</t>
        </r>
      </text>
    </comment>
    <comment ref="S191" authorId="0" shapeId="0" xr:uid="{3BD8A394-C2E7-4393-A241-CEBB3B3C87A6}">
      <text>
        <r>
          <rPr>
            <b/>
            <sz val="9"/>
            <color indexed="81"/>
            <rFont val="Tahoma"/>
            <family val="2"/>
          </rPr>
          <t>Gavin Mudd:</t>
        </r>
        <r>
          <rPr>
            <sz val="9"/>
            <color indexed="81"/>
            <rFont val="Tahoma"/>
            <family val="2"/>
          </rPr>
          <t xml:space="preserve">
data from Table 6-1, Technical Report Dec. 2009, TriAusMin</t>
        </r>
      </text>
    </comment>
    <comment ref="U191" authorId="0" shapeId="0" xr:uid="{46938EAD-E843-4041-9A5C-63EBFD26FEAD}">
      <text>
        <r>
          <rPr>
            <b/>
            <sz val="9"/>
            <color indexed="81"/>
            <rFont val="Tahoma"/>
            <family val="2"/>
          </rPr>
          <t>Gavin Mudd:</t>
        </r>
        <r>
          <rPr>
            <sz val="9"/>
            <color indexed="81"/>
            <rFont val="Tahoma"/>
            <family val="2"/>
          </rPr>
          <t xml:space="preserve">
data from Table 6-1, Technical Report Dec. 2009, TriAusMin</t>
        </r>
      </text>
    </comment>
    <comment ref="V191" authorId="0" shapeId="0" xr:uid="{1B1E5E28-7335-4111-AD69-9FFD7675B38F}">
      <text>
        <r>
          <rPr>
            <b/>
            <sz val="9"/>
            <color indexed="81"/>
            <rFont val="Tahoma"/>
            <family val="2"/>
          </rPr>
          <t>Gavin Mudd:</t>
        </r>
        <r>
          <rPr>
            <sz val="9"/>
            <color indexed="81"/>
            <rFont val="Tahoma"/>
            <family val="2"/>
          </rPr>
          <t xml:space="preserve">
data from Table 6-1, Technical Report Dec. 2009, TriAusMin</t>
        </r>
      </text>
    </comment>
    <comment ref="E192" authorId="0" shapeId="0" xr:uid="{8BB0FA7F-2B58-4689-81CE-0BFA6480D6E1}">
      <text>
        <r>
          <rPr>
            <b/>
            <sz val="9"/>
            <color indexed="81"/>
            <rFont val="Tahoma"/>
            <family val="2"/>
          </rPr>
          <t>Gavin Mudd:</t>
        </r>
        <r>
          <rPr>
            <sz val="9"/>
            <color indexed="81"/>
            <rFont val="Tahoma"/>
            <family val="2"/>
          </rPr>
          <t xml:space="preserve">
data from Table 6-1, Technical Report Dec. 2009, TriAusMin</t>
        </r>
      </text>
    </comment>
    <comment ref="G192" authorId="0" shapeId="0" xr:uid="{AE72B3F6-7137-4523-9D9C-17004CA98537}">
      <text>
        <r>
          <rPr>
            <b/>
            <sz val="9"/>
            <color indexed="81"/>
            <rFont val="Tahoma"/>
            <family val="2"/>
          </rPr>
          <t>Gavin Mudd:</t>
        </r>
        <r>
          <rPr>
            <sz val="9"/>
            <color indexed="81"/>
            <rFont val="Tahoma"/>
            <family val="2"/>
          </rPr>
          <t xml:space="preserve">
data from Table 6-1, Technical Report Dec. 2009, TriAusMin</t>
        </r>
      </text>
    </comment>
    <comment ref="H192" authorId="0" shapeId="0" xr:uid="{01D814D9-B3AC-44F9-B11D-B25A0F8A1AF8}">
      <text>
        <r>
          <rPr>
            <b/>
            <sz val="9"/>
            <color indexed="81"/>
            <rFont val="Tahoma"/>
            <family val="2"/>
          </rPr>
          <t>Gavin Mudd:</t>
        </r>
        <r>
          <rPr>
            <sz val="9"/>
            <color indexed="81"/>
            <rFont val="Tahoma"/>
            <family val="2"/>
          </rPr>
          <t xml:space="preserve">
data from Table 6-1, Technical Report Dec. 2009, TriAusMin</t>
        </r>
      </text>
    </comment>
    <comment ref="A197" authorId="0" shapeId="0" xr:uid="{5BD33F69-09D4-41C6-830A-FC3AE49A7545}">
      <text>
        <r>
          <rPr>
            <b/>
            <sz val="9"/>
            <color indexed="81"/>
            <rFont val="Tahoma"/>
            <family val="2"/>
          </rPr>
          <t>Gavin Mudd:</t>
        </r>
        <r>
          <rPr>
            <sz val="9"/>
            <color indexed="81"/>
            <rFont val="Tahoma"/>
            <family val="2"/>
          </rPr>
          <t xml:space="preserve">
production by in-situ leach (ISL)</t>
        </r>
      </text>
    </comment>
    <comment ref="A198" authorId="0" shapeId="0" xr:uid="{CA069052-F5A1-4B94-9047-F28A3EF8D5BB}">
      <text>
        <r>
          <rPr>
            <b/>
            <sz val="9"/>
            <color indexed="81"/>
            <rFont val="Tahoma"/>
            <family val="2"/>
          </rPr>
          <t>Gavin Mudd:</t>
        </r>
        <r>
          <rPr>
            <sz val="9"/>
            <color indexed="81"/>
            <rFont val="Tahoma"/>
            <family val="2"/>
          </rPr>
          <t xml:space="preserve">
production by in-situ leach (ISL)</t>
        </r>
      </text>
    </comment>
    <comment ref="A199" authorId="0" shapeId="0" xr:uid="{007445A6-6FB4-432F-A647-9228BE67B7A8}">
      <text>
        <r>
          <rPr>
            <b/>
            <sz val="9"/>
            <color indexed="81"/>
            <rFont val="Tahoma"/>
            <family val="2"/>
          </rPr>
          <t>Gavin Mudd:</t>
        </r>
        <r>
          <rPr>
            <sz val="9"/>
            <color indexed="81"/>
            <rFont val="Tahoma"/>
            <family val="2"/>
          </rPr>
          <t xml:space="preserve">
production by in-situ leach (ISL)</t>
        </r>
      </text>
    </comment>
    <comment ref="A218" authorId="0" shapeId="0" xr:uid="{1033D3FB-CE1B-454F-BCE9-5175AE3CFA7A}">
      <text>
        <r>
          <rPr>
            <b/>
            <sz val="9"/>
            <color indexed="81"/>
            <rFont val="Tahoma"/>
            <family val="2"/>
          </rPr>
          <t>Gavin Mudd:</t>
        </r>
        <r>
          <rPr>
            <sz val="9"/>
            <color indexed="81"/>
            <rFont val="Tahoma"/>
            <family val="2"/>
          </rPr>
          <t xml:space="preserve">
includes some ore processed from the A1 mine</t>
        </r>
      </text>
    </comment>
    <comment ref="D250" authorId="0" shapeId="0" xr:uid="{24B690A6-BDC6-4BF7-B843-DA85CEBC5ECA}">
      <text>
        <r>
          <rPr>
            <b/>
            <sz val="9"/>
            <color indexed="81"/>
            <rFont val="Tahoma"/>
            <family val="2"/>
          </rPr>
          <t>Gavin Mudd:</t>
        </r>
        <r>
          <rPr>
            <sz val="9"/>
            <color indexed="81"/>
            <rFont val="Tahoma"/>
            <family val="2"/>
          </rPr>
          <t xml:space="preserve">
from Tech Rep (Nov. 2013), Ivanhoes Mines Australia / Chinova</t>
        </r>
      </text>
    </comment>
    <comment ref="E250" authorId="0" shapeId="0" xr:uid="{72F98757-8D7A-4E12-A9AC-387C65B04FEF}">
      <text>
        <r>
          <rPr>
            <b/>
            <sz val="9"/>
            <color indexed="81"/>
            <rFont val="Tahoma"/>
            <family val="2"/>
          </rPr>
          <t>Gavin Mudd:</t>
        </r>
        <r>
          <rPr>
            <sz val="9"/>
            <color indexed="81"/>
            <rFont val="Tahoma"/>
            <family val="2"/>
          </rPr>
          <t xml:space="preserve">
from Tech Rep (Nov. 2013), Ivanhoes Mines Australia / Chinova</t>
        </r>
      </text>
    </comment>
    <comment ref="G250" authorId="0" shapeId="0" xr:uid="{20F818ED-E749-417B-A48E-5063B5AE1C05}">
      <text>
        <r>
          <rPr>
            <b/>
            <sz val="9"/>
            <color indexed="81"/>
            <rFont val="Tahoma"/>
            <family val="2"/>
          </rPr>
          <t>Gavin Mudd:</t>
        </r>
        <r>
          <rPr>
            <sz val="9"/>
            <color indexed="81"/>
            <rFont val="Tahoma"/>
            <family val="2"/>
          </rPr>
          <t xml:space="preserve">
from Tech Rep (Nov. 2013), Ivanhoes Mines Australia / Chinova</t>
        </r>
      </text>
    </comment>
    <comment ref="AA250" authorId="0" shapeId="0" xr:uid="{141310BF-6007-4CD9-9128-A91EDE23112F}">
      <text>
        <r>
          <rPr>
            <b/>
            <sz val="9"/>
            <color indexed="81"/>
            <rFont val="Tahoma"/>
            <family val="2"/>
          </rPr>
          <t>Gavin Mudd:</t>
        </r>
        <r>
          <rPr>
            <sz val="9"/>
            <color indexed="81"/>
            <rFont val="Tahoma"/>
            <family val="2"/>
          </rPr>
          <t xml:space="preserve">
assumed based on production data from Selwyn Mines Ltd (2000-2003)</t>
        </r>
      </text>
    </comment>
    <comment ref="AB250" authorId="0" shapeId="0" xr:uid="{464903B5-40FD-4511-817C-4300839C174D}">
      <text>
        <r>
          <rPr>
            <b/>
            <sz val="9"/>
            <color indexed="81"/>
            <rFont val="Tahoma"/>
            <family val="2"/>
          </rPr>
          <t>Gavin Mudd:</t>
        </r>
        <r>
          <rPr>
            <sz val="9"/>
            <color indexed="81"/>
            <rFont val="Tahoma"/>
            <family val="2"/>
          </rPr>
          <t xml:space="preserve">
assumed based on production data from Selwyn Mines Ltd (2000-2003)</t>
        </r>
      </text>
    </comment>
    <comment ref="BS250" authorId="0" shapeId="0" xr:uid="{2D7A80C7-301D-4997-A7D3-8198751B8F73}">
      <text>
        <r>
          <rPr>
            <b/>
            <sz val="9"/>
            <color indexed="81"/>
            <rFont val="Tahoma"/>
            <family val="2"/>
          </rPr>
          <t>Gavin Mudd:</t>
        </r>
        <r>
          <rPr>
            <sz val="9"/>
            <color indexed="81"/>
            <rFont val="Tahoma"/>
            <family val="2"/>
          </rPr>
          <t xml:space="preserve">
from Tech Rep (Nov. 2013), Ivanhoes Mines Australia / Chinova</t>
        </r>
      </text>
    </comment>
    <comment ref="BU250" authorId="0" shapeId="0" xr:uid="{AEAA4109-7652-4214-B2C1-3323BFC272CC}">
      <text>
        <r>
          <rPr>
            <b/>
            <sz val="9"/>
            <color indexed="81"/>
            <rFont val="Tahoma"/>
            <family val="2"/>
          </rPr>
          <t>Gavin Mudd:</t>
        </r>
        <r>
          <rPr>
            <sz val="9"/>
            <color indexed="81"/>
            <rFont val="Tahoma"/>
            <family val="2"/>
          </rPr>
          <t xml:space="preserve">
from Tech Rep (Nov. 2013), Ivanhoes Mines Australia / Chinova</t>
        </r>
      </text>
    </comment>
    <comment ref="A270" authorId="0" shapeId="0" xr:uid="{F24CEEE7-6853-454A-AEC4-5A9FEDFE9CF1}">
      <text>
        <r>
          <rPr>
            <b/>
            <sz val="9"/>
            <color indexed="81"/>
            <rFont val="Tahoma"/>
            <family val="2"/>
          </rPr>
          <t>Gavin Mudd:</t>
        </r>
        <r>
          <rPr>
            <sz val="9"/>
            <color indexed="81"/>
            <rFont val="Tahoma"/>
            <family val="2"/>
          </rPr>
          <t xml:space="preserve">
ore processed at Mount Morgan</t>
        </r>
      </text>
    </comment>
    <comment ref="D271" authorId="0" shapeId="0" xr:uid="{4845B108-161F-45D5-984F-D4AA5EAE670C}">
      <text>
        <r>
          <rPr>
            <b/>
            <sz val="9"/>
            <color indexed="81"/>
            <rFont val="Tahoma"/>
            <family val="2"/>
          </rPr>
          <t>Gavin Mudd:</t>
        </r>
        <r>
          <rPr>
            <sz val="9"/>
            <color indexed="81"/>
            <rFont val="Tahoma"/>
            <family val="2"/>
          </rPr>
          <t xml:space="preserve">
from "Geology &amp; Mineral Resources of the Northern Territory" (2013)</t>
        </r>
      </text>
    </comment>
    <comment ref="E271" authorId="0" shapeId="0" xr:uid="{3B015459-E516-4815-A42D-660DDFF7E0B6}">
      <text>
        <r>
          <rPr>
            <b/>
            <sz val="9"/>
            <color indexed="81"/>
            <rFont val="Tahoma"/>
            <family val="2"/>
          </rPr>
          <t>Gavin Mudd:</t>
        </r>
        <r>
          <rPr>
            <sz val="9"/>
            <color indexed="81"/>
            <rFont val="Tahoma"/>
            <family val="2"/>
          </rPr>
          <t xml:space="preserve">
from "Geology &amp; Mineral Resources of the Northern Territory" (2013)</t>
        </r>
      </text>
    </comment>
    <comment ref="BS271" authorId="0" shapeId="0" xr:uid="{B975D6B2-5BA6-4B91-9CDB-6AB17A015DB0}">
      <text>
        <r>
          <rPr>
            <b/>
            <sz val="9"/>
            <color indexed="81"/>
            <rFont val="Tahoma"/>
            <family val="2"/>
          </rPr>
          <t>Gavin Mudd:</t>
        </r>
        <r>
          <rPr>
            <sz val="9"/>
            <color indexed="81"/>
            <rFont val="Tahoma"/>
            <family val="2"/>
          </rPr>
          <t xml:space="preserve">
from "Geology &amp; Mineral Resources of the Northern Territory" (2013)</t>
        </r>
      </text>
    </comment>
    <comment ref="BT271" authorId="0" shapeId="0" xr:uid="{9DB9D04D-96BA-45AF-812C-D953EC06F4DF}">
      <text>
        <r>
          <rPr>
            <b/>
            <sz val="9"/>
            <color indexed="81"/>
            <rFont val="Tahoma"/>
            <family val="2"/>
          </rPr>
          <t>Gavin Mudd:</t>
        </r>
        <r>
          <rPr>
            <sz val="9"/>
            <color indexed="81"/>
            <rFont val="Tahoma"/>
            <family val="2"/>
          </rPr>
          <t xml:space="preserve">
from "Geology &amp; Mineral Resources of the Northern Territory" (2013)</t>
        </r>
      </text>
    </comment>
    <comment ref="D272" authorId="0" shapeId="0" xr:uid="{A7F230FD-D392-422B-AAF5-8014DFD2EC4C}">
      <text>
        <r>
          <rPr>
            <b/>
            <sz val="9"/>
            <color indexed="81"/>
            <rFont val="Tahoma"/>
            <family val="2"/>
          </rPr>
          <t>Gavin Mudd:</t>
        </r>
        <r>
          <rPr>
            <sz val="9"/>
            <color indexed="81"/>
            <rFont val="Tahoma"/>
            <family val="2"/>
          </rPr>
          <t xml:space="preserve">
from "Geology &amp; Mineral Resources of the Northern Territory" (2013)</t>
        </r>
      </text>
    </comment>
    <comment ref="E272" authorId="0" shapeId="0" xr:uid="{DA8FDBDB-6AC4-436B-A1BA-A7383A750648}">
      <text>
        <r>
          <rPr>
            <b/>
            <sz val="9"/>
            <color indexed="81"/>
            <rFont val="Tahoma"/>
            <family val="2"/>
          </rPr>
          <t>Gavin Mudd:</t>
        </r>
        <r>
          <rPr>
            <sz val="9"/>
            <color indexed="81"/>
            <rFont val="Tahoma"/>
            <family val="2"/>
          </rPr>
          <t xml:space="preserve">
from "Geology &amp; Mineral Resources of the Northern Territory" (2013)</t>
        </r>
      </text>
    </comment>
    <comment ref="F272" authorId="0" shapeId="0" xr:uid="{58E6E972-9AF3-465A-B505-DA9B0BE55DF3}">
      <text>
        <r>
          <rPr>
            <b/>
            <sz val="9"/>
            <color indexed="81"/>
            <rFont val="Tahoma"/>
            <family val="2"/>
          </rPr>
          <t>Gavin Mudd:</t>
        </r>
        <r>
          <rPr>
            <sz val="9"/>
            <color indexed="81"/>
            <rFont val="Tahoma"/>
            <family val="2"/>
          </rPr>
          <t xml:space="preserve">
from "Geology &amp; Mineral Resources of the Northern Territory" (2013)</t>
        </r>
      </text>
    </comment>
    <comment ref="G272" authorId="0" shapeId="0" xr:uid="{8F6E1B69-971D-4F7C-AA08-619605EFE4AC}">
      <text>
        <r>
          <rPr>
            <b/>
            <sz val="9"/>
            <color indexed="81"/>
            <rFont val="Tahoma"/>
            <family val="2"/>
          </rPr>
          <t>Gavin Mudd:</t>
        </r>
        <r>
          <rPr>
            <sz val="9"/>
            <color indexed="81"/>
            <rFont val="Tahoma"/>
            <family val="2"/>
          </rPr>
          <t xml:space="preserve">
from "Geology &amp; Mineral Resources of the Northern Territory" (2013)</t>
        </r>
      </text>
    </comment>
    <comment ref="P272" authorId="0" shapeId="0" xr:uid="{AAF56BD6-70D0-401C-8A8C-B9D5A5D97A5A}">
      <text>
        <r>
          <rPr>
            <b/>
            <sz val="9"/>
            <color indexed="81"/>
            <rFont val="Tahoma"/>
            <family val="2"/>
          </rPr>
          <t>Gavin Mudd:</t>
        </r>
        <r>
          <rPr>
            <sz val="9"/>
            <color indexed="81"/>
            <rFont val="Tahoma"/>
            <family val="2"/>
          </rPr>
          <t xml:space="preserve">
from "Geology &amp; Mineral Resources of the Northern Territory" (2013)</t>
        </r>
      </text>
    </comment>
    <comment ref="Q272" authorId="0" shapeId="0" xr:uid="{DAA0B9CE-4B7D-4E10-AC66-117F5AE84B09}">
      <text>
        <r>
          <rPr>
            <b/>
            <sz val="9"/>
            <color indexed="81"/>
            <rFont val="Tahoma"/>
            <family val="2"/>
          </rPr>
          <t>Gavin Mudd:</t>
        </r>
        <r>
          <rPr>
            <sz val="9"/>
            <color indexed="81"/>
            <rFont val="Tahoma"/>
            <family val="2"/>
          </rPr>
          <t xml:space="preserve">
from "Geology &amp; Mineral Resources of the Northern Territory" (2013)</t>
        </r>
      </text>
    </comment>
    <comment ref="BS272" authorId="0" shapeId="0" xr:uid="{D16E2EB8-9766-47A7-B689-772CA0276270}">
      <text>
        <r>
          <rPr>
            <b/>
            <sz val="9"/>
            <color indexed="81"/>
            <rFont val="Tahoma"/>
            <family val="2"/>
          </rPr>
          <t>Gavin Mudd:</t>
        </r>
        <r>
          <rPr>
            <sz val="9"/>
            <color indexed="81"/>
            <rFont val="Tahoma"/>
            <family val="2"/>
          </rPr>
          <t xml:space="preserve">
from "Geology &amp; Mineral Resources of the Northern Territory" (2013)</t>
        </r>
      </text>
    </comment>
    <comment ref="BT272" authorId="0" shapeId="0" xr:uid="{F968CE23-01C9-434F-836D-6C11E6653A85}">
      <text>
        <r>
          <rPr>
            <b/>
            <sz val="9"/>
            <color indexed="81"/>
            <rFont val="Tahoma"/>
            <family val="2"/>
          </rPr>
          <t>Gavin Mudd:</t>
        </r>
        <r>
          <rPr>
            <sz val="9"/>
            <color indexed="81"/>
            <rFont val="Tahoma"/>
            <family val="2"/>
          </rPr>
          <t xml:space="preserve">
from "Geology &amp; Mineral Resources of the Northern Territory" (2013)</t>
        </r>
      </text>
    </comment>
    <comment ref="BU272" authorId="0" shapeId="0" xr:uid="{B9183AD1-D8DC-4A82-AC90-361AD8C7B64F}">
      <text>
        <r>
          <rPr>
            <b/>
            <sz val="9"/>
            <color indexed="81"/>
            <rFont val="Tahoma"/>
            <family val="2"/>
          </rPr>
          <t>Gavin Mudd:</t>
        </r>
        <r>
          <rPr>
            <sz val="9"/>
            <color indexed="81"/>
            <rFont val="Tahoma"/>
            <family val="2"/>
          </rPr>
          <t xml:space="preserve">
from "Geology &amp; Mineral Resources of the Northern Territory" (2013)</t>
        </r>
      </text>
    </comment>
    <comment ref="CL272" authorId="0" shapeId="0" xr:uid="{9BF354B0-1572-4F0F-B7BB-518D47583088}">
      <text>
        <r>
          <rPr>
            <b/>
            <sz val="9"/>
            <color indexed="81"/>
            <rFont val="Tahoma"/>
            <family val="2"/>
          </rPr>
          <t>Gavin Mudd:</t>
        </r>
        <r>
          <rPr>
            <sz val="9"/>
            <color indexed="81"/>
            <rFont val="Tahoma"/>
            <family val="2"/>
          </rPr>
          <t xml:space="preserve">
from "Geology &amp; Mineral Resources of the Northern Territory" (2013)</t>
        </r>
      </text>
    </comment>
    <comment ref="CM272" authorId="0" shapeId="0" xr:uid="{ADBDBA90-D63F-4E43-922E-A313867A6910}">
      <text>
        <r>
          <rPr>
            <b/>
            <sz val="9"/>
            <color indexed="81"/>
            <rFont val="Tahoma"/>
            <family val="2"/>
          </rPr>
          <t>Gavin Mudd:</t>
        </r>
        <r>
          <rPr>
            <sz val="9"/>
            <color indexed="81"/>
            <rFont val="Tahoma"/>
            <family val="2"/>
          </rPr>
          <t xml:space="preserve">
from "Geology &amp; Mineral Resources of the Northern Territory" (2013)</t>
        </r>
      </text>
    </comment>
    <comment ref="BT273" authorId="0" shapeId="0" xr:uid="{A3A90D36-AB5C-4425-AF4A-90C1728B0233}">
      <text>
        <r>
          <rPr>
            <b/>
            <sz val="9"/>
            <color indexed="81"/>
            <rFont val="Tahoma"/>
            <family val="2"/>
          </rPr>
          <t>Gavin Mudd:</t>
        </r>
        <r>
          <rPr>
            <sz val="9"/>
            <color indexed="81"/>
            <rFont val="Tahoma"/>
            <family val="2"/>
          </rPr>
          <t xml:space="preserve">
from "Geology &amp; Mineral Resources of the Northern Territory" (2013)</t>
        </r>
      </text>
    </comment>
    <comment ref="CL273" authorId="0" shapeId="0" xr:uid="{E1AE1D19-E2A6-4C6F-B671-58566B15FDA2}">
      <text>
        <r>
          <rPr>
            <b/>
            <sz val="9"/>
            <color indexed="81"/>
            <rFont val="Tahoma"/>
            <family val="2"/>
          </rPr>
          <t>Gavin Mudd:</t>
        </r>
        <r>
          <rPr>
            <sz val="9"/>
            <color indexed="81"/>
            <rFont val="Tahoma"/>
            <family val="2"/>
          </rPr>
          <t xml:space="preserve">
from "Geology &amp; Mineral Resources of the Northern Territory" (2013)</t>
        </r>
      </text>
    </comment>
    <comment ref="CM273" authorId="0" shapeId="0" xr:uid="{91F24C03-2D65-4833-ABF7-C001EE4667A1}">
      <text>
        <r>
          <rPr>
            <b/>
            <sz val="9"/>
            <color indexed="81"/>
            <rFont val="Tahoma"/>
            <family val="2"/>
          </rPr>
          <t>Gavin Mudd:</t>
        </r>
        <r>
          <rPr>
            <sz val="9"/>
            <color indexed="81"/>
            <rFont val="Tahoma"/>
            <family val="2"/>
          </rPr>
          <t xml:space="preserve">
from "Geology &amp; Mineral Resources of the Northern Territory" (2013)</t>
        </r>
      </text>
    </comment>
    <comment ref="D274" authorId="0" shapeId="0" xr:uid="{E8902A3A-0476-47F9-9F99-4B8536667795}">
      <text>
        <r>
          <rPr>
            <b/>
            <sz val="9"/>
            <color indexed="81"/>
            <rFont val="Tahoma"/>
            <family val="2"/>
          </rPr>
          <t>Gavin Mudd:</t>
        </r>
        <r>
          <rPr>
            <sz val="9"/>
            <color indexed="81"/>
            <rFont val="Tahoma"/>
            <family val="2"/>
          </rPr>
          <t xml:space="preserve">
from "Geology &amp; Mineral Resources of the Northern Territory" (2013)</t>
        </r>
      </text>
    </comment>
    <comment ref="E274" authorId="0" shapeId="0" xr:uid="{187B8D76-52B0-4163-B869-551E4EF293B2}">
      <text>
        <r>
          <rPr>
            <b/>
            <sz val="9"/>
            <color indexed="81"/>
            <rFont val="Tahoma"/>
            <family val="2"/>
          </rPr>
          <t>Gavin Mudd:</t>
        </r>
        <r>
          <rPr>
            <sz val="9"/>
            <color indexed="81"/>
            <rFont val="Tahoma"/>
            <family val="2"/>
          </rPr>
          <t xml:space="preserve">
from "Geology &amp; Mineral Resources of the Northern Territory" (2013)</t>
        </r>
      </text>
    </comment>
    <comment ref="F274" authorId="0" shapeId="0" xr:uid="{C4856D0C-876A-4E5C-9F16-749EE59A13FB}">
      <text>
        <r>
          <rPr>
            <b/>
            <sz val="9"/>
            <color indexed="81"/>
            <rFont val="Tahoma"/>
            <family val="2"/>
          </rPr>
          <t>Gavin Mudd:</t>
        </r>
        <r>
          <rPr>
            <sz val="9"/>
            <color indexed="81"/>
            <rFont val="Tahoma"/>
            <family val="2"/>
          </rPr>
          <t xml:space="preserve">
from "Geology &amp; Mineral Resources of the Northern Territory" (2013)</t>
        </r>
      </text>
    </comment>
    <comment ref="G274" authorId="0" shapeId="0" xr:uid="{0287BFAF-EBDE-4DAC-81A7-4CFFB92A587D}">
      <text>
        <r>
          <rPr>
            <b/>
            <sz val="9"/>
            <color indexed="81"/>
            <rFont val="Tahoma"/>
            <family val="2"/>
          </rPr>
          <t>Gavin Mudd:</t>
        </r>
        <r>
          <rPr>
            <sz val="9"/>
            <color indexed="81"/>
            <rFont val="Tahoma"/>
            <family val="2"/>
          </rPr>
          <t xml:space="preserve">
from "Geology &amp; Mineral Resources of the Northern Territory" (2013)</t>
        </r>
      </text>
    </comment>
    <comment ref="BS274" authorId="0" shapeId="0" xr:uid="{DD58A0FF-2322-4A90-9559-6C820C502AD4}">
      <text>
        <r>
          <rPr>
            <b/>
            <sz val="9"/>
            <color indexed="81"/>
            <rFont val="Tahoma"/>
            <family val="2"/>
          </rPr>
          <t>Gavin Mudd:</t>
        </r>
        <r>
          <rPr>
            <sz val="9"/>
            <color indexed="81"/>
            <rFont val="Tahoma"/>
            <family val="2"/>
          </rPr>
          <t xml:space="preserve">
from "Geology &amp; Mineral Resources of the Northern Territory" (2013)</t>
        </r>
      </text>
    </comment>
    <comment ref="BT274" authorId="0" shapeId="0" xr:uid="{F24F41A6-99D0-415A-80A6-E68EB67B0B7E}">
      <text>
        <r>
          <rPr>
            <b/>
            <sz val="9"/>
            <color indexed="81"/>
            <rFont val="Tahoma"/>
            <family val="2"/>
          </rPr>
          <t>Gavin Mudd:</t>
        </r>
        <r>
          <rPr>
            <sz val="9"/>
            <color indexed="81"/>
            <rFont val="Tahoma"/>
            <family val="2"/>
          </rPr>
          <t xml:space="preserve">
from "Geology &amp; Mineral Resources of the Northern Territory" (2013)</t>
        </r>
      </text>
    </comment>
    <comment ref="BU274" authorId="0" shapeId="0" xr:uid="{7C4EB11B-2779-4A3C-9407-3385C36C40B9}">
      <text>
        <r>
          <rPr>
            <b/>
            <sz val="9"/>
            <color indexed="81"/>
            <rFont val="Tahoma"/>
            <family val="2"/>
          </rPr>
          <t>Gavin Mudd:</t>
        </r>
        <r>
          <rPr>
            <sz val="9"/>
            <color indexed="81"/>
            <rFont val="Tahoma"/>
            <family val="2"/>
          </rPr>
          <t xml:space="preserve">
from "Geology &amp; Mineral Resources of the Northern Territory" (2013)</t>
        </r>
      </text>
    </comment>
    <comment ref="CL274" authorId="0" shapeId="0" xr:uid="{D9A43769-325A-4212-A9FF-C4408C78513F}">
      <text>
        <r>
          <rPr>
            <b/>
            <sz val="9"/>
            <color indexed="81"/>
            <rFont val="Tahoma"/>
            <family val="2"/>
          </rPr>
          <t>Gavin Mudd:</t>
        </r>
        <r>
          <rPr>
            <sz val="9"/>
            <color indexed="81"/>
            <rFont val="Tahoma"/>
            <family val="2"/>
          </rPr>
          <t xml:space="preserve">
from "Geology &amp; Mineral Resources of the Northern Territory" (2013)</t>
        </r>
      </text>
    </comment>
    <comment ref="CM274" authorId="0" shapeId="0" xr:uid="{C7C04CC5-E78E-4A82-BC25-45ACB8C539D3}">
      <text>
        <r>
          <rPr>
            <b/>
            <sz val="9"/>
            <color indexed="81"/>
            <rFont val="Tahoma"/>
            <family val="2"/>
          </rPr>
          <t>Gavin Mudd:</t>
        </r>
        <r>
          <rPr>
            <sz val="9"/>
            <color indexed="81"/>
            <rFont val="Tahoma"/>
            <family val="2"/>
          </rPr>
          <t xml:space="preserve">
from "Geology &amp; Mineral Resources of the Northern Territory" (2013)</t>
        </r>
      </text>
    </comment>
    <comment ref="CL276" authorId="0" shapeId="0" xr:uid="{2034A257-D38F-4733-B7DE-8DF820A08893}">
      <text>
        <r>
          <rPr>
            <b/>
            <sz val="9"/>
            <color indexed="81"/>
            <rFont val="Tahoma"/>
            <family val="2"/>
          </rPr>
          <t>Gavin Mudd:</t>
        </r>
        <r>
          <rPr>
            <sz val="9"/>
            <color indexed="81"/>
            <rFont val="Tahoma"/>
            <family val="2"/>
          </rPr>
          <t xml:space="preserve">
from "Geology &amp; Mineral Resources of the Northern Territory" (2013)</t>
        </r>
      </text>
    </comment>
    <comment ref="CM276" authorId="0" shapeId="0" xr:uid="{D72A6305-A02A-4B3D-B17D-9A043BAD9F9D}">
      <text>
        <r>
          <rPr>
            <b/>
            <sz val="9"/>
            <color indexed="81"/>
            <rFont val="Tahoma"/>
            <family val="2"/>
          </rPr>
          <t>Gavin Mudd:</t>
        </r>
        <r>
          <rPr>
            <sz val="9"/>
            <color indexed="81"/>
            <rFont val="Tahoma"/>
            <family val="2"/>
          </rPr>
          <t xml:space="preserve">
from "Geology &amp; Mineral Resources of the Northern Territory" (2013)</t>
        </r>
      </text>
    </comment>
    <comment ref="Z280" authorId="0" shapeId="0" xr:uid="{6B764994-D992-4BF9-A9DE-F28282B9D86E}">
      <text>
        <r>
          <rPr>
            <b/>
            <sz val="9"/>
            <color indexed="81"/>
            <rFont val="Tahoma"/>
            <family val="2"/>
          </rPr>
          <t>Gavin Mudd:</t>
        </r>
        <r>
          <rPr>
            <sz val="9"/>
            <color indexed="81"/>
            <rFont val="Tahoma"/>
            <family val="2"/>
          </rPr>
          <t xml:space="preserve">
best estimate</t>
        </r>
      </text>
    </comment>
    <comment ref="AA280" authorId="0" shapeId="0" xr:uid="{8A9CEB21-A381-4FC7-AA01-B273949B1221}">
      <text>
        <r>
          <rPr>
            <b/>
            <sz val="9"/>
            <color indexed="81"/>
            <rFont val="Tahoma"/>
            <family val="2"/>
          </rPr>
          <t>Gavin Mudd:</t>
        </r>
        <r>
          <rPr>
            <sz val="9"/>
            <color indexed="81"/>
            <rFont val="Tahoma"/>
            <family val="2"/>
          </rPr>
          <t xml:space="preserve">
assumed</t>
        </r>
      </text>
    </comment>
    <comment ref="R313" authorId="0" shapeId="0" xr:uid="{45BC71C5-40C8-458E-8194-AA4F95FC9757}">
      <text>
        <r>
          <rPr>
            <b/>
            <sz val="9"/>
            <color indexed="81"/>
            <rFont val="Tahoma"/>
            <family val="2"/>
          </rPr>
          <t>Gavin Mudd:</t>
        </r>
        <r>
          <rPr>
            <sz val="9"/>
            <color indexed="81"/>
            <rFont val="Tahoma"/>
            <family val="2"/>
          </rPr>
          <t xml:space="preserve">
coarse &amp; fine Native Cu conc's</t>
        </r>
      </text>
    </comment>
    <comment ref="S313" authorId="0" shapeId="0" xr:uid="{5489BE85-0B41-4190-BC27-F8BB957FD34B}">
      <text>
        <r>
          <rPr>
            <b/>
            <sz val="9"/>
            <color indexed="81"/>
            <rFont val="Tahoma"/>
            <family val="2"/>
          </rPr>
          <t>Gavin Mudd:</t>
        </r>
        <r>
          <rPr>
            <sz val="9"/>
            <color indexed="81"/>
            <rFont val="Tahoma"/>
            <family val="2"/>
          </rPr>
          <t xml:space="preserve">
coarse &amp; fine Native Cu conc's</t>
        </r>
      </text>
    </comment>
    <comment ref="D314" authorId="0" shapeId="0" xr:uid="{BE635D89-AEFE-48A1-B60F-C244145E0F0C}">
      <text>
        <r>
          <rPr>
            <b/>
            <sz val="9"/>
            <color indexed="81"/>
            <rFont val="Tahoma"/>
            <family val="2"/>
          </rPr>
          <t>Gavin Mudd:</t>
        </r>
        <r>
          <rPr>
            <sz val="9"/>
            <color indexed="81"/>
            <rFont val="Tahoma"/>
            <family val="2"/>
          </rPr>
          <t xml:space="preserve">
data from ASX Release (11 July 2019), Greenpower Energy</t>
        </r>
      </text>
    </comment>
    <comment ref="E314" authorId="0" shapeId="0" xr:uid="{095167F1-4D77-4496-B172-A71C5D4D15C5}">
      <text>
        <r>
          <rPr>
            <b/>
            <sz val="9"/>
            <color indexed="81"/>
            <rFont val="Tahoma"/>
            <family val="2"/>
          </rPr>
          <t>Gavin Mudd:</t>
        </r>
        <r>
          <rPr>
            <sz val="9"/>
            <color indexed="81"/>
            <rFont val="Tahoma"/>
            <family val="2"/>
          </rPr>
          <t xml:space="preserve">
data from ASX Release (11 July 2019), Greenpower Energy</t>
        </r>
      </text>
    </comment>
    <comment ref="BS314" authorId="0" shapeId="0" xr:uid="{3E3E927F-837A-4A8E-A079-3A97E5C63BA5}">
      <text>
        <r>
          <rPr>
            <b/>
            <sz val="9"/>
            <color indexed="81"/>
            <rFont val="Tahoma"/>
            <family val="2"/>
          </rPr>
          <t>Gavin Mudd:</t>
        </r>
        <r>
          <rPr>
            <sz val="9"/>
            <color indexed="81"/>
            <rFont val="Tahoma"/>
            <family val="2"/>
          </rPr>
          <t xml:space="preserve">
assumes 70% Au recovery</t>
        </r>
      </text>
    </comment>
    <comment ref="D315" authorId="0" shapeId="0" xr:uid="{F413961A-FFA3-4B9B-9281-52C60D490013}">
      <text>
        <r>
          <rPr>
            <b/>
            <sz val="9"/>
            <color indexed="81"/>
            <rFont val="Tahoma"/>
            <family val="2"/>
          </rPr>
          <t>Gavin Mudd:</t>
        </r>
        <r>
          <rPr>
            <sz val="9"/>
            <color indexed="81"/>
            <rFont val="Tahoma"/>
            <family val="2"/>
          </rPr>
          <t xml:space="preserve">
data from ASX Release (11 July 2019), Greenpower Energy</t>
        </r>
      </text>
    </comment>
    <comment ref="E315" authorId="0" shapeId="0" xr:uid="{CD6708BF-66AB-4FA8-8F16-EBC26126E6D7}">
      <text>
        <r>
          <rPr>
            <b/>
            <sz val="9"/>
            <color indexed="81"/>
            <rFont val="Tahoma"/>
            <family val="2"/>
          </rPr>
          <t>Gavin Mudd:</t>
        </r>
        <r>
          <rPr>
            <sz val="9"/>
            <color indexed="81"/>
            <rFont val="Tahoma"/>
            <family val="2"/>
          </rPr>
          <t xml:space="preserve">
data from ASX Release (11 July 2019), Greenpower Energy</t>
        </r>
      </text>
    </comment>
    <comment ref="BS315" authorId="0" shapeId="0" xr:uid="{80143A22-F8DD-4E58-8BBD-A4D42B264A44}">
      <text>
        <r>
          <rPr>
            <b/>
            <sz val="9"/>
            <color indexed="81"/>
            <rFont val="Tahoma"/>
            <family val="2"/>
          </rPr>
          <t>Gavin Mudd:</t>
        </r>
        <r>
          <rPr>
            <sz val="9"/>
            <color indexed="81"/>
            <rFont val="Tahoma"/>
            <family val="2"/>
          </rPr>
          <t xml:space="preserve">
assumes 70% Au recovery</t>
        </r>
      </text>
    </comment>
    <comment ref="D316" authorId="0" shapeId="0" xr:uid="{B8D608E8-CA94-496A-8BA6-7A841DABCA72}">
      <text>
        <r>
          <rPr>
            <b/>
            <sz val="9"/>
            <color indexed="81"/>
            <rFont val="Tahoma"/>
            <family val="2"/>
          </rPr>
          <t>Gavin Mudd:</t>
        </r>
        <r>
          <rPr>
            <sz val="9"/>
            <color indexed="81"/>
            <rFont val="Tahoma"/>
            <family val="2"/>
          </rPr>
          <t xml:space="preserve">
data from ASX Release (11 July 2019), Greenpower Energy</t>
        </r>
      </text>
    </comment>
    <comment ref="E316" authorId="0" shapeId="0" xr:uid="{C9EA704D-AFDB-4A71-90BB-4E48AD705A7E}">
      <text>
        <r>
          <rPr>
            <b/>
            <sz val="9"/>
            <color indexed="81"/>
            <rFont val="Tahoma"/>
            <family val="2"/>
          </rPr>
          <t>Gavin Mudd:</t>
        </r>
        <r>
          <rPr>
            <sz val="9"/>
            <color indexed="81"/>
            <rFont val="Tahoma"/>
            <family val="2"/>
          </rPr>
          <t xml:space="preserve">
data from ASX Release (11 July 2019), Greenpower Energy</t>
        </r>
      </text>
    </comment>
    <comment ref="BS316" authorId="0" shapeId="0" xr:uid="{CEDDAE6E-0ADA-41DC-916B-38035E65F790}">
      <text>
        <r>
          <rPr>
            <b/>
            <sz val="9"/>
            <color indexed="81"/>
            <rFont val="Tahoma"/>
            <family val="2"/>
          </rPr>
          <t>Gavin Mudd:</t>
        </r>
        <r>
          <rPr>
            <sz val="9"/>
            <color indexed="81"/>
            <rFont val="Tahoma"/>
            <family val="2"/>
          </rPr>
          <t xml:space="preserve">
assumes 70% Au recovery</t>
        </r>
      </text>
    </comment>
    <comment ref="F318" authorId="0" shapeId="0" xr:uid="{35433A1D-7C4E-4AEF-AABD-A7CCCC1DD97C}">
      <text>
        <r>
          <rPr>
            <b/>
            <sz val="9"/>
            <color indexed="81"/>
            <rFont val="Tahoma"/>
            <family val="2"/>
          </rPr>
          <t>Gavin Mudd:</t>
        </r>
        <r>
          <rPr>
            <sz val="9"/>
            <color indexed="81"/>
            <rFont val="Tahoma"/>
            <family val="2"/>
          </rPr>
          <t xml:space="preserve">
assumes 70% Ag recovery</t>
        </r>
      </text>
    </comment>
    <comment ref="D320" authorId="0" shapeId="0" xr:uid="{4DD0B8D5-D97C-4A3C-A98D-41DA2CD7959B}">
      <text>
        <r>
          <rPr>
            <b/>
            <sz val="9"/>
            <color indexed="81"/>
            <rFont val="Tahoma"/>
            <family val="2"/>
          </rPr>
          <t>Gavin Mudd:</t>
        </r>
        <r>
          <rPr>
            <sz val="9"/>
            <color indexed="81"/>
            <rFont val="Tahoma"/>
            <family val="2"/>
          </rPr>
          <t xml:space="preserve">
data on Minnie Moxham sparse, best guess used (based on Bulletin Resources ASX 2019)</t>
        </r>
      </text>
    </comment>
    <comment ref="BK323" authorId="0" shapeId="0" xr:uid="{BF49ECED-7585-45B0-9BA8-C4C6E537C583}">
      <text>
        <r>
          <rPr>
            <b/>
            <sz val="9"/>
            <color indexed="81"/>
            <rFont val="Tahoma"/>
            <family val="2"/>
          </rPr>
          <t>Gavin Mudd:</t>
        </r>
        <r>
          <rPr>
            <sz val="9"/>
            <color indexed="81"/>
            <rFont val="Tahoma"/>
            <family val="2"/>
          </rPr>
          <t xml:space="preserve">
Ag concentrate from supergene ore processing</t>
        </r>
      </text>
    </comment>
    <comment ref="BK324" authorId="0" shapeId="0" xr:uid="{B6E42174-2A3F-4969-B65C-6FBDD614EF69}">
      <text>
        <r>
          <rPr>
            <b/>
            <sz val="9"/>
            <color indexed="81"/>
            <rFont val="Tahoma"/>
            <family val="2"/>
          </rPr>
          <t>Gavin Mudd:</t>
        </r>
        <r>
          <rPr>
            <sz val="9"/>
            <color indexed="81"/>
            <rFont val="Tahoma"/>
            <family val="2"/>
          </rPr>
          <t xml:space="preserve">
pyrite concentrate</t>
        </r>
      </text>
    </comment>
    <comment ref="BQ324" authorId="0" shapeId="0" xr:uid="{4A81C85B-F353-4950-BD06-7F72A5C012F9}">
      <text>
        <r>
          <rPr>
            <b/>
            <sz val="9"/>
            <color indexed="81"/>
            <rFont val="Tahoma"/>
            <family val="2"/>
          </rPr>
          <t>Gavin Mudd:</t>
        </r>
        <r>
          <rPr>
            <sz val="9"/>
            <color indexed="81"/>
            <rFont val="Tahoma"/>
            <family val="2"/>
          </rPr>
          <t xml:space="preserve">
pyrite concentrate</t>
        </r>
      </text>
    </comment>
    <comment ref="A325" authorId="0" shapeId="0" xr:uid="{9ACB7A0D-93C5-41F5-8D41-A441217310B3}">
      <text>
        <r>
          <rPr>
            <b/>
            <sz val="9"/>
            <color indexed="81"/>
            <rFont val="Tahoma"/>
            <family val="2"/>
          </rPr>
          <t>Gavin Mudd:</t>
        </r>
        <r>
          <rPr>
            <sz val="9"/>
            <color indexed="81"/>
            <rFont val="Tahoma"/>
            <family val="2"/>
          </rPr>
          <t xml:space="preserve">
also includes
1) ~0.25 Mt of tailings from the old Magnet Ag mine
2) some dump material from Comstock
3) Mount Farrell from Dec. 1964</t>
        </r>
      </text>
    </comment>
    <comment ref="D325" authorId="0" shapeId="0" xr:uid="{3A380EE7-9364-4D74-8681-6806DC698DCC}">
      <text>
        <r>
          <rPr>
            <b/>
            <sz val="9"/>
            <color indexed="81"/>
            <rFont val="Tahoma"/>
            <family val="2"/>
          </rPr>
          <t>Gavin Mudd:</t>
        </r>
        <r>
          <rPr>
            <sz val="9"/>
            <color indexed="81"/>
            <rFont val="Tahoma"/>
            <family val="2"/>
          </rPr>
          <t xml:space="preserve">
includes Que River ore (both era's)</t>
        </r>
      </text>
    </comment>
    <comment ref="E325" authorId="0" shapeId="0" xr:uid="{D0B96189-71DE-445A-B317-50B688BD042F}">
      <text>
        <r>
          <rPr>
            <b/>
            <sz val="9"/>
            <color indexed="81"/>
            <rFont val="Tahoma"/>
            <family val="2"/>
          </rPr>
          <t>Gavin Mudd:</t>
        </r>
        <r>
          <rPr>
            <sz val="9"/>
            <color indexed="81"/>
            <rFont val="Tahoma"/>
            <family val="2"/>
          </rPr>
          <t xml:space="preserve">
includes Que River ore (both era's)</t>
        </r>
      </text>
    </comment>
    <comment ref="F325" authorId="0" shapeId="0" xr:uid="{32CC46F3-9738-4B17-B4E7-37D6F8D7AB4A}">
      <text>
        <r>
          <rPr>
            <b/>
            <sz val="9"/>
            <color indexed="81"/>
            <rFont val="Tahoma"/>
            <family val="2"/>
          </rPr>
          <t>Gavin Mudd:</t>
        </r>
        <r>
          <rPr>
            <sz val="9"/>
            <color indexed="81"/>
            <rFont val="Tahoma"/>
            <family val="2"/>
          </rPr>
          <t xml:space="preserve">
includes Que River ore (both era's)</t>
        </r>
      </text>
    </comment>
    <comment ref="G325" authorId="0" shapeId="0" xr:uid="{0DA6A08A-AF71-4D62-B516-AD1793920494}">
      <text>
        <r>
          <rPr>
            <b/>
            <sz val="9"/>
            <color indexed="81"/>
            <rFont val="Tahoma"/>
            <family val="2"/>
          </rPr>
          <t>Gavin Mudd:</t>
        </r>
        <r>
          <rPr>
            <sz val="9"/>
            <color indexed="81"/>
            <rFont val="Tahoma"/>
            <family val="2"/>
          </rPr>
          <t xml:space="preserve">
includes Que River ore (both era's)</t>
        </r>
      </text>
    </comment>
    <comment ref="H325" authorId="0" shapeId="0" xr:uid="{60240A56-CB09-4A95-8649-B15B53FB2333}">
      <text>
        <r>
          <rPr>
            <b/>
            <sz val="9"/>
            <color indexed="81"/>
            <rFont val="Tahoma"/>
            <family val="2"/>
          </rPr>
          <t>Gavin Mudd:</t>
        </r>
        <r>
          <rPr>
            <sz val="9"/>
            <color indexed="81"/>
            <rFont val="Tahoma"/>
            <family val="2"/>
          </rPr>
          <t xml:space="preserve">
includes Que River ore (both era's)</t>
        </r>
      </text>
    </comment>
    <comment ref="I325" authorId="0" shapeId="0" xr:uid="{767577D7-0ED4-48D6-9954-F7BF4424465E}">
      <text>
        <r>
          <rPr>
            <b/>
            <sz val="9"/>
            <color indexed="81"/>
            <rFont val="Tahoma"/>
            <family val="2"/>
          </rPr>
          <t>Gavin Mudd:</t>
        </r>
        <r>
          <rPr>
            <sz val="9"/>
            <color indexed="81"/>
            <rFont val="Tahoma"/>
            <family val="2"/>
          </rPr>
          <t xml:space="preserve">
includes Que River ore (both era's)</t>
        </r>
      </text>
    </comment>
    <comment ref="R325" authorId="0" shapeId="0" xr:uid="{DBFC3185-D964-4EBE-B383-24396AEEC45E}">
      <text>
        <r>
          <rPr>
            <b/>
            <sz val="9"/>
            <color indexed="81"/>
            <rFont val="Tahoma"/>
            <family val="2"/>
          </rPr>
          <t>Gavin Mudd:</t>
        </r>
        <r>
          <rPr>
            <sz val="9"/>
            <color indexed="81"/>
            <rFont val="Tahoma"/>
            <family val="2"/>
          </rPr>
          <t xml:space="preserve">
sent to Zeehan smelter complex</t>
        </r>
      </text>
    </comment>
    <comment ref="T325" authorId="0" shapeId="0" xr:uid="{07B2BA43-E2A8-4E8E-A8B5-D4382A94A60C}">
      <text>
        <r>
          <rPr>
            <b/>
            <sz val="9"/>
            <color indexed="81"/>
            <rFont val="Tahoma"/>
            <family val="2"/>
          </rPr>
          <t>Gavin Mudd:</t>
        </r>
        <r>
          <rPr>
            <sz val="9"/>
            <color indexed="81"/>
            <rFont val="Tahoma"/>
            <family val="2"/>
          </rPr>
          <t xml:space="preserve">
sent to Zeehan smelter complex</t>
        </r>
      </text>
    </comment>
    <comment ref="U325" authorId="0" shapeId="0" xr:uid="{55C90F73-A527-4E94-BE9C-142BDC591C19}">
      <text>
        <r>
          <rPr>
            <b/>
            <sz val="9"/>
            <color indexed="81"/>
            <rFont val="Tahoma"/>
            <family val="2"/>
          </rPr>
          <t>Gavin Mudd:</t>
        </r>
        <r>
          <rPr>
            <sz val="9"/>
            <color indexed="81"/>
            <rFont val="Tahoma"/>
            <family val="2"/>
          </rPr>
          <t xml:space="preserve">
sent to Zeehan smelter complex</t>
        </r>
      </text>
    </comment>
    <comment ref="V325" authorId="0" shapeId="0" xr:uid="{5362675A-B20D-4810-A5C2-617F059C64BA}">
      <text>
        <r>
          <rPr>
            <b/>
            <sz val="9"/>
            <color indexed="81"/>
            <rFont val="Tahoma"/>
            <family val="2"/>
          </rPr>
          <t>Gavin Mudd:</t>
        </r>
        <r>
          <rPr>
            <sz val="9"/>
            <color indexed="81"/>
            <rFont val="Tahoma"/>
            <family val="2"/>
          </rPr>
          <t xml:space="preserve">
sent to Zeehan smelter complex</t>
        </r>
      </text>
    </comment>
    <comment ref="W325" authorId="0" shapeId="0" xr:uid="{B087E561-623F-4497-9B43-AB558C8C317E}">
      <text>
        <r>
          <rPr>
            <b/>
            <sz val="9"/>
            <color indexed="81"/>
            <rFont val="Tahoma"/>
            <family val="2"/>
          </rPr>
          <t>Gavin Mudd:</t>
        </r>
        <r>
          <rPr>
            <sz val="9"/>
            <color indexed="81"/>
            <rFont val="Tahoma"/>
            <family val="2"/>
          </rPr>
          <t xml:space="preserve">
sent to Zeehan smelter complex</t>
        </r>
      </text>
    </comment>
    <comment ref="CL325" authorId="0" shapeId="0" xr:uid="{DB61808C-54E0-458B-99DB-E5BADF392A76}">
      <text>
        <r>
          <rPr>
            <b/>
            <sz val="9"/>
            <color indexed="81"/>
            <rFont val="Tahoma"/>
            <family val="2"/>
          </rPr>
          <t>Gavin Mudd:</t>
        </r>
        <r>
          <rPr>
            <sz val="9"/>
            <color indexed="81"/>
            <rFont val="Tahoma"/>
            <family val="2"/>
          </rPr>
          <t xml:space="preserve">
data for 1925 ti 1979 only</t>
        </r>
      </text>
    </comment>
    <comment ref="G326" authorId="0" shapeId="0" xr:uid="{D6D7418E-0280-4E1E-8C15-CA366A4862E5}">
      <text>
        <r>
          <rPr>
            <b/>
            <sz val="9"/>
            <color indexed="81"/>
            <rFont val="Tahoma"/>
            <family val="2"/>
          </rPr>
          <t>Gavin Mudd:</t>
        </r>
        <r>
          <rPr>
            <sz val="9"/>
            <color indexed="81"/>
            <rFont val="Tahoma"/>
            <family val="2"/>
          </rPr>
          <t xml:space="preserve">
Solomon, M, 1965, Lead-Silver-Zinc Ore Deposits at Mt Farrell. In "Eighth Commonwealth Mining and Metallurgical Congress", J McAndrew (Ed.), Australasian Institute of Mining &amp; Metallurgy (AusIMM), Parkville, VIC, Vol. 1 - Geology of Australian Ore Deposits, pp 490.</t>
        </r>
      </text>
    </comment>
    <comment ref="I326" authorId="0" shapeId="0" xr:uid="{AABEE035-FB7E-4A5E-92D2-039DDD8A3353}">
      <text>
        <r>
          <rPr>
            <b/>
            <sz val="9"/>
            <color indexed="81"/>
            <rFont val="Tahoma"/>
            <family val="2"/>
          </rPr>
          <t>Gavin Mudd:</t>
        </r>
        <r>
          <rPr>
            <sz val="9"/>
            <color indexed="81"/>
            <rFont val="Tahoma"/>
            <family val="2"/>
          </rPr>
          <t xml:space="preserve">
Solomon, M, 1965, Lead-Silver-Zinc Ore Deposits at Mt Farrell. In "Eighth Commonwealth Mining and Metallurgical Congress", J McAndrew (Ed.), Australasian Institute of Mining &amp; Metallurgy (AusIMM), Parkville, VIC, Vol. 1 - Geology of Australian Ore Deposits, pp 490.</t>
        </r>
      </text>
    </comment>
    <comment ref="A332" authorId="0" shapeId="0" xr:uid="{5700AB91-3FEE-42A6-A1F0-CF5EC10C0C6C}">
      <text>
        <r>
          <rPr>
            <b/>
            <sz val="9"/>
            <color indexed="81"/>
            <rFont val="Tahoma"/>
            <family val="2"/>
          </rPr>
          <t>Gavin Mudd:</t>
        </r>
        <r>
          <rPr>
            <sz val="9"/>
            <color indexed="81"/>
            <rFont val="Tahoma"/>
            <family val="2"/>
          </rPr>
          <t xml:space="preserve">
processed at Rosebery; production included within that site</t>
        </r>
      </text>
    </comment>
    <comment ref="A333" authorId="0" shapeId="0" xr:uid="{FBE9BDCF-E40D-4524-B3D3-F7DC4BFE01ED}">
      <text>
        <r>
          <rPr>
            <b/>
            <sz val="9"/>
            <color indexed="81"/>
            <rFont val="Tahoma"/>
            <family val="2"/>
          </rPr>
          <t>Gavin Mudd:</t>
        </r>
        <r>
          <rPr>
            <sz val="9"/>
            <color indexed="81"/>
            <rFont val="Tahoma"/>
            <family val="2"/>
          </rPr>
          <t xml:space="preserve">
processed at Rosebery; production included within that site</t>
        </r>
      </text>
    </comment>
    <comment ref="AF335" authorId="0" shapeId="0" xr:uid="{455D9611-5ADD-4157-82C2-D7A8E5794490}">
      <text>
        <r>
          <rPr>
            <b/>
            <sz val="9"/>
            <color indexed="81"/>
            <rFont val="Tahoma"/>
            <family val="2"/>
          </rPr>
          <t>Gavin Mudd:</t>
        </r>
        <r>
          <rPr>
            <sz val="9"/>
            <color indexed="81"/>
            <rFont val="Tahoma"/>
            <family val="2"/>
          </rPr>
          <t xml:space="preserve">
based on approximate concentrate data from 2010 Open Cut EIS</t>
        </r>
      </text>
    </comment>
    <comment ref="AG335" authorId="0" shapeId="0" xr:uid="{0D887010-19E5-472F-BB31-66D9637C8219}">
      <text>
        <r>
          <rPr>
            <b/>
            <sz val="9"/>
            <color indexed="81"/>
            <rFont val="Tahoma"/>
            <family val="2"/>
          </rPr>
          <t>Gavin Mudd:</t>
        </r>
        <r>
          <rPr>
            <sz val="9"/>
            <color indexed="81"/>
            <rFont val="Tahoma"/>
            <family val="2"/>
          </rPr>
          <t xml:space="preserve">
based on approximate concentrate data from 2010 Open Cut EIS</t>
        </r>
      </text>
    </comment>
    <comment ref="AI335" authorId="0" shapeId="0" xr:uid="{4BBA0FD8-701B-4373-8CC1-39CAFC319883}">
      <text>
        <r>
          <rPr>
            <b/>
            <sz val="9"/>
            <color indexed="81"/>
            <rFont val="Tahoma"/>
            <family val="2"/>
          </rPr>
          <t>Gavin Mudd:</t>
        </r>
        <r>
          <rPr>
            <sz val="9"/>
            <color indexed="81"/>
            <rFont val="Tahoma"/>
            <family val="2"/>
          </rPr>
          <t xml:space="preserve">
based on approximate concentrate data from 2010 Open Cut EIS</t>
        </r>
      </text>
    </comment>
    <comment ref="AL335" authorId="0" shapeId="0" xr:uid="{036155ED-F6AB-4775-93A8-2651EEC56580}">
      <text>
        <r>
          <rPr>
            <b/>
            <sz val="9"/>
            <color indexed="81"/>
            <rFont val="Tahoma"/>
            <family val="2"/>
          </rPr>
          <t>Gavin Mudd:</t>
        </r>
        <r>
          <rPr>
            <sz val="9"/>
            <color indexed="81"/>
            <rFont val="Tahoma"/>
            <family val="2"/>
          </rPr>
          <t xml:space="preserve">
based on approximate concentrate data from 2010 Open Cut EIS</t>
        </r>
      </text>
    </comment>
    <comment ref="AM335" authorId="0" shapeId="0" xr:uid="{E82FA4F0-AA95-428B-8BBE-2730E6AE2D6E}">
      <text>
        <r>
          <rPr>
            <b/>
            <sz val="9"/>
            <color indexed="81"/>
            <rFont val="Tahoma"/>
            <family val="2"/>
          </rPr>
          <t>Gavin Mudd:</t>
        </r>
        <r>
          <rPr>
            <sz val="9"/>
            <color indexed="81"/>
            <rFont val="Tahoma"/>
            <family val="2"/>
          </rPr>
          <t xml:space="preserve">
based on approximate concentrate data from 2010 Open Cut EIS</t>
        </r>
      </text>
    </comment>
    <comment ref="P338" authorId="0" shapeId="0" xr:uid="{0FE59C7B-6298-4645-AA87-06C5DBC684EC}">
      <text>
        <r>
          <rPr>
            <b/>
            <sz val="9"/>
            <color indexed="81"/>
            <rFont val="Tahoma"/>
            <family val="2"/>
          </rPr>
          <t>Gavin Mudd:</t>
        </r>
        <r>
          <rPr>
            <sz val="9"/>
            <color indexed="81"/>
            <rFont val="Tahoma"/>
            <family val="2"/>
          </rPr>
          <t xml:space="preserve">
Table 5.9, Chapter 5: Pine Creek Orogen.
Ahmad &amp; Hollis
"Geology &amp; Mineral Resources of the Northern Territory" (2013), NTGS.</t>
        </r>
      </text>
    </comment>
    <comment ref="Q338" authorId="0" shapeId="0" xr:uid="{71DC1E45-33F9-4A28-89FB-1021F469B628}">
      <text>
        <r>
          <rPr>
            <b/>
            <sz val="9"/>
            <color indexed="81"/>
            <rFont val="Tahoma"/>
            <family val="2"/>
          </rPr>
          <t>Gavin Mudd:</t>
        </r>
        <r>
          <rPr>
            <sz val="9"/>
            <color indexed="81"/>
            <rFont val="Tahoma"/>
            <family val="2"/>
          </rPr>
          <t xml:space="preserve">
Table 5.9, Chapter 5: Pine Creek Orogen.
Ahmad &amp; Hollis
"Geology &amp; Mineral Resources of the Northern Territory" (2013), NTGS.</t>
        </r>
      </text>
    </comment>
    <comment ref="D342" authorId="0" shapeId="0" xr:uid="{1A030B44-FC4D-491A-AFE5-5C6E48C3B90D}">
      <text>
        <r>
          <rPr>
            <b/>
            <sz val="9"/>
            <color indexed="81"/>
            <rFont val="Tahoma"/>
            <family val="2"/>
          </rPr>
          <t>Gavin Mudd:</t>
        </r>
        <r>
          <rPr>
            <sz val="9"/>
            <color indexed="81"/>
            <rFont val="Tahoma"/>
            <family val="2"/>
          </rPr>
          <t xml:space="preserve">
best estimate; assumes 50% Cu recovery</t>
        </r>
      </text>
    </comment>
    <comment ref="G342" authorId="0" shapeId="0" xr:uid="{69AFEF36-7417-4770-97D5-227DD2E82EDF}">
      <text>
        <r>
          <rPr>
            <b/>
            <sz val="9"/>
            <color indexed="81"/>
            <rFont val="Tahoma"/>
            <family val="2"/>
          </rPr>
          <t>Gavin Mudd:</t>
        </r>
        <r>
          <rPr>
            <sz val="9"/>
            <color indexed="81"/>
            <rFont val="Tahoma"/>
            <family val="2"/>
          </rPr>
          <t xml:space="preserve">
assumed</t>
        </r>
      </text>
    </comment>
    <comment ref="BU342" authorId="0" shapeId="0" xr:uid="{A4BE28F8-97E1-4BBA-939B-4B8C8F89C56F}">
      <text>
        <r>
          <rPr>
            <b/>
            <sz val="9"/>
            <color indexed="81"/>
            <rFont val="Tahoma"/>
            <family val="2"/>
          </rPr>
          <t>Gavin Mudd:</t>
        </r>
        <r>
          <rPr>
            <sz val="9"/>
            <color indexed="81"/>
            <rFont val="Tahoma"/>
            <family val="2"/>
          </rPr>
          <t xml:space="preserve">
best guess</t>
        </r>
      </text>
    </comment>
    <comment ref="AR353" authorId="0" shapeId="0" xr:uid="{3DA10C5D-156A-47B4-BCF6-A443590D1CAB}">
      <text>
        <r>
          <rPr>
            <b/>
            <sz val="9"/>
            <color indexed="81"/>
            <rFont val="Tahoma"/>
            <family val="2"/>
          </rPr>
          <t>Gavin Mudd:</t>
        </r>
        <r>
          <rPr>
            <sz val="9"/>
            <color indexed="81"/>
            <rFont val="Tahoma"/>
            <family val="2"/>
          </rPr>
          <t xml:space="preserve">
assumed</t>
        </r>
      </text>
    </comment>
    <comment ref="AS353" authorId="0" shapeId="0" xr:uid="{AE8F1A7A-8059-4031-AD78-D843C3763E43}">
      <text>
        <r>
          <rPr>
            <b/>
            <sz val="9"/>
            <color indexed="81"/>
            <rFont val="Tahoma"/>
            <family val="2"/>
          </rPr>
          <t>Gavin Mudd:</t>
        </r>
        <r>
          <rPr>
            <sz val="9"/>
            <color indexed="81"/>
            <rFont val="Tahoma"/>
            <family val="2"/>
          </rPr>
          <t xml:space="preserve">
assumed</t>
        </r>
      </text>
    </comment>
    <comment ref="D355" authorId="0" shapeId="0" xr:uid="{954AF0F0-A24B-4746-AE1D-341F747F4080}">
      <text>
        <r>
          <rPr>
            <b/>
            <sz val="9"/>
            <color indexed="81"/>
            <rFont val="Tahoma"/>
            <family val="2"/>
          </rPr>
          <t>Gavin Mudd:</t>
        </r>
        <r>
          <rPr>
            <sz val="9"/>
            <color indexed="81"/>
            <rFont val="Tahoma"/>
            <family val="2"/>
          </rPr>
          <t xml:space="preserve">
includes third party ore</t>
        </r>
      </text>
    </comment>
    <comment ref="J355" authorId="0" shapeId="0" xr:uid="{8BF51525-B128-4B5E-9CB9-28D785CF4C5E}">
      <text>
        <r>
          <rPr>
            <b/>
            <sz val="9"/>
            <color indexed="81"/>
            <rFont val="Tahoma"/>
            <family val="2"/>
          </rPr>
          <t>Gavin Mudd:</t>
        </r>
        <r>
          <rPr>
            <sz val="9"/>
            <color indexed="81"/>
            <rFont val="Tahoma"/>
            <family val="2"/>
          </rPr>
          <t xml:space="preserve">
includes third party ore</t>
        </r>
      </text>
    </comment>
    <comment ref="K355" authorId="0" shapeId="0" xr:uid="{8F9401D8-ACC2-4ADF-9B93-BDE548746301}">
      <text>
        <r>
          <rPr>
            <b/>
            <sz val="9"/>
            <color indexed="81"/>
            <rFont val="Tahoma"/>
            <family val="2"/>
          </rPr>
          <t>Gavin Mudd:</t>
        </r>
        <r>
          <rPr>
            <sz val="9"/>
            <color indexed="81"/>
            <rFont val="Tahoma"/>
            <family val="2"/>
          </rPr>
          <t xml:space="preserve">
includes third party ore</t>
        </r>
      </text>
    </comment>
    <comment ref="BX355" authorId="0" shapeId="0" xr:uid="{6807571A-6490-4B99-8A54-D6D17D1EBD00}">
      <text>
        <r>
          <rPr>
            <b/>
            <sz val="9"/>
            <color indexed="81"/>
            <rFont val="Tahoma"/>
            <family val="2"/>
          </rPr>
          <t>Gavin Mudd:</t>
        </r>
        <r>
          <rPr>
            <sz val="9"/>
            <color indexed="81"/>
            <rFont val="Tahoma"/>
            <family val="2"/>
          </rPr>
          <t xml:space="preserve">
includes third party ore</t>
        </r>
      </text>
    </comment>
    <comment ref="BY355" authorId="0" shapeId="0" xr:uid="{BFE960C7-392D-4A2E-8586-1664773219F1}">
      <text>
        <r>
          <rPr>
            <b/>
            <sz val="9"/>
            <color indexed="81"/>
            <rFont val="Tahoma"/>
            <family val="2"/>
          </rPr>
          <t>Gavin Mudd:</t>
        </r>
        <r>
          <rPr>
            <sz val="9"/>
            <color indexed="81"/>
            <rFont val="Tahoma"/>
            <family val="2"/>
          </rPr>
          <t xml:space="preserve">
includes third party ore</t>
        </r>
      </text>
    </comment>
    <comment ref="A357" authorId="0" shapeId="0" xr:uid="{20C38613-A2F5-4889-8775-FA168438104C}">
      <text>
        <r>
          <rPr>
            <b/>
            <sz val="9"/>
            <color indexed="81"/>
            <rFont val="Tahoma"/>
            <family val="2"/>
          </rPr>
          <t>Gavin Mudd:</t>
        </r>
        <r>
          <rPr>
            <sz val="9"/>
            <color indexed="81"/>
            <rFont val="Tahoma"/>
            <family val="2"/>
          </rPr>
          <t xml:space="preserve">
production 2002 to 2007 was processed at and included in Kambalda</t>
        </r>
      </text>
    </comment>
    <comment ref="C357" authorId="0" shapeId="0" xr:uid="{43BBEA23-2A5A-42AA-AB4B-C7A05D6F80B1}">
      <text>
        <r>
          <rPr>
            <b/>
            <sz val="9"/>
            <color indexed="81"/>
            <rFont val="Tahoma"/>
            <family val="2"/>
          </rPr>
          <t>Gavin Mudd:</t>
        </r>
        <r>
          <rPr>
            <sz val="9"/>
            <color indexed="81"/>
            <rFont val="Tahoma"/>
            <family val="2"/>
          </rPr>
          <t xml:space="preserve">
production 2002 to 2007 was processed at and included in Kambalda</t>
        </r>
      </text>
    </comment>
    <comment ref="AA365" authorId="0" shapeId="0" xr:uid="{CC7FBC65-DE30-42EF-B56B-DF5EE52EF7D7}">
      <text>
        <r>
          <rPr>
            <b/>
            <sz val="9"/>
            <color indexed="81"/>
            <rFont val="Tahoma"/>
            <family val="2"/>
          </rPr>
          <t>Gavin Mudd:</t>
        </r>
        <r>
          <rPr>
            <sz val="9"/>
            <color indexed="81"/>
            <rFont val="Tahoma"/>
            <family val="2"/>
          </rPr>
          <t xml:space="preserve">
assumes 95% of Cu production deports to Cu concentrate</t>
        </r>
      </text>
    </comment>
    <comment ref="AT365" authorId="0" shapeId="0" xr:uid="{7E0DD9BF-B21B-4EF8-8D55-4344DF9B48C1}">
      <text>
        <r>
          <rPr>
            <b/>
            <sz val="9"/>
            <color indexed="81"/>
            <rFont val="Tahoma"/>
            <family val="2"/>
          </rPr>
          <t>Gavin Mudd:</t>
        </r>
        <r>
          <rPr>
            <sz val="9"/>
            <color indexed="81"/>
            <rFont val="Tahoma"/>
            <family val="2"/>
          </rPr>
          <t xml:space="preserve">
assumes 95% of Cu production deports to Cu concentrate</t>
        </r>
      </text>
    </comment>
    <comment ref="AT366" authorId="0" shapeId="0" xr:uid="{104DC5CA-42FB-4C55-B526-27DB5A64D1B1}">
      <text>
        <r>
          <rPr>
            <b/>
            <sz val="9"/>
            <color indexed="81"/>
            <rFont val="Tahoma"/>
            <family val="2"/>
          </rPr>
          <t>Gavin Mudd:</t>
        </r>
        <r>
          <rPr>
            <sz val="9"/>
            <color indexed="81"/>
            <rFont val="Tahoma"/>
            <family val="2"/>
          </rPr>
          <t xml:space="preserve">
assumes 95% of Cu production deports to Cu concentrate</t>
        </r>
      </text>
    </comment>
    <comment ref="A369" authorId="0" shapeId="0" xr:uid="{968F7491-2D20-432D-B598-EBA6D3831312}">
      <text>
        <r>
          <rPr>
            <b/>
            <sz val="9"/>
            <color indexed="81"/>
            <rFont val="Tahoma"/>
            <family val="2"/>
          </rPr>
          <t>Gavin Mudd:</t>
        </r>
        <r>
          <rPr>
            <sz val="9"/>
            <color indexed="81"/>
            <rFont val="Tahoma"/>
            <family val="2"/>
          </rPr>
          <t xml:space="preserve">
processed at Hellyer mill</t>
        </r>
      </text>
    </comment>
    <comment ref="C369" authorId="0" shapeId="0" xr:uid="{0BBD9D9B-53DC-480A-B329-551E9FBAD71A}">
      <text>
        <r>
          <rPr>
            <b/>
            <sz val="9"/>
            <color indexed="81"/>
            <rFont val="Tahoma"/>
            <family val="2"/>
          </rPr>
          <t>Gavin Mudd:</t>
        </r>
        <r>
          <rPr>
            <sz val="9"/>
            <color indexed="81"/>
            <rFont val="Tahoma"/>
            <family val="2"/>
          </rPr>
          <t xml:space="preserve">
processed at Hellyer mill</t>
        </r>
      </text>
    </comment>
    <comment ref="A372" authorId="0" shapeId="0" xr:uid="{385EBE92-99E2-4D9E-AF8F-4315AFFA30C7}">
      <text>
        <r>
          <rPr>
            <b/>
            <sz val="9"/>
            <color indexed="81"/>
            <rFont val="Tahoma"/>
            <family val="2"/>
          </rPr>
          <t>Gavin Mudd:</t>
        </r>
        <r>
          <rPr>
            <sz val="9"/>
            <color indexed="81"/>
            <rFont val="Tahoma"/>
            <family val="2"/>
          </rPr>
          <t xml:space="preserve">
also called Green Parrot-Reward or Jervois Range</t>
        </r>
      </text>
    </comment>
    <comment ref="D372" authorId="0" shapeId="0" xr:uid="{DD7CA4CF-58FE-4C54-830F-BDB784BCD1F8}">
      <text>
        <r>
          <rPr>
            <b/>
            <sz val="9"/>
            <color indexed="81"/>
            <rFont val="Tahoma"/>
            <family val="2"/>
          </rPr>
          <t>Gavin Mudd:</t>
        </r>
        <r>
          <rPr>
            <sz val="9"/>
            <color indexed="81"/>
            <rFont val="Tahoma"/>
            <family val="2"/>
          </rPr>
          <t xml:space="preserve">
from NT Geology &amp; Mineral Resources (2013) - Chapter 3, commodity reviews</t>
        </r>
      </text>
    </comment>
    <comment ref="F372" authorId="0" shapeId="0" xr:uid="{6D30622B-F642-4843-BF2B-12AE8767E4BC}">
      <text>
        <r>
          <rPr>
            <b/>
            <sz val="9"/>
            <color indexed="81"/>
            <rFont val="Tahoma"/>
            <family val="2"/>
          </rPr>
          <t>Gavin Mudd:</t>
        </r>
        <r>
          <rPr>
            <sz val="9"/>
            <color indexed="81"/>
            <rFont val="Tahoma"/>
            <family val="2"/>
          </rPr>
          <t xml:space="preserve">
from NT Geology &amp; Mineral Resources (2013) - Chapter 3, commodity reviews</t>
        </r>
      </text>
    </comment>
    <comment ref="G372" authorId="0" shapeId="0" xr:uid="{411E8DA2-1ABA-44BE-816E-C9F3C7A37B06}">
      <text>
        <r>
          <rPr>
            <b/>
            <sz val="9"/>
            <color indexed="81"/>
            <rFont val="Tahoma"/>
            <family val="2"/>
          </rPr>
          <t>Gavin Mudd:</t>
        </r>
        <r>
          <rPr>
            <sz val="9"/>
            <color indexed="81"/>
            <rFont val="Tahoma"/>
            <family val="2"/>
          </rPr>
          <t xml:space="preserve">
from NT Geology &amp; Mineral Resources (2013) - Chapter 3, commodity reviews</t>
        </r>
      </text>
    </comment>
    <comment ref="H372" authorId="0" shapeId="0" xr:uid="{5D1BAFC3-D369-4163-ABE0-E8AB0F1DB4AE}">
      <text>
        <r>
          <rPr>
            <b/>
            <sz val="9"/>
            <color indexed="81"/>
            <rFont val="Tahoma"/>
            <family val="2"/>
          </rPr>
          <t>Gavin Mudd:</t>
        </r>
        <r>
          <rPr>
            <sz val="9"/>
            <color indexed="81"/>
            <rFont val="Tahoma"/>
            <family val="2"/>
          </rPr>
          <t xml:space="preserve">
from NT Geology &amp; Mineral Resources (2013) - Chapter 3, commodity reviews</t>
        </r>
      </text>
    </comment>
    <comment ref="I372" authorId="0" shapeId="0" xr:uid="{CB30C4B9-C2FF-4FC6-8ED1-8693B2D32E31}">
      <text>
        <r>
          <rPr>
            <b/>
            <sz val="9"/>
            <color indexed="81"/>
            <rFont val="Tahoma"/>
            <family val="2"/>
          </rPr>
          <t>Gavin Mudd:</t>
        </r>
        <r>
          <rPr>
            <sz val="9"/>
            <color indexed="81"/>
            <rFont val="Tahoma"/>
            <family val="2"/>
          </rPr>
          <t xml:space="preserve">
from NT Geology &amp; Mineral Resources (2013) - Chapter 3, commodity reviews</t>
        </r>
      </text>
    </comment>
    <comment ref="AG372" authorId="0" shapeId="0" xr:uid="{3809B7C2-B31B-4F03-A090-096CFFC21889}">
      <text>
        <r>
          <rPr>
            <b/>
            <sz val="9"/>
            <color indexed="81"/>
            <rFont val="Tahoma"/>
            <family val="2"/>
          </rPr>
          <t>Gavin Mudd:</t>
        </r>
        <r>
          <rPr>
            <sz val="9"/>
            <color indexed="81"/>
            <rFont val="Tahoma"/>
            <family val="2"/>
          </rPr>
          <t xml:space="preserve">
best estimate</t>
        </r>
      </text>
    </comment>
    <comment ref="AM372" authorId="0" shapeId="0" xr:uid="{2923F1BC-77A7-43A5-B7DD-A73AA3F59353}">
      <text>
        <r>
          <rPr>
            <b/>
            <sz val="9"/>
            <color indexed="81"/>
            <rFont val="Tahoma"/>
            <family val="2"/>
          </rPr>
          <t>Gavin Mudd:</t>
        </r>
        <r>
          <rPr>
            <sz val="9"/>
            <color indexed="81"/>
            <rFont val="Tahoma"/>
            <family val="2"/>
          </rPr>
          <t xml:space="preserve">
best estimate</t>
        </r>
      </text>
    </comment>
    <comment ref="BW372" authorId="0" shapeId="0" xr:uid="{2F77EDD9-ABF8-4CBF-B5A5-3993CF07D1CD}">
      <text>
        <r>
          <rPr>
            <b/>
            <sz val="9"/>
            <color indexed="81"/>
            <rFont val="Tahoma"/>
            <family val="2"/>
          </rPr>
          <t>Gavin Mudd:</t>
        </r>
        <r>
          <rPr>
            <sz val="9"/>
            <color indexed="81"/>
            <rFont val="Tahoma"/>
            <family val="2"/>
          </rPr>
          <t xml:space="preserve">
best estimate</t>
        </r>
      </text>
    </comment>
    <comment ref="C373" authorId="0" shapeId="0" xr:uid="{8AFE1CFF-24A4-4908-BC5A-97658591CDFE}">
      <text>
        <r>
          <rPr>
            <b/>
            <sz val="9"/>
            <color indexed="81"/>
            <rFont val="Tahoma"/>
            <family val="2"/>
          </rPr>
          <t>Gavin Mudd:</t>
        </r>
        <r>
          <rPr>
            <sz val="9"/>
            <color indexed="81"/>
            <rFont val="Tahoma"/>
            <family val="2"/>
          </rPr>
          <t xml:space="preserve">
from NT Geology &amp; Mineral Resources (2013) - Chapter 3, commodity reviews</t>
        </r>
      </text>
    </comment>
    <comment ref="D373" authorId="0" shapeId="0" xr:uid="{AA509308-C3E5-416C-9C5B-8E0BAC4D9525}">
      <text>
        <r>
          <rPr>
            <b/>
            <sz val="9"/>
            <color indexed="81"/>
            <rFont val="Tahoma"/>
            <family val="2"/>
          </rPr>
          <t>Gavin Mudd:</t>
        </r>
        <r>
          <rPr>
            <sz val="9"/>
            <color indexed="81"/>
            <rFont val="Tahoma"/>
            <family val="2"/>
          </rPr>
          <t xml:space="preserve">
from NT Geology &amp; Mineral Resources (2013) - Chapter 3, commodity reviews</t>
        </r>
      </text>
    </comment>
    <comment ref="G373" authorId="0" shapeId="0" xr:uid="{13C20C1B-90B7-4A45-9A57-0856D30728B0}">
      <text>
        <r>
          <rPr>
            <b/>
            <sz val="9"/>
            <color indexed="81"/>
            <rFont val="Tahoma"/>
            <family val="2"/>
          </rPr>
          <t>Gavin Mudd:</t>
        </r>
        <r>
          <rPr>
            <sz val="9"/>
            <color indexed="81"/>
            <rFont val="Tahoma"/>
            <family val="2"/>
          </rPr>
          <t xml:space="preserve">
from NT Geology &amp; Mineral Resources (2013) - Chapter 3, commodity reviews</t>
        </r>
      </text>
    </comment>
    <comment ref="R373" authorId="0" shapeId="0" xr:uid="{BA5DC024-A2E6-4D23-88CF-2DE8FBD7D51E}">
      <text>
        <r>
          <rPr>
            <b/>
            <sz val="9"/>
            <color indexed="81"/>
            <rFont val="Tahoma"/>
            <family val="2"/>
          </rPr>
          <t>Gavin Mudd:</t>
        </r>
        <r>
          <rPr>
            <sz val="9"/>
            <color indexed="81"/>
            <rFont val="Tahoma"/>
            <family val="2"/>
          </rPr>
          <t xml:space="preserve">
from NT Geology &amp; Mineral Resources (2013) - Chapter 3, commodity reviews</t>
        </r>
      </text>
    </comment>
    <comment ref="S373" authorId="0" shapeId="0" xr:uid="{65EEFA9E-1666-4385-96F3-D16A4C09DEB9}">
      <text>
        <r>
          <rPr>
            <b/>
            <sz val="9"/>
            <color indexed="81"/>
            <rFont val="Tahoma"/>
            <family val="2"/>
          </rPr>
          <t>Gavin Mudd:</t>
        </r>
        <r>
          <rPr>
            <sz val="9"/>
            <color indexed="81"/>
            <rFont val="Tahoma"/>
            <family val="2"/>
          </rPr>
          <t xml:space="preserve">
from NT Geology &amp; Mineral Resources (2013) - Chapter 3, commodity reviews</t>
        </r>
      </text>
    </comment>
    <comment ref="BU373" authorId="0" shapeId="0" xr:uid="{9E077FD4-B7AC-4233-A18C-44D2F3E5DB8E}">
      <text>
        <r>
          <rPr>
            <b/>
            <sz val="9"/>
            <color indexed="81"/>
            <rFont val="Tahoma"/>
            <family val="2"/>
          </rPr>
          <t>Gavin Mudd:</t>
        </r>
        <r>
          <rPr>
            <sz val="9"/>
            <color indexed="81"/>
            <rFont val="Tahoma"/>
            <family val="2"/>
          </rPr>
          <t xml:space="preserve">
from NT Geology &amp; Mineral Resources (2013) - Chapter 3, commodity reviews</t>
        </r>
      </text>
    </comment>
    <comment ref="BK378" authorId="0" shapeId="0" xr:uid="{2DC42CF1-66F9-4EEB-9776-0DD9F214F4B5}">
      <text>
        <r>
          <rPr>
            <b/>
            <sz val="9"/>
            <color indexed="81"/>
            <rFont val="Tahoma"/>
            <family val="2"/>
          </rPr>
          <t>Gavin Mudd:</t>
        </r>
        <r>
          <rPr>
            <sz val="9"/>
            <color indexed="81"/>
            <rFont val="Tahoma"/>
            <family val="2"/>
          </rPr>
          <t xml:space="preserve">
Copper precipitates</t>
        </r>
      </text>
    </comment>
    <comment ref="BL378" authorId="0" shapeId="0" xr:uid="{411BCBF1-168B-466B-9330-DC92EB87C3A9}">
      <text>
        <r>
          <rPr>
            <b/>
            <sz val="9"/>
            <color indexed="81"/>
            <rFont val="Tahoma"/>
            <family val="2"/>
          </rPr>
          <t>Gavin Mudd:</t>
        </r>
        <r>
          <rPr>
            <sz val="9"/>
            <color indexed="81"/>
            <rFont val="Tahoma"/>
            <family val="2"/>
          </rPr>
          <t xml:space="preserve">
Copper precipitates</t>
        </r>
      </text>
    </comment>
    <comment ref="BK379" authorId="0" shapeId="0" xr:uid="{73073024-B173-45E9-9BCB-6B459A26C407}">
      <text>
        <r>
          <rPr>
            <b/>
            <sz val="9"/>
            <color indexed="81"/>
            <rFont val="Tahoma"/>
            <family val="2"/>
          </rPr>
          <t>Gavin Mudd:</t>
        </r>
        <r>
          <rPr>
            <sz val="9"/>
            <color indexed="81"/>
            <rFont val="Tahoma"/>
            <family val="2"/>
          </rPr>
          <t xml:space="preserve">
Copper precipitates</t>
        </r>
      </text>
    </comment>
    <comment ref="BL379" authorId="0" shapeId="0" xr:uid="{2C117A0C-D5E0-443C-BC14-48B7FB25E28F}">
      <text>
        <r>
          <rPr>
            <b/>
            <sz val="9"/>
            <color indexed="81"/>
            <rFont val="Tahoma"/>
            <family val="2"/>
          </rPr>
          <t>Gavin Mudd:</t>
        </r>
        <r>
          <rPr>
            <sz val="9"/>
            <color indexed="81"/>
            <rFont val="Tahoma"/>
            <family val="2"/>
          </rPr>
          <t xml:space="preserve">
Copper precipitates</t>
        </r>
      </text>
    </comment>
    <comment ref="A381" authorId="0" shapeId="0" xr:uid="{351048D1-A0C4-42A3-B145-BA701633034B}">
      <text>
        <r>
          <rPr>
            <b/>
            <sz val="9"/>
            <color indexed="81"/>
            <rFont val="Tahoma"/>
            <family val="2"/>
          </rPr>
          <t>Gavin Mudd:</t>
        </r>
        <r>
          <rPr>
            <sz val="9"/>
            <color indexed="81"/>
            <rFont val="Tahoma"/>
            <family val="2"/>
          </rPr>
          <t xml:space="preserve">
includes Blockade, North Blockade, South Blockade, West Blockade</t>
        </r>
      </text>
    </comment>
    <comment ref="A382" authorId="0" shapeId="0" xr:uid="{8E4564F9-1DA7-4549-8347-6083B943FAD5}">
      <text>
        <r>
          <rPr>
            <b/>
            <sz val="9"/>
            <color indexed="81"/>
            <rFont val="Tahoma"/>
            <family val="2"/>
          </rPr>
          <t>Gavin Mudd:</t>
        </r>
        <r>
          <rPr>
            <sz val="9"/>
            <color indexed="81"/>
            <rFont val="Tahoma"/>
            <family val="2"/>
          </rPr>
          <t xml:space="preserve">
includes Crusader North, Young Crusader, Crusader Endeavour, Crusader No. 1, New Crusader</t>
        </r>
      </text>
    </comment>
    <comment ref="A396" authorId="0" shapeId="0" xr:uid="{E520D84D-8D00-4986-9AED-967A3E504BB7}">
      <text>
        <r>
          <rPr>
            <b/>
            <sz val="9"/>
            <color indexed="81"/>
            <rFont val="Tahoma"/>
            <family val="2"/>
          </rPr>
          <t>Gavin Mudd:</t>
        </r>
        <r>
          <rPr>
            <sz val="9"/>
            <color indexed="81"/>
            <rFont val="Tahoma"/>
            <family val="2"/>
          </rPr>
          <t xml:space="preserve">
includes Dobbyn, North Dobbyn, South Dobbyn, South Dobbin</t>
        </r>
      </text>
    </comment>
    <comment ref="BK408" authorId="0" shapeId="0" xr:uid="{5D4BC870-1525-4727-BCAB-5234AF7B4295}">
      <text>
        <r>
          <rPr>
            <b/>
            <sz val="9"/>
            <color indexed="81"/>
            <rFont val="Tahoma"/>
            <family val="2"/>
          </rPr>
          <t>Gavin Mudd:</t>
        </r>
        <r>
          <rPr>
            <sz val="9"/>
            <color indexed="81"/>
            <rFont val="Tahoma"/>
            <family val="2"/>
          </rPr>
          <t xml:space="preserve">
Copper cement from underground stope leaching</t>
        </r>
      </text>
    </comment>
    <comment ref="BU427" authorId="0" shapeId="0" xr:uid="{EF17AA03-EB23-41CC-A5AD-E3DEB6471A7A}">
      <text>
        <r>
          <rPr>
            <b/>
            <sz val="9"/>
            <color indexed="81"/>
            <rFont val="Tahoma"/>
            <family val="2"/>
          </rPr>
          <t>Gavin Mudd:</t>
        </r>
        <r>
          <rPr>
            <sz val="9"/>
            <color indexed="81"/>
            <rFont val="Tahoma"/>
            <family val="2"/>
          </rPr>
          <t xml:space="preserve">
Heap Leach production: 214.2 kt Cu
Flotation Mill production: 496.9 kt Cu</t>
        </r>
      </text>
    </comment>
    <comment ref="D452" authorId="0" shapeId="0" xr:uid="{11E6CD2C-F10A-4860-9EB4-E5F31ABF3EC5}">
      <text>
        <r>
          <rPr>
            <b/>
            <sz val="9"/>
            <color indexed="81"/>
            <rFont val="Tahoma"/>
            <family val="2"/>
          </rPr>
          <t>Gavin Mudd:</t>
        </r>
        <r>
          <rPr>
            <sz val="9"/>
            <color indexed="81"/>
            <rFont val="Tahoma"/>
            <family val="2"/>
          </rPr>
          <t xml:space="preserve">
Carne, J E, 1911, The Tin-Mining Industry and the Distribution of Tin Ores in New South Wales. Geological Survey, NSW Department of Mines (NSWDM), Sydney, NSW, Mineral Resources No 14, 378 p.</t>
        </r>
      </text>
    </comment>
    <comment ref="L452" authorId="0" shapeId="0" xr:uid="{8AE3D054-8F58-49C4-98B0-6344EB0D3CCD}">
      <text>
        <r>
          <rPr>
            <b/>
            <sz val="9"/>
            <color indexed="81"/>
            <rFont val="Tahoma"/>
            <family val="2"/>
          </rPr>
          <t>Gavin Mudd:</t>
        </r>
        <r>
          <rPr>
            <sz val="9"/>
            <color indexed="81"/>
            <rFont val="Tahoma"/>
            <family val="2"/>
          </rPr>
          <t xml:space="preserve">
Carne, J E, 1911, The Tin-Mining Industry and the Distribution of Tin Ores in New South Wales. Geological Survey, NSW Department of Mines (NSWDM), Sydney, NSW, Mineral Resources No 14, 378 p.</t>
        </r>
      </text>
    </comment>
    <comment ref="CA452" authorId="0" shapeId="0" xr:uid="{B050EFE0-E835-42BC-A95E-C361DD49F024}">
      <text>
        <r>
          <rPr>
            <b/>
            <sz val="9"/>
            <color indexed="81"/>
            <rFont val="Tahoma"/>
            <family val="2"/>
          </rPr>
          <t>Gavin Mudd:</t>
        </r>
        <r>
          <rPr>
            <sz val="9"/>
            <color indexed="81"/>
            <rFont val="Tahoma"/>
            <family val="2"/>
          </rPr>
          <t xml:space="preserve">
Carne, J E, 1911, The Tin-Mining Industry and the Distribution of Tin Ores in New South Wales. Geological Survey, NSW Department of Mines (NSWDM), Sydney, NSW, Mineral Resources No 14, 378 p.</t>
        </r>
      </text>
    </comment>
    <comment ref="BH460" authorId="0" shapeId="0" xr:uid="{22928EAD-A3FB-4ED8-9EC5-AF664E82CEAD}">
      <text>
        <r>
          <rPr>
            <b/>
            <sz val="9"/>
            <color indexed="81"/>
            <rFont val="Tahoma"/>
            <family val="2"/>
          </rPr>
          <t>Gavin Mudd:</t>
        </r>
        <r>
          <rPr>
            <sz val="9"/>
            <color indexed="81"/>
            <rFont val="Tahoma"/>
            <family val="2"/>
          </rPr>
          <t xml:space="preserve">
assumes magnetite (Fe3O4) and 95% purity</t>
        </r>
      </text>
    </comment>
    <comment ref="A465" authorId="0" shapeId="0" xr:uid="{91B29E99-7552-4119-8C11-38BF6EC0B4DF}">
      <text>
        <r>
          <rPr>
            <b/>
            <sz val="9"/>
            <color indexed="81"/>
            <rFont val="Tahoma"/>
            <family val="2"/>
          </rPr>
          <t>Gavin Mudd:</t>
        </r>
        <r>
          <rPr>
            <sz val="9"/>
            <color indexed="81"/>
            <rFont val="Tahoma"/>
            <family val="2"/>
          </rPr>
          <t xml:space="preserve">
includes the Cooktown, Kangaroo Hills, Palmer, Port Douglas, Hodgkinson, Ingham, Mareeba, Torres Strait &amp; Cape York, Mossman and Chillagoe fields (noting changes in fields)</t>
        </r>
      </text>
    </comment>
    <comment ref="A466" authorId="0" shapeId="0" xr:uid="{C8918D70-B15C-47EB-AA89-EB433DC8D033}">
      <text>
        <r>
          <rPr>
            <b/>
            <sz val="9"/>
            <color indexed="81"/>
            <rFont val="Tahoma"/>
            <family val="2"/>
          </rPr>
          <t>Gavin Mudd:</t>
        </r>
        <r>
          <rPr>
            <sz val="9"/>
            <color indexed="81"/>
            <rFont val="Tahoma"/>
            <family val="2"/>
          </rPr>
          <t xml:space="preserve">
includes the Ravenswood, Etheridge, Charters Towers, Croydon, Georgetown, Coen &amp; Rocky, Nanango, Batavia River, Star River (Ollera), Townsville, Oaks, Claudie River, Eidsvold, Bundaberg, Mackay, Innisfail, Mount Isa, Gladstone and Cairns fields</t>
        </r>
      </text>
    </comment>
    <comment ref="A473" authorId="0" shapeId="0" xr:uid="{1BF84046-9185-42E1-B75F-1C664A534E35}">
      <text>
        <r>
          <rPr>
            <b/>
            <sz val="9"/>
            <color indexed="81"/>
            <rFont val="Tahoma"/>
            <family val="2"/>
          </rPr>
          <t>Gavin Mudd:</t>
        </r>
        <r>
          <rPr>
            <sz val="9"/>
            <color indexed="81"/>
            <rFont val="Tahoma"/>
            <family val="2"/>
          </rPr>
          <t xml:space="preserve">
includes Fifield, West Wyalong, Yalgogrin, Barmedman &amp; Narrandera</t>
        </r>
      </text>
    </comment>
    <comment ref="A474" authorId="0" shapeId="0" xr:uid="{5F6E05C6-BA90-4B8C-BBFD-75E5CCA50B0D}">
      <text>
        <r>
          <rPr>
            <b/>
            <sz val="9"/>
            <color indexed="81"/>
            <rFont val="Tahoma"/>
            <family val="2"/>
          </rPr>
          <t>Gavin Mudd:</t>
        </r>
        <r>
          <rPr>
            <sz val="9"/>
            <color indexed="81"/>
            <rFont val="Tahoma"/>
            <family val="2"/>
          </rPr>
          <t xml:space="preserve">
includes Germanton, Albury, Wagga Wagga, Holbrook, Tumbarumba, Goulburn, Trundle, Kempsey, Port Macquarie, Wollongong, Euabalong, Cobar, Broken Hill, Euriowie</t>
        </r>
      </text>
    </comment>
    <comment ref="A475" authorId="0" shapeId="0" xr:uid="{9015C4E5-042F-4843-8BB1-A270019C7132}">
      <text>
        <r>
          <rPr>
            <b/>
            <sz val="9"/>
            <color indexed="81"/>
            <rFont val="Tahoma"/>
            <family val="2"/>
          </rPr>
          <t>Gavin Mudd:</t>
        </r>
        <r>
          <rPr>
            <sz val="9"/>
            <color indexed="81"/>
            <rFont val="Tahoma"/>
            <family val="2"/>
          </rPr>
          <t xml:space="preserve">
includes Tingha, Glen Innes, Inverell, Kookabookra, Armidale, Bendemeer, Barraba, Bingara, Bundarra, Hillgrove</t>
        </r>
      </text>
    </comment>
    <comment ref="A476" authorId="0" shapeId="0" xr:uid="{8D715518-9DB2-4B75-A95D-13D8E60C689A}">
      <text>
        <r>
          <rPr>
            <b/>
            <sz val="9"/>
            <color indexed="81"/>
            <rFont val="Tahoma"/>
            <family val="2"/>
          </rPr>
          <t>Gavin Mudd:</t>
        </r>
        <r>
          <rPr>
            <sz val="9"/>
            <color indexed="81"/>
            <rFont val="Tahoma"/>
            <family val="2"/>
          </rPr>
          <t xml:space="preserve">
includes Emmaville, Deepwater, Wilson's Downfall, Tenterfield, Torrington</t>
        </r>
      </text>
    </comment>
    <comment ref="A483" authorId="0" shapeId="0" xr:uid="{F3B6CA0C-BF07-4F5A-9140-EF5E91CA06EE}">
      <text>
        <r>
          <rPr>
            <b/>
            <sz val="9"/>
            <color indexed="81"/>
            <rFont val="Tahoma"/>
            <family val="2"/>
          </rPr>
          <t>Gavin Mudd:</t>
        </r>
        <r>
          <rPr>
            <sz val="9"/>
            <color indexed="81"/>
            <rFont val="Tahoma"/>
            <family val="2"/>
          </rPr>
          <t xml:space="preserve">
separate to production included with Great Cobar</t>
        </r>
      </text>
    </comment>
    <comment ref="C483" authorId="0" shapeId="0" xr:uid="{9B9B826F-3741-47EF-9E4E-00034EBFBC73}">
      <text>
        <r>
          <rPr>
            <b/>
            <sz val="9"/>
            <color indexed="81"/>
            <rFont val="Tahoma"/>
            <family val="2"/>
          </rPr>
          <t>Gavin Mudd:</t>
        </r>
        <r>
          <rPr>
            <sz val="9"/>
            <color indexed="81"/>
            <rFont val="Tahoma"/>
            <family val="2"/>
          </rPr>
          <t xml:space="preserve">
separate to production included with Great Cobar</t>
        </r>
      </text>
    </comment>
    <comment ref="D491" authorId="0" shapeId="0" xr:uid="{A4C6E7A7-1BFB-4085-9E8A-36BF9BB3E4B9}">
      <text>
        <r>
          <rPr>
            <b/>
            <sz val="9"/>
            <color indexed="81"/>
            <rFont val="Tahoma"/>
            <family val="2"/>
          </rPr>
          <t>Gavin Mudd:</t>
        </r>
        <r>
          <rPr>
            <sz val="9"/>
            <color indexed="81"/>
            <rFont val="Tahoma"/>
            <family val="2"/>
          </rPr>
          <t xml:space="preserve">
assumes dry density of 1.8 t/m3 for alluvial mining</t>
        </r>
      </text>
    </comment>
    <comment ref="D492" authorId="0" shapeId="0" xr:uid="{D2373AF1-9C6C-452B-A961-EA9C0C5D5C58}">
      <text>
        <r>
          <rPr>
            <b/>
            <sz val="9"/>
            <color indexed="81"/>
            <rFont val="Tahoma"/>
            <family val="2"/>
          </rPr>
          <t>Gavin Mudd:</t>
        </r>
        <r>
          <rPr>
            <sz val="9"/>
            <color indexed="81"/>
            <rFont val="Tahoma"/>
            <family val="2"/>
          </rPr>
          <t xml:space="preserve">
NE Queensland Minerals Atlas (Geol Survey QLD), Chapter 1</t>
        </r>
      </text>
    </comment>
    <comment ref="D493" authorId="0" shapeId="0" xr:uid="{E9FD2592-3E80-49D3-9C47-4E45CB20AD17}">
      <text>
        <r>
          <rPr>
            <b/>
            <sz val="9"/>
            <color indexed="81"/>
            <rFont val="Tahoma"/>
            <family val="2"/>
          </rPr>
          <t>Gavin Mudd:</t>
        </r>
        <r>
          <rPr>
            <sz val="9"/>
            <color indexed="81"/>
            <rFont val="Tahoma"/>
            <family val="2"/>
          </rPr>
          <t xml:space="preserve">
assumes dry density of 1.8 t/m3 for alluvial mining</t>
        </r>
      </text>
    </comment>
    <comment ref="A498" authorId="0" shapeId="0" xr:uid="{65754462-0A82-4B49-B119-371BD1610E7F}">
      <text>
        <r>
          <rPr>
            <b/>
            <sz val="9"/>
            <color indexed="81"/>
            <rFont val="Tahoma"/>
            <family val="2"/>
          </rPr>
          <t>Gavin Mudd:</t>
        </r>
        <r>
          <rPr>
            <sz val="9"/>
            <color indexed="81"/>
            <rFont val="Tahoma"/>
            <family val="2"/>
          </rPr>
          <t xml:space="preserve">
includes Star Mill (battery), Coolgarra Battery, Irvinebank Battery, Great Northern Mill (battery), Bishoff Mill (battery)</t>
        </r>
      </text>
    </comment>
    <comment ref="D505" authorId="0" shapeId="0" xr:uid="{979155CB-8EE8-47BD-87D8-6C5155AEF236}">
      <text>
        <r>
          <rPr>
            <b/>
            <sz val="9"/>
            <color indexed="81"/>
            <rFont val="Tahoma"/>
            <family val="2"/>
          </rPr>
          <t>Gavin Mudd:</t>
        </r>
        <r>
          <rPr>
            <sz val="9"/>
            <color indexed="81"/>
            <rFont val="Tahoma"/>
            <family val="2"/>
          </rPr>
          <t xml:space="preserve">
saleable ore</t>
        </r>
      </text>
    </comment>
    <comment ref="BG505" authorId="0" shapeId="0" xr:uid="{5421FB3A-A229-46F0-93BE-E4A6E74B96E2}">
      <text>
        <r>
          <rPr>
            <b/>
            <sz val="9"/>
            <color indexed="81"/>
            <rFont val="Tahoma"/>
            <family val="2"/>
          </rPr>
          <t>Gavin Mudd:</t>
        </r>
        <r>
          <rPr>
            <sz val="9"/>
            <color indexed="81"/>
            <rFont val="Tahoma"/>
            <family val="2"/>
          </rPr>
          <t xml:space="preserve">
saleable ore</t>
        </r>
      </text>
    </comment>
    <comment ref="BZ505" authorId="0" shapeId="0" xr:uid="{D9AB0ED7-D196-4B0D-8880-A027B1E22D2E}">
      <text>
        <r>
          <rPr>
            <b/>
            <sz val="9"/>
            <color indexed="81"/>
            <rFont val="Tahoma"/>
            <family val="2"/>
          </rPr>
          <t>Gavin Mudd:</t>
        </r>
        <r>
          <rPr>
            <sz val="9"/>
            <color indexed="81"/>
            <rFont val="Tahoma"/>
            <family val="2"/>
          </rPr>
          <t xml:space="preserve">
saleable ore</t>
        </r>
      </text>
    </comment>
    <comment ref="D506" authorId="0" shapeId="0" xr:uid="{8967A84D-AE24-4B8E-9190-D30C956EE72E}">
      <text>
        <r>
          <rPr>
            <b/>
            <sz val="9"/>
            <color indexed="81"/>
            <rFont val="Tahoma"/>
            <family val="2"/>
          </rPr>
          <t>Gavin Mudd:</t>
        </r>
        <r>
          <rPr>
            <sz val="9"/>
            <color indexed="81"/>
            <rFont val="Tahoma"/>
            <family val="2"/>
          </rPr>
          <t xml:space="preserve">
saleable ore</t>
        </r>
      </text>
    </comment>
    <comment ref="BG506" authorId="0" shapeId="0" xr:uid="{5EC6BAAC-427C-4B98-892B-FFADCCA0E2B4}">
      <text>
        <r>
          <rPr>
            <b/>
            <sz val="9"/>
            <color indexed="81"/>
            <rFont val="Tahoma"/>
            <family val="2"/>
          </rPr>
          <t>Gavin Mudd:</t>
        </r>
        <r>
          <rPr>
            <sz val="9"/>
            <color indexed="81"/>
            <rFont val="Tahoma"/>
            <family val="2"/>
          </rPr>
          <t xml:space="preserve">
saleable ore</t>
        </r>
      </text>
    </comment>
    <comment ref="BZ506" authorId="0" shapeId="0" xr:uid="{2C82D39D-ECB2-4BD2-B7F8-F44FFB471FBB}">
      <text>
        <r>
          <rPr>
            <b/>
            <sz val="9"/>
            <color indexed="81"/>
            <rFont val="Tahoma"/>
            <family val="2"/>
          </rPr>
          <t>Gavin Mudd:</t>
        </r>
        <r>
          <rPr>
            <sz val="9"/>
            <color indexed="81"/>
            <rFont val="Tahoma"/>
            <family val="2"/>
          </rPr>
          <t xml:space="preserve">
saleable ore</t>
        </r>
      </text>
    </comment>
    <comment ref="D507" authorId="0" shapeId="0" xr:uid="{3A271723-3F2C-4B97-885D-642C169369DC}">
      <text>
        <r>
          <rPr>
            <b/>
            <sz val="9"/>
            <color indexed="81"/>
            <rFont val="Tahoma"/>
            <family val="2"/>
          </rPr>
          <t>Gavin Mudd:</t>
        </r>
        <r>
          <rPr>
            <sz val="9"/>
            <color indexed="81"/>
            <rFont val="Tahoma"/>
            <family val="2"/>
          </rPr>
          <t xml:space="preserve">
saleable ore</t>
        </r>
      </text>
    </comment>
    <comment ref="BG507" authorId="0" shapeId="0" xr:uid="{29457F40-84A6-4889-9413-4483E888A78C}">
      <text>
        <r>
          <rPr>
            <b/>
            <sz val="9"/>
            <color indexed="81"/>
            <rFont val="Tahoma"/>
            <family val="2"/>
          </rPr>
          <t>Gavin Mudd:</t>
        </r>
        <r>
          <rPr>
            <sz val="9"/>
            <color indexed="81"/>
            <rFont val="Tahoma"/>
            <family val="2"/>
          </rPr>
          <t xml:space="preserve">
saleable ore</t>
        </r>
      </text>
    </comment>
    <comment ref="BZ507" authorId="0" shapeId="0" xr:uid="{F290AAA1-D3A5-4991-98C6-914E9E2FF46F}">
      <text>
        <r>
          <rPr>
            <b/>
            <sz val="9"/>
            <color indexed="81"/>
            <rFont val="Tahoma"/>
            <family val="2"/>
          </rPr>
          <t>Gavin Mudd:</t>
        </r>
        <r>
          <rPr>
            <sz val="9"/>
            <color indexed="81"/>
            <rFont val="Tahoma"/>
            <family val="2"/>
          </rPr>
          <t xml:space="preserve">
saleable ore</t>
        </r>
      </text>
    </comment>
    <comment ref="D508" authorId="0" shapeId="0" xr:uid="{EEC26778-FCC0-4ED6-93B4-2B83483B9C55}">
      <text>
        <r>
          <rPr>
            <b/>
            <sz val="9"/>
            <color indexed="81"/>
            <rFont val="Tahoma"/>
            <family val="2"/>
          </rPr>
          <t>Gavin Mudd:</t>
        </r>
        <r>
          <rPr>
            <sz val="9"/>
            <color indexed="81"/>
            <rFont val="Tahoma"/>
            <family val="2"/>
          </rPr>
          <t xml:space="preserve">
saleable ore</t>
        </r>
      </text>
    </comment>
    <comment ref="BG508" authorId="0" shapeId="0" xr:uid="{A9193B5D-F475-4A99-922D-01183D5256AF}">
      <text>
        <r>
          <rPr>
            <b/>
            <sz val="9"/>
            <color indexed="81"/>
            <rFont val="Tahoma"/>
            <family val="2"/>
          </rPr>
          <t>Gavin Mudd:</t>
        </r>
        <r>
          <rPr>
            <sz val="9"/>
            <color indexed="81"/>
            <rFont val="Tahoma"/>
            <family val="2"/>
          </rPr>
          <t xml:space="preserve">
saleable ore</t>
        </r>
      </text>
    </comment>
    <comment ref="BZ508" authorId="0" shapeId="0" xr:uid="{5D67334A-3740-43AE-A6CE-0490D5D209A1}">
      <text>
        <r>
          <rPr>
            <b/>
            <sz val="9"/>
            <color indexed="81"/>
            <rFont val="Tahoma"/>
            <family val="2"/>
          </rPr>
          <t>Gavin Mudd:</t>
        </r>
        <r>
          <rPr>
            <sz val="9"/>
            <color indexed="81"/>
            <rFont val="Tahoma"/>
            <family val="2"/>
          </rPr>
          <t xml:space="preserve">
saleable ore</t>
        </r>
      </text>
    </comment>
    <comment ref="D509" authorId="0" shapeId="0" xr:uid="{ABA820CB-FFF3-45E5-AD7E-288E4E08886B}">
      <text>
        <r>
          <rPr>
            <b/>
            <sz val="9"/>
            <color indexed="81"/>
            <rFont val="Tahoma"/>
            <family val="2"/>
          </rPr>
          <t>Gavin Mudd:</t>
        </r>
        <r>
          <rPr>
            <sz val="9"/>
            <color indexed="81"/>
            <rFont val="Tahoma"/>
            <family val="2"/>
          </rPr>
          <t xml:space="preserve">
saleable ore</t>
        </r>
      </text>
    </comment>
    <comment ref="BG509" authorId="0" shapeId="0" xr:uid="{7447FEB0-3C15-4134-BAF3-F58FF5359F10}">
      <text>
        <r>
          <rPr>
            <b/>
            <sz val="9"/>
            <color indexed="81"/>
            <rFont val="Tahoma"/>
            <family val="2"/>
          </rPr>
          <t>Gavin Mudd:</t>
        </r>
        <r>
          <rPr>
            <sz val="9"/>
            <color indexed="81"/>
            <rFont val="Tahoma"/>
            <family val="2"/>
          </rPr>
          <t xml:space="preserve">
saleable ore</t>
        </r>
      </text>
    </comment>
    <comment ref="BZ509" authorId="0" shapeId="0" xr:uid="{7DB4539B-C4EA-42DB-B636-743F1D6C8ADC}">
      <text>
        <r>
          <rPr>
            <b/>
            <sz val="9"/>
            <color indexed="81"/>
            <rFont val="Tahoma"/>
            <family val="2"/>
          </rPr>
          <t>Gavin Mudd:</t>
        </r>
        <r>
          <rPr>
            <sz val="9"/>
            <color indexed="81"/>
            <rFont val="Tahoma"/>
            <family val="2"/>
          </rPr>
          <t xml:space="preserve">
saleable ore</t>
        </r>
      </text>
    </comment>
    <comment ref="D510" authorId="0" shapeId="0" xr:uid="{2239095E-BE54-4DD6-8DC8-2F23A6E670BD}">
      <text>
        <r>
          <rPr>
            <b/>
            <sz val="9"/>
            <color indexed="81"/>
            <rFont val="Tahoma"/>
            <family val="2"/>
          </rPr>
          <t>Gavin Mudd:</t>
        </r>
        <r>
          <rPr>
            <sz val="9"/>
            <color indexed="81"/>
            <rFont val="Tahoma"/>
            <family val="2"/>
          </rPr>
          <t xml:space="preserve">
saleable ore</t>
        </r>
      </text>
    </comment>
    <comment ref="BG510" authorId="0" shapeId="0" xr:uid="{D5230514-097C-4240-A75B-133394EE811D}">
      <text>
        <r>
          <rPr>
            <b/>
            <sz val="9"/>
            <color indexed="81"/>
            <rFont val="Tahoma"/>
            <family val="2"/>
          </rPr>
          <t>Gavin Mudd:</t>
        </r>
        <r>
          <rPr>
            <sz val="9"/>
            <color indexed="81"/>
            <rFont val="Tahoma"/>
            <family val="2"/>
          </rPr>
          <t xml:space="preserve">
saleable ore</t>
        </r>
      </text>
    </comment>
    <comment ref="BZ510" authorId="0" shapeId="0" xr:uid="{958EB1EB-1DDA-4506-8D66-7EFAB0F018D6}">
      <text>
        <r>
          <rPr>
            <b/>
            <sz val="9"/>
            <color indexed="81"/>
            <rFont val="Tahoma"/>
            <family val="2"/>
          </rPr>
          <t>Gavin Mudd:</t>
        </r>
        <r>
          <rPr>
            <sz val="9"/>
            <color indexed="81"/>
            <rFont val="Tahoma"/>
            <family val="2"/>
          </rPr>
          <t xml:space="preserve">
saleable ore</t>
        </r>
      </text>
    </comment>
    <comment ref="D511" authorId="0" shapeId="0" xr:uid="{2193221F-414F-427F-A4C9-83226EF505A4}">
      <text>
        <r>
          <rPr>
            <b/>
            <sz val="9"/>
            <color indexed="81"/>
            <rFont val="Tahoma"/>
            <family val="2"/>
          </rPr>
          <t>Gavin Mudd:</t>
        </r>
        <r>
          <rPr>
            <sz val="9"/>
            <color indexed="81"/>
            <rFont val="Tahoma"/>
            <family val="2"/>
          </rPr>
          <t xml:space="preserve">
saleable ore</t>
        </r>
      </text>
    </comment>
    <comment ref="BG511" authorId="0" shapeId="0" xr:uid="{A28CB7A0-A6D3-4BE7-97D1-15F5C15BA515}">
      <text>
        <r>
          <rPr>
            <b/>
            <sz val="9"/>
            <color indexed="81"/>
            <rFont val="Tahoma"/>
            <family val="2"/>
          </rPr>
          <t>Gavin Mudd:</t>
        </r>
        <r>
          <rPr>
            <sz val="9"/>
            <color indexed="81"/>
            <rFont val="Tahoma"/>
            <family val="2"/>
          </rPr>
          <t xml:space="preserve">
saleable ore</t>
        </r>
      </text>
    </comment>
    <comment ref="BZ511" authorId="0" shapeId="0" xr:uid="{A73E0677-FA23-44BF-AD53-61672B632EFB}">
      <text>
        <r>
          <rPr>
            <b/>
            <sz val="9"/>
            <color indexed="81"/>
            <rFont val="Tahoma"/>
            <family val="2"/>
          </rPr>
          <t>Gavin Mudd:</t>
        </r>
        <r>
          <rPr>
            <sz val="9"/>
            <color indexed="81"/>
            <rFont val="Tahoma"/>
            <family val="2"/>
          </rPr>
          <t xml:space="preserve">
saleable ore</t>
        </r>
      </text>
    </comment>
    <comment ref="D512" authorId="0" shapeId="0" xr:uid="{A9FCEA22-425C-42AA-8F47-49F2E809D781}">
      <text>
        <r>
          <rPr>
            <b/>
            <sz val="9"/>
            <color indexed="81"/>
            <rFont val="Tahoma"/>
            <family val="2"/>
          </rPr>
          <t>Gavin Mudd:</t>
        </r>
        <r>
          <rPr>
            <sz val="9"/>
            <color indexed="81"/>
            <rFont val="Tahoma"/>
            <family val="2"/>
          </rPr>
          <t xml:space="preserve">
saleable ore</t>
        </r>
      </text>
    </comment>
    <comment ref="BG512" authorId="0" shapeId="0" xr:uid="{F628C155-6748-4319-85CB-EBDD7B891A0B}">
      <text>
        <r>
          <rPr>
            <b/>
            <sz val="9"/>
            <color indexed="81"/>
            <rFont val="Tahoma"/>
            <family val="2"/>
          </rPr>
          <t>Gavin Mudd:</t>
        </r>
        <r>
          <rPr>
            <sz val="9"/>
            <color indexed="81"/>
            <rFont val="Tahoma"/>
            <family val="2"/>
          </rPr>
          <t xml:space="preserve">
saleable ore</t>
        </r>
      </text>
    </comment>
    <comment ref="BZ512" authorId="0" shapeId="0" xr:uid="{C4C8BA05-E1B9-4D3C-AFEA-D38EDA21C660}">
      <text>
        <r>
          <rPr>
            <b/>
            <sz val="9"/>
            <color indexed="81"/>
            <rFont val="Tahoma"/>
            <family val="2"/>
          </rPr>
          <t>Gavin Mudd:</t>
        </r>
        <r>
          <rPr>
            <sz val="9"/>
            <color indexed="81"/>
            <rFont val="Tahoma"/>
            <family val="2"/>
          </rPr>
          <t xml:space="preserve">
saleable ore</t>
        </r>
      </text>
    </comment>
    <comment ref="D513" authorId="0" shapeId="0" xr:uid="{E76FF626-A31E-4ACD-94D1-95591FE56B09}">
      <text>
        <r>
          <rPr>
            <b/>
            <sz val="9"/>
            <color indexed="81"/>
            <rFont val="Tahoma"/>
            <family val="2"/>
          </rPr>
          <t>Gavin Mudd:</t>
        </r>
        <r>
          <rPr>
            <sz val="9"/>
            <color indexed="81"/>
            <rFont val="Tahoma"/>
            <family val="2"/>
          </rPr>
          <t xml:space="preserve">
saleable ore</t>
        </r>
      </text>
    </comment>
    <comment ref="BG513" authorId="0" shapeId="0" xr:uid="{82A8E030-F272-4B75-811C-D356B6AD612D}">
      <text>
        <r>
          <rPr>
            <b/>
            <sz val="9"/>
            <color indexed="81"/>
            <rFont val="Tahoma"/>
            <family val="2"/>
          </rPr>
          <t>Gavin Mudd:</t>
        </r>
        <r>
          <rPr>
            <sz val="9"/>
            <color indexed="81"/>
            <rFont val="Tahoma"/>
            <family val="2"/>
          </rPr>
          <t xml:space="preserve">
saleable ore</t>
        </r>
      </text>
    </comment>
    <comment ref="BZ513" authorId="0" shapeId="0" xr:uid="{E99AC3AC-02CB-429B-8A59-1B806A0EFD44}">
      <text>
        <r>
          <rPr>
            <b/>
            <sz val="9"/>
            <color indexed="81"/>
            <rFont val="Tahoma"/>
            <family val="2"/>
          </rPr>
          <t>Gavin Mudd:</t>
        </r>
        <r>
          <rPr>
            <sz val="9"/>
            <color indexed="81"/>
            <rFont val="Tahoma"/>
            <family val="2"/>
          </rPr>
          <t xml:space="preserve">
saleable ore</t>
        </r>
      </text>
    </comment>
    <comment ref="D514" authorId="0" shapeId="0" xr:uid="{E20994B1-B270-4A45-BF91-367DDFC87F68}">
      <text>
        <r>
          <rPr>
            <b/>
            <sz val="9"/>
            <color indexed="81"/>
            <rFont val="Tahoma"/>
            <family val="2"/>
          </rPr>
          <t>Gavin Mudd:</t>
        </r>
        <r>
          <rPr>
            <sz val="9"/>
            <color indexed="81"/>
            <rFont val="Tahoma"/>
            <family val="2"/>
          </rPr>
          <t xml:space="preserve">
saleable ore</t>
        </r>
      </text>
    </comment>
    <comment ref="BG514" authorId="0" shapeId="0" xr:uid="{581A490F-1874-4362-AB42-7CFE3F3623A5}">
      <text>
        <r>
          <rPr>
            <b/>
            <sz val="9"/>
            <color indexed="81"/>
            <rFont val="Tahoma"/>
            <family val="2"/>
          </rPr>
          <t>Gavin Mudd:</t>
        </r>
        <r>
          <rPr>
            <sz val="9"/>
            <color indexed="81"/>
            <rFont val="Tahoma"/>
            <family val="2"/>
          </rPr>
          <t xml:space="preserve">
saleable ore</t>
        </r>
      </text>
    </comment>
    <comment ref="BZ514" authorId="0" shapeId="0" xr:uid="{9E9DE0F3-83AE-4820-B822-CA2D290ADEC4}">
      <text>
        <r>
          <rPr>
            <b/>
            <sz val="9"/>
            <color indexed="81"/>
            <rFont val="Tahoma"/>
            <family val="2"/>
          </rPr>
          <t>Gavin Mudd:</t>
        </r>
        <r>
          <rPr>
            <sz val="9"/>
            <color indexed="81"/>
            <rFont val="Tahoma"/>
            <family val="2"/>
          </rPr>
          <t xml:space="preserve">
saleable ore</t>
        </r>
      </text>
    </comment>
    <comment ref="D515" authorId="0" shapeId="0" xr:uid="{E0FE509B-83F3-47B3-B5AA-7B487057D38D}">
      <text>
        <r>
          <rPr>
            <b/>
            <sz val="9"/>
            <color indexed="81"/>
            <rFont val="Tahoma"/>
            <family val="2"/>
          </rPr>
          <t>Gavin Mudd:</t>
        </r>
        <r>
          <rPr>
            <sz val="9"/>
            <color indexed="81"/>
            <rFont val="Tahoma"/>
            <family val="2"/>
          </rPr>
          <t xml:space="preserve">
saleable ore</t>
        </r>
      </text>
    </comment>
    <comment ref="BG515" authorId="0" shapeId="0" xr:uid="{A705DC02-993D-4E92-99B6-0189B0C6C5F6}">
      <text>
        <r>
          <rPr>
            <b/>
            <sz val="9"/>
            <color indexed="81"/>
            <rFont val="Tahoma"/>
            <family val="2"/>
          </rPr>
          <t>Gavin Mudd:</t>
        </r>
        <r>
          <rPr>
            <sz val="9"/>
            <color indexed="81"/>
            <rFont val="Tahoma"/>
            <family val="2"/>
          </rPr>
          <t xml:space="preserve">
saleable ore</t>
        </r>
      </text>
    </comment>
    <comment ref="BZ515" authorId="0" shapeId="0" xr:uid="{DA8FB793-8C5D-4BC6-9FA5-2D58D92DBF77}">
      <text>
        <r>
          <rPr>
            <b/>
            <sz val="9"/>
            <color indexed="81"/>
            <rFont val="Tahoma"/>
            <family val="2"/>
          </rPr>
          <t>Gavin Mudd:</t>
        </r>
        <r>
          <rPr>
            <sz val="9"/>
            <color indexed="81"/>
            <rFont val="Tahoma"/>
            <family val="2"/>
          </rPr>
          <t xml:space="preserve">
saleable ore</t>
        </r>
      </text>
    </comment>
    <comment ref="D516" authorId="0" shapeId="0" xr:uid="{9ED52A52-3768-4827-B22A-39DEB5756E45}">
      <text>
        <r>
          <rPr>
            <b/>
            <sz val="9"/>
            <color indexed="81"/>
            <rFont val="Tahoma"/>
            <family val="2"/>
          </rPr>
          <t>Gavin Mudd:</t>
        </r>
        <r>
          <rPr>
            <sz val="9"/>
            <color indexed="81"/>
            <rFont val="Tahoma"/>
            <family val="2"/>
          </rPr>
          <t xml:space="preserve">
saleable ore</t>
        </r>
      </text>
    </comment>
    <comment ref="BG516" authorId="0" shapeId="0" xr:uid="{1EF17059-8F8C-45B3-B053-48719EA4AB77}">
      <text>
        <r>
          <rPr>
            <b/>
            <sz val="9"/>
            <color indexed="81"/>
            <rFont val="Tahoma"/>
            <family val="2"/>
          </rPr>
          <t>Gavin Mudd:</t>
        </r>
        <r>
          <rPr>
            <sz val="9"/>
            <color indexed="81"/>
            <rFont val="Tahoma"/>
            <family val="2"/>
          </rPr>
          <t xml:space="preserve">
saleable ore</t>
        </r>
      </text>
    </comment>
    <comment ref="BZ516" authorId="0" shapeId="0" xr:uid="{3AB9C8D9-7809-4437-AA6E-471B58DA1B59}">
      <text>
        <r>
          <rPr>
            <b/>
            <sz val="9"/>
            <color indexed="81"/>
            <rFont val="Tahoma"/>
            <family val="2"/>
          </rPr>
          <t>Gavin Mudd:</t>
        </r>
        <r>
          <rPr>
            <sz val="9"/>
            <color indexed="81"/>
            <rFont val="Tahoma"/>
            <family val="2"/>
          </rPr>
          <t xml:space="preserve">
saleable ore</t>
        </r>
      </text>
    </comment>
    <comment ref="D517" authorId="0" shapeId="0" xr:uid="{CF5E082E-C27C-4609-A982-011CDADC5B1A}">
      <text>
        <r>
          <rPr>
            <b/>
            <sz val="9"/>
            <color indexed="81"/>
            <rFont val="Tahoma"/>
            <family val="2"/>
          </rPr>
          <t>Gavin Mudd:</t>
        </r>
        <r>
          <rPr>
            <sz val="9"/>
            <color indexed="81"/>
            <rFont val="Tahoma"/>
            <family val="2"/>
          </rPr>
          <t xml:space="preserve">
saleable ore</t>
        </r>
      </text>
    </comment>
    <comment ref="BG517" authorId="0" shapeId="0" xr:uid="{65563B53-837E-4BD9-9589-DCE8DE9B5CFC}">
      <text>
        <r>
          <rPr>
            <b/>
            <sz val="9"/>
            <color indexed="81"/>
            <rFont val="Tahoma"/>
            <family val="2"/>
          </rPr>
          <t>Gavin Mudd:</t>
        </r>
        <r>
          <rPr>
            <sz val="9"/>
            <color indexed="81"/>
            <rFont val="Tahoma"/>
            <family val="2"/>
          </rPr>
          <t xml:space="preserve">
saleable ore</t>
        </r>
      </text>
    </comment>
    <comment ref="BZ517" authorId="0" shapeId="0" xr:uid="{777F1C57-AC6A-4ECB-99A9-39AB1D14FDDE}">
      <text>
        <r>
          <rPr>
            <b/>
            <sz val="9"/>
            <color indexed="81"/>
            <rFont val="Tahoma"/>
            <family val="2"/>
          </rPr>
          <t>Gavin Mudd:</t>
        </r>
        <r>
          <rPr>
            <sz val="9"/>
            <color indexed="81"/>
            <rFont val="Tahoma"/>
            <family val="2"/>
          </rPr>
          <t xml:space="preserve">
saleable ore</t>
        </r>
      </text>
    </comment>
    <comment ref="D518" authorId="0" shapeId="0" xr:uid="{6A93F117-23AE-46F3-B2C6-77036C18FC81}">
      <text>
        <r>
          <rPr>
            <b/>
            <sz val="9"/>
            <color indexed="81"/>
            <rFont val="Tahoma"/>
            <family val="2"/>
          </rPr>
          <t>Gavin Mudd:</t>
        </r>
        <r>
          <rPr>
            <sz val="9"/>
            <color indexed="81"/>
            <rFont val="Tahoma"/>
            <family val="2"/>
          </rPr>
          <t xml:space="preserve">
saleable magnetite concentrate</t>
        </r>
      </text>
    </comment>
    <comment ref="BG518" authorId="0" shapeId="0" xr:uid="{C68B432A-2E79-47EA-B3BD-CECC565A11B0}">
      <text>
        <r>
          <rPr>
            <b/>
            <sz val="9"/>
            <color indexed="81"/>
            <rFont val="Tahoma"/>
            <family val="2"/>
          </rPr>
          <t>Gavin Mudd:</t>
        </r>
        <r>
          <rPr>
            <sz val="9"/>
            <color indexed="81"/>
            <rFont val="Tahoma"/>
            <family val="2"/>
          </rPr>
          <t xml:space="preserve">
saleable magnetite concentrate</t>
        </r>
      </text>
    </comment>
    <comment ref="BZ518" authorId="0" shapeId="0" xr:uid="{AEF4AD83-EE5B-4052-8636-51B550EF214D}">
      <text>
        <r>
          <rPr>
            <b/>
            <sz val="9"/>
            <color indexed="81"/>
            <rFont val="Tahoma"/>
            <family val="2"/>
          </rPr>
          <t>Gavin Mudd:</t>
        </r>
        <r>
          <rPr>
            <sz val="9"/>
            <color indexed="81"/>
            <rFont val="Tahoma"/>
            <family val="2"/>
          </rPr>
          <t xml:space="preserve">
saleable magnetite concentrate</t>
        </r>
      </text>
    </comment>
    <comment ref="D519" authorId="0" shapeId="0" xr:uid="{E9881B00-05C8-4052-9436-7E073E8C4755}">
      <text>
        <r>
          <rPr>
            <b/>
            <sz val="9"/>
            <color indexed="81"/>
            <rFont val="Tahoma"/>
            <family val="2"/>
          </rPr>
          <t>Gavin Mudd:</t>
        </r>
        <r>
          <rPr>
            <sz val="9"/>
            <color indexed="81"/>
            <rFont val="Tahoma"/>
            <family val="2"/>
          </rPr>
          <t xml:space="preserve">
saleable ore</t>
        </r>
      </text>
    </comment>
    <comment ref="BG519" authorId="0" shapeId="0" xr:uid="{3F11005D-1541-4776-8C06-D3C0364B4486}">
      <text>
        <r>
          <rPr>
            <b/>
            <sz val="9"/>
            <color indexed="81"/>
            <rFont val="Tahoma"/>
            <family val="2"/>
          </rPr>
          <t>Gavin Mudd:</t>
        </r>
        <r>
          <rPr>
            <sz val="9"/>
            <color indexed="81"/>
            <rFont val="Tahoma"/>
            <family val="2"/>
          </rPr>
          <t xml:space="preserve">
saleable ore</t>
        </r>
      </text>
    </comment>
    <comment ref="BZ519" authorId="0" shapeId="0" xr:uid="{F364D5D9-8EF6-461B-8B23-1DD174B0A1B4}">
      <text>
        <r>
          <rPr>
            <b/>
            <sz val="9"/>
            <color indexed="81"/>
            <rFont val="Tahoma"/>
            <family val="2"/>
          </rPr>
          <t>Gavin Mudd:</t>
        </r>
        <r>
          <rPr>
            <sz val="9"/>
            <color indexed="81"/>
            <rFont val="Tahoma"/>
            <family val="2"/>
          </rPr>
          <t xml:space="preserve">
saleable ore</t>
        </r>
      </text>
    </comment>
    <comment ref="D520" authorId="0" shapeId="0" xr:uid="{EA96A817-4615-4AFE-A40A-3638CF91D1D9}">
      <text>
        <r>
          <rPr>
            <b/>
            <sz val="9"/>
            <color indexed="81"/>
            <rFont val="Tahoma"/>
            <family val="2"/>
          </rPr>
          <t>Gavin Mudd:</t>
        </r>
        <r>
          <rPr>
            <sz val="9"/>
            <color indexed="81"/>
            <rFont val="Tahoma"/>
            <family val="2"/>
          </rPr>
          <t xml:space="preserve">
saleable ore</t>
        </r>
      </text>
    </comment>
    <comment ref="BG520" authorId="0" shapeId="0" xr:uid="{2028627D-DB92-4AB4-BA85-BD7939066A2C}">
      <text>
        <r>
          <rPr>
            <b/>
            <sz val="9"/>
            <color indexed="81"/>
            <rFont val="Tahoma"/>
            <family val="2"/>
          </rPr>
          <t>Gavin Mudd:</t>
        </r>
        <r>
          <rPr>
            <sz val="9"/>
            <color indexed="81"/>
            <rFont val="Tahoma"/>
            <family val="2"/>
          </rPr>
          <t xml:space="preserve">
saleable ore</t>
        </r>
      </text>
    </comment>
    <comment ref="BZ520" authorId="0" shapeId="0" xr:uid="{6293FE0D-641B-4ECD-AACC-0E148E54A2D8}">
      <text>
        <r>
          <rPr>
            <b/>
            <sz val="9"/>
            <color indexed="81"/>
            <rFont val="Tahoma"/>
            <family val="2"/>
          </rPr>
          <t>Gavin Mudd:</t>
        </r>
        <r>
          <rPr>
            <sz val="9"/>
            <color indexed="81"/>
            <rFont val="Tahoma"/>
            <family val="2"/>
          </rPr>
          <t xml:space="preserve">
saleable ore</t>
        </r>
      </text>
    </comment>
    <comment ref="D521" authorId="0" shapeId="0" xr:uid="{3F023BFE-FA4F-4056-AF3A-1A810DBDACD5}">
      <text>
        <r>
          <rPr>
            <b/>
            <sz val="9"/>
            <color indexed="81"/>
            <rFont val="Tahoma"/>
            <family val="2"/>
          </rPr>
          <t>Gavin Mudd:</t>
        </r>
        <r>
          <rPr>
            <sz val="9"/>
            <color indexed="81"/>
            <rFont val="Tahoma"/>
            <family val="2"/>
          </rPr>
          <t xml:space="preserve">
saleable ore</t>
        </r>
      </text>
    </comment>
    <comment ref="BG521" authorId="0" shapeId="0" xr:uid="{E0DF937C-5276-4DEB-AC45-6EF950E907B5}">
      <text>
        <r>
          <rPr>
            <b/>
            <sz val="9"/>
            <color indexed="81"/>
            <rFont val="Tahoma"/>
            <family val="2"/>
          </rPr>
          <t>Gavin Mudd:</t>
        </r>
        <r>
          <rPr>
            <sz val="9"/>
            <color indexed="81"/>
            <rFont val="Tahoma"/>
            <family val="2"/>
          </rPr>
          <t xml:space="preserve">
saleable ore</t>
        </r>
      </text>
    </comment>
    <comment ref="BZ521" authorId="0" shapeId="0" xr:uid="{E8FE76CF-BFEE-46C3-8B36-D8229237CA97}">
      <text>
        <r>
          <rPr>
            <b/>
            <sz val="9"/>
            <color indexed="81"/>
            <rFont val="Tahoma"/>
            <family val="2"/>
          </rPr>
          <t>Gavin Mudd:</t>
        </r>
        <r>
          <rPr>
            <sz val="9"/>
            <color indexed="81"/>
            <rFont val="Tahoma"/>
            <family val="2"/>
          </rPr>
          <t xml:space="preserve">
saleable ore</t>
        </r>
      </text>
    </comment>
    <comment ref="D522" authorId="0" shapeId="0" xr:uid="{7CD7AEB2-2003-42AE-AD22-0A43FAAD9586}">
      <text>
        <r>
          <rPr>
            <b/>
            <sz val="9"/>
            <color indexed="81"/>
            <rFont val="Tahoma"/>
            <family val="2"/>
          </rPr>
          <t>Gavin Mudd:</t>
        </r>
        <r>
          <rPr>
            <sz val="9"/>
            <color indexed="81"/>
            <rFont val="Tahoma"/>
            <family val="2"/>
          </rPr>
          <t xml:space="preserve">
saleable ore</t>
        </r>
      </text>
    </comment>
    <comment ref="BG522" authorId="0" shapeId="0" xr:uid="{D6A64FE1-7BF0-42AC-8CDF-404B87A745E3}">
      <text>
        <r>
          <rPr>
            <b/>
            <sz val="9"/>
            <color indexed="81"/>
            <rFont val="Tahoma"/>
            <family val="2"/>
          </rPr>
          <t>Gavin Mudd:</t>
        </r>
        <r>
          <rPr>
            <sz val="9"/>
            <color indexed="81"/>
            <rFont val="Tahoma"/>
            <family val="2"/>
          </rPr>
          <t xml:space="preserve">
saleable ore</t>
        </r>
      </text>
    </comment>
    <comment ref="BZ522" authorId="0" shapeId="0" xr:uid="{A45B28EF-1D51-40BD-B3EF-DF218B4772E6}">
      <text>
        <r>
          <rPr>
            <b/>
            <sz val="9"/>
            <color indexed="81"/>
            <rFont val="Tahoma"/>
            <family val="2"/>
          </rPr>
          <t>Gavin Mudd:</t>
        </r>
        <r>
          <rPr>
            <sz val="9"/>
            <color indexed="81"/>
            <rFont val="Tahoma"/>
            <family val="2"/>
          </rPr>
          <t xml:space="preserve">
saleable ore</t>
        </r>
      </text>
    </comment>
    <comment ref="A523" authorId="0" shapeId="0" xr:uid="{B44E1B6F-D121-4A17-857B-9D6AC558F8AE}">
      <text>
        <r>
          <rPr>
            <b/>
            <sz val="9"/>
            <color indexed="81"/>
            <rFont val="Tahoma"/>
            <family val="2"/>
          </rPr>
          <t>Gavin Mudd:</t>
        </r>
        <r>
          <rPr>
            <sz val="9"/>
            <color indexed="81"/>
            <rFont val="Tahoma"/>
            <family val="2"/>
          </rPr>
          <t xml:space="preserve">
includes Mount Tom Price, Paraburdoo, Brockman, Marandoo, and others</t>
        </r>
      </text>
    </comment>
    <comment ref="D523" authorId="0" shapeId="0" xr:uid="{87FC06EC-484B-45DF-A718-9C34E0609F56}">
      <text>
        <r>
          <rPr>
            <b/>
            <sz val="9"/>
            <color indexed="81"/>
            <rFont val="Tahoma"/>
            <family val="2"/>
          </rPr>
          <t>Gavin Mudd:</t>
        </r>
        <r>
          <rPr>
            <sz val="9"/>
            <color indexed="81"/>
            <rFont val="Tahoma"/>
            <family val="2"/>
          </rPr>
          <t xml:space="preserve">
saleable ore</t>
        </r>
      </text>
    </comment>
    <comment ref="BG523" authorId="0" shapeId="0" xr:uid="{89FAECCC-7807-43AA-ADBA-255FF23DBF47}">
      <text>
        <r>
          <rPr>
            <b/>
            <sz val="9"/>
            <color indexed="81"/>
            <rFont val="Tahoma"/>
            <family val="2"/>
          </rPr>
          <t>Gavin Mudd:</t>
        </r>
        <r>
          <rPr>
            <sz val="9"/>
            <color indexed="81"/>
            <rFont val="Tahoma"/>
            <family val="2"/>
          </rPr>
          <t xml:space="preserve">
saleable ore</t>
        </r>
      </text>
    </comment>
    <comment ref="BZ523" authorId="0" shapeId="0" xr:uid="{507B8125-DD0F-4915-9519-1072288BDC33}">
      <text>
        <r>
          <rPr>
            <b/>
            <sz val="9"/>
            <color indexed="81"/>
            <rFont val="Tahoma"/>
            <family val="2"/>
          </rPr>
          <t>Gavin Mudd:</t>
        </r>
        <r>
          <rPr>
            <sz val="9"/>
            <color indexed="81"/>
            <rFont val="Tahoma"/>
            <family val="2"/>
          </rPr>
          <t xml:space="preserve">
saleable ore</t>
        </r>
      </text>
    </comment>
    <comment ref="D524" authorId="0" shapeId="0" xr:uid="{AC4E7952-DF87-4B22-B176-06697CE3F692}">
      <text>
        <r>
          <rPr>
            <b/>
            <sz val="9"/>
            <color indexed="81"/>
            <rFont val="Tahoma"/>
            <family val="2"/>
          </rPr>
          <t>Gavin Mudd:</t>
        </r>
        <r>
          <rPr>
            <sz val="9"/>
            <color indexed="81"/>
            <rFont val="Tahoma"/>
            <family val="2"/>
          </rPr>
          <t xml:space="preserve">
saleable ore</t>
        </r>
      </text>
    </comment>
    <comment ref="BG524" authorId="0" shapeId="0" xr:uid="{DEB3CCB7-7DB4-4F92-899C-BFD5A938F161}">
      <text>
        <r>
          <rPr>
            <b/>
            <sz val="9"/>
            <color indexed="81"/>
            <rFont val="Tahoma"/>
            <family val="2"/>
          </rPr>
          <t>Gavin Mudd:</t>
        </r>
        <r>
          <rPr>
            <sz val="9"/>
            <color indexed="81"/>
            <rFont val="Tahoma"/>
            <family val="2"/>
          </rPr>
          <t xml:space="preserve">
saleable ore</t>
        </r>
      </text>
    </comment>
    <comment ref="BZ524" authorId="0" shapeId="0" xr:uid="{280266C3-3925-4287-8A21-BE711F48B6B8}">
      <text>
        <r>
          <rPr>
            <b/>
            <sz val="9"/>
            <color indexed="81"/>
            <rFont val="Tahoma"/>
            <family val="2"/>
          </rPr>
          <t>Gavin Mudd:</t>
        </r>
        <r>
          <rPr>
            <sz val="9"/>
            <color indexed="81"/>
            <rFont val="Tahoma"/>
            <family val="2"/>
          </rPr>
          <t xml:space="preserve">
saleable ore</t>
        </r>
      </text>
    </comment>
    <comment ref="D525" authorId="0" shapeId="0" xr:uid="{AD8DE576-2347-4BEB-865C-20E9EE03CF2B}">
      <text>
        <r>
          <rPr>
            <b/>
            <sz val="9"/>
            <color indexed="81"/>
            <rFont val="Tahoma"/>
            <family val="2"/>
          </rPr>
          <t>Gavin Mudd:</t>
        </r>
        <r>
          <rPr>
            <sz val="9"/>
            <color indexed="81"/>
            <rFont val="Tahoma"/>
            <family val="2"/>
          </rPr>
          <t xml:space="preserve">
saleable ore</t>
        </r>
      </text>
    </comment>
    <comment ref="BG525" authorId="0" shapeId="0" xr:uid="{D636AB0D-66A9-4489-9C6E-18C00315F208}">
      <text>
        <r>
          <rPr>
            <b/>
            <sz val="9"/>
            <color indexed="81"/>
            <rFont val="Tahoma"/>
            <family val="2"/>
          </rPr>
          <t>Gavin Mudd:</t>
        </r>
        <r>
          <rPr>
            <sz val="9"/>
            <color indexed="81"/>
            <rFont val="Tahoma"/>
            <family val="2"/>
          </rPr>
          <t xml:space="preserve">
saleable ore</t>
        </r>
      </text>
    </comment>
    <comment ref="BZ525" authorId="0" shapeId="0" xr:uid="{4C1E8B5D-BB05-4D2E-B59E-2E586CAACC98}">
      <text>
        <r>
          <rPr>
            <b/>
            <sz val="9"/>
            <color indexed="81"/>
            <rFont val="Tahoma"/>
            <family val="2"/>
          </rPr>
          <t>Gavin Mudd:</t>
        </r>
        <r>
          <rPr>
            <sz val="9"/>
            <color indexed="81"/>
            <rFont val="Tahoma"/>
            <family val="2"/>
          </rPr>
          <t xml:space="preserve">
saleable ore</t>
        </r>
      </text>
    </comment>
    <comment ref="D526" authorId="0" shapeId="0" xr:uid="{5201C214-C3A0-4B25-B11F-3013BE700592}">
      <text>
        <r>
          <rPr>
            <b/>
            <sz val="9"/>
            <color indexed="81"/>
            <rFont val="Tahoma"/>
            <family val="2"/>
          </rPr>
          <t>Gavin Mudd:</t>
        </r>
        <r>
          <rPr>
            <sz val="9"/>
            <color indexed="81"/>
            <rFont val="Tahoma"/>
            <family val="2"/>
          </rPr>
          <t xml:space="preserve">
saleable ore</t>
        </r>
      </text>
    </comment>
    <comment ref="BG526" authorId="0" shapeId="0" xr:uid="{73193FD3-13BD-4E5D-9484-82629E99573F}">
      <text>
        <r>
          <rPr>
            <b/>
            <sz val="9"/>
            <color indexed="81"/>
            <rFont val="Tahoma"/>
            <family val="2"/>
          </rPr>
          <t>Gavin Mudd:</t>
        </r>
        <r>
          <rPr>
            <sz val="9"/>
            <color indexed="81"/>
            <rFont val="Tahoma"/>
            <family val="2"/>
          </rPr>
          <t xml:space="preserve">
saleable ore</t>
        </r>
      </text>
    </comment>
    <comment ref="BZ526" authorId="0" shapeId="0" xr:uid="{1F15F9C0-8B98-4B78-8539-0E8792D5BAD2}">
      <text>
        <r>
          <rPr>
            <b/>
            <sz val="9"/>
            <color indexed="81"/>
            <rFont val="Tahoma"/>
            <family val="2"/>
          </rPr>
          <t>Gavin Mudd:</t>
        </r>
        <r>
          <rPr>
            <sz val="9"/>
            <color indexed="81"/>
            <rFont val="Tahoma"/>
            <family val="2"/>
          </rPr>
          <t xml:space="preserve">
saleable ore</t>
        </r>
      </text>
    </comment>
    <comment ref="D527" authorId="0" shapeId="0" xr:uid="{AF5BE9F1-58BE-44CF-A726-BE0065299CB9}">
      <text>
        <r>
          <rPr>
            <b/>
            <sz val="9"/>
            <color indexed="81"/>
            <rFont val="Tahoma"/>
            <family val="2"/>
          </rPr>
          <t>Gavin Mudd:</t>
        </r>
        <r>
          <rPr>
            <sz val="9"/>
            <color indexed="81"/>
            <rFont val="Tahoma"/>
            <family val="2"/>
          </rPr>
          <t xml:space="preserve">
saleable ore</t>
        </r>
      </text>
    </comment>
    <comment ref="BG527" authorId="0" shapeId="0" xr:uid="{8197564A-C208-4A73-A7F6-5F2921CC4919}">
      <text>
        <r>
          <rPr>
            <b/>
            <sz val="9"/>
            <color indexed="81"/>
            <rFont val="Tahoma"/>
            <family val="2"/>
          </rPr>
          <t>Gavin Mudd:</t>
        </r>
        <r>
          <rPr>
            <sz val="9"/>
            <color indexed="81"/>
            <rFont val="Tahoma"/>
            <family val="2"/>
          </rPr>
          <t xml:space="preserve">
saleable ore</t>
        </r>
      </text>
    </comment>
    <comment ref="BZ527" authorId="0" shapeId="0" xr:uid="{11D3A647-8502-486F-BFE3-39C055989010}">
      <text>
        <r>
          <rPr>
            <b/>
            <sz val="9"/>
            <color indexed="81"/>
            <rFont val="Tahoma"/>
            <family val="2"/>
          </rPr>
          <t>Gavin Mudd:</t>
        </r>
        <r>
          <rPr>
            <sz val="9"/>
            <color indexed="81"/>
            <rFont val="Tahoma"/>
            <family val="2"/>
          </rPr>
          <t xml:space="preserve">
saleable ore</t>
        </r>
      </text>
    </comment>
    <comment ref="D528" authorId="0" shapeId="0" xr:uid="{E1D1C363-1278-48E3-9C87-7F85683D49AB}">
      <text>
        <r>
          <rPr>
            <b/>
            <sz val="9"/>
            <color indexed="81"/>
            <rFont val="Tahoma"/>
            <family val="2"/>
          </rPr>
          <t>Gavin Mudd:</t>
        </r>
        <r>
          <rPr>
            <sz val="9"/>
            <color indexed="81"/>
            <rFont val="Tahoma"/>
            <family val="2"/>
          </rPr>
          <t xml:space="preserve">
saleable ore</t>
        </r>
      </text>
    </comment>
    <comment ref="BG528" authorId="0" shapeId="0" xr:uid="{19DE1F23-1D2E-4938-91C4-FB19136F855C}">
      <text>
        <r>
          <rPr>
            <b/>
            <sz val="9"/>
            <color indexed="81"/>
            <rFont val="Tahoma"/>
            <family val="2"/>
          </rPr>
          <t>Gavin Mudd:</t>
        </r>
        <r>
          <rPr>
            <sz val="9"/>
            <color indexed="81"/>
            <rFont val="Tahoma"/>
            <family val="2"/>
          </rPr>
          <t xml:space="preserve">
saleable ore</t>
        </r>
      </text>
    </comment>
    <comment ref="BZ528" authorId="0" shapeId="0" xr:uid="{D0999929-2A6C-4393-9366-33152FA78A43}">
      <text>
        <r>
          <rPr>
            <b/>
            <sz val="9"/>
            <color indexed="81"/>
            <rFont val="Tahoma"/>
            <family val="2"/>
          </rPr>
          <t>Gavin Mudd:</t>
        </r>
        <r>
          <rPr>
            <sz val="9"/>
            <color indexed="81"/>
            <rFont val="Tahoma"/>
            <family val="2"/>
          </rPr>
          <t xml:space="preserve">
saleable ore</t>
        </r>
      </text>
    </comment>
    <comment ref="C529" authorId="0" shapeId="0" xr:uid="{1754C830-47B9-40D8-8A4E-B36B6D45D7C1}">
      <text>
        <r>
          <rPr>
            <b/>
            <sz val="9"/>
            <color indexed="81"/>
            <rFont val="Tahoma"/>
            <family val="2"/>
          </rPr>
          <t>Gavin Mudd:</t>
        </r>
        <r>
          <rPr>
            <sz val="9"/>
            <color indexed="81"/>
            <rFont val="Tahoma"/>
            <family val="2"/>
          </rPr>
          <t xml:space="preserve">
from late 2018, project merged with Koolyanobbing</t>
        </r>
      </text>
    </comment>
    <comment ref="D529" authorId="0" shapeId="0" xr:uid="{7CC92C6C-E91F-4522-9938-3E5B4F1B1B89}">
      <text>
        <r>
          <rPr>
            <b/>
            <sz val="9"/>
            <color indexed="81"/>
            <rFont val="Tahoma"/>
            <family val="2"/>
          </rPr>
          <t>Gavin Mudd:</t>
        </r>
        <r>
          <rPr>
            <sz val="9"/>
            <color indexed="81"/>
            <rFont val="Tahoma"/>
            <family val="2"/>
          </rPr>
          <t xml:space="preserve">
saleable ore</t>
        </r>
      </text>
    </comment>
    <comment ref="BG529" authorId="0" shapeId="0" xr:uid="{C1BE525F-F42D-49EC-B256-F2676B040A67}">
      <text>
        <r>
          <rPr>
            <b/>
            <sz val="9"/>
            <color indexed="81"/>
            <rFont val="Tahoma"/>
            <family val="2"/>
          </rPr>
          <t>Gavin Mudd:</t>
        </r>
        <r>
          <rPr>
            <sz val="9"/>
            <color indexed="81"/>
            <rFont val="Tahoma"/>
            <family val="2"/>
          </rPr>
          <t xml:space="preserve">
saleable ore</t>
        </r>
      </text>
    </comment>
    <comment ref="BZ529" authorId="0" shapeId="0" xr:uid="{A95989F1-74B3-4AEE-827C-6321CFD39F32}">
      <text>
        <r>
          <rPr>
            <b/>
            <sz val="9"/>
            <color indexed="81"/>
            <rFont val="Tahoma"/>
            <family val="2"/>
          </rPr>
          <t>Gavin Mudd:</t>
        </r>
        <r>
          <rPr>
            <sz val="9"/>
            <color indexed="81"/>
            <rFont val="Tahoma"/>
            <family val="2"/>
          </rPr>
          <t xml:space="preserve">
saleable ore</t>
        </r>
      </text>
    </comment>
    <comment ref="D530" authorId="0" shapeId="0" xr:uid="{EF80AF34-E2CB-440E-9603-E9B4993C7B87}">
      <text>
        <r>
          <rPr>
            <b/>
            <sz val="9"/>
            <color indexed="81"/>
            <rFont val="Tahoma"/>
            <family val="2"/>
          </rPr>
          <t>Gavin Mudd:</t>
        </r>
        <r>
          <rPr>
            <sz val="9"/>
            <color indexed="81"/>
            <rFont val="Tahoma"/>
            <family val="2"/>
          </rPr>
          <t xml:space="preserve">
saleable ore</t>
        </r>
      </text>
    </comment>
    <comment ref="BG530" authorId="0" shapeId="0" xr:uid="{8B817B43-CAA9-4AB2-8013-897812CD4DB1}">
      <text>
        <r>
          <rPr>
            <b/>
            <sz val="9"/>
            <color indexed="81"/>
            <rFont val="Tahoma"/>
            <family val="2"/>
          </rPr>
          <t>Gavin Mudd:</t>
        </r>
        <r>
          <rPr>
            <sz val="9"/>
            <color indexed="81"/>
            <rFont val="Tahoma"/>
            <family val="2"/>
          </rPr>
          <t xml:space="preserve">
saleable ore</t>
        </r>
      </text>
    </comment>
    <comment ref="BZ530" authorId="0" shapeId="0" xr:uid="{E76EF9AA-38FF-4E24-839B-04D645AC8751}">
      <text>
        <r>
          <rPr>
            <b/>
            <sz val="9"/>
            <color indexed="81"/>
            <rFont val="Tahoma"/>
            <family val="2"/>
          </rPr>
          <t>Gavin Mudd:</t>
        </r>
        <r>
          <rPr>
            <sz val="9"/>
            <color indexed="81"/>
            <rFont val="Tahoma"/>
            <family val="2"/>
          </rPr>
          <t xml:space="preserve">
saleable ore</t>
        </r>
      </text>
    </comment>
    <comment ref="A531" authorId="0" shapeId="0" xr:uid="{24FA271E-0CBA-4855-97FE-54E3FDBF574A}">
      <text>
        <r>
          <rPr>
            <b/>
            <sz val="9"/>
            <color indexed="81"/>
            <rFont val="Tahoma"/>
            <family val="2"/>
          </rPr>
          <t>Gavin Mudd:</t>
        </r>
        <r>
          <rPr>
            <sz val="9"/>
            <color indexed="81"/>
            <rFont val="Tahoma"/>
            <family val="2"/>
          </rPr>
          <t xml:space="preserve">
includes Mount Whaleback, Orebodies 18, 23, 25 and 29, and others</t>
        </r>
      </text>
    </comment>
    <comment ref="D531" authorId="0" shapeId="0" xr:uid="{9AB53360-58F1-4CFD-B659-7430563C073E}">
      <text>
        <r>
          <rPr>
            <b/>
            <sz val="9"/>
            <color indexed="81"/>
            <rFont val="Tahoma"/>
            <family val="2"/>
          </rPr>
          <t>Gavin Mudd:</t>
        </r>
        <r>
          <rPr>
            <sz val="9"/>
            <color indexed="81"/>
            <rFont val="Tahoma"/>
            <family val="2"/>
          </rPr>
          <t xml:space="preserve">
saleable ore</t>
        </r>
      </text>
    </comment>
    <comment ref="BG531" authorId="0" shapeId="0" xr:uid="{A9267430-7873-4992-A5FE-DE9DD4987FF7}">
      <text>
        <r>
          <rPr>
            <b/>
            <sz val="9"/>
            <color indexed="81"/>
            <rFont val="Tahoma"/>
            <family val="2"/>
          </rPr>
          <t>Gavin Mudd:</t>
        </r>
        <r>
          <rPr>
            <sz val="9"/>
            <color indexed="81"/>
            <rFont val="Tahoma"/>
            <family val="2"/>
          </rPr>
          <t xml:space="preserve">
saleable ore</t>
        </r>
      </text>
    </comment>
    <comment ref="BZ531" authorId="0" shapeId="0" xr:uid="{4DCAAB4F-5948-4249-9ED6-6525F12AF2E0}">
      <text>
        <r>
          <rPr>
            <b/>
            <sz val="9"/>
            <color indexed="81"/>
            <rFont val="Tahoma"/>
            <family val="2"/>
          </rPr>
          <t>Gavin Mudd:</t>
        </r>
        <r>
          <rPr>
            <sz val="9"/>
            <color indexed="81"/>
            <rFont val="Tahoma"/>
            <family val="2"/>
          </rPr>
          <t xml:space="preserve">
saleable ore</t>
        </r>
      </text>
    </comment>
    <comment ref="C532" authorId="0" shapeId="0" xr:uid="{6EAE2991-0AB1-424C-AA21-B28DC9AE2210}">
      <text>
        <r>
          <rPr>
            <b/>
            <sz val="9"/>
            <color indexed="81"/>
            <rFont val="Tahoma"/>
            <family val="2"/>
          </rPr>
          <t>Gavin Mudd:</t>
        </r>
        <r>
          <rPr>
            <sz val="9"/>
            <color indexed="81"/>
            <rFont val="Tahoma"/>
            <family val="2"/>
          </rPr>
          <t xml:space="preserve">
production at times is included with Mount Newman group of mines</t>
        </r>
      </text>
    </comment>
    <comment ref="D532" authorId="0" shapeId="0" xr:uid="{2DBD07F3-B402-4DDE-A292-BD93C9BC12E9}">
      <text>
        <r>
          <rPr>
            <b/>
            <sz val="9"/>
            <color indexed="81"/>
            <rFont val="Tahoma"/>
            <family val="2"/>
          </rPr>
          <t>Gavin Mudd:</t>
        </r>
        <r>
          <rPr>
            <sz val="9"/>
            <color indexed="81"/>
            <rFont val="Tahoma"/>
            <family val="2"/>
          </rPr>
          <t xml:space="preserve">
saleable ore</t>
        </r>
      </text>
    </comment>
    <comment ref="BG532" authorId="0" shapeId="0" xr:uid="{CDE6222D-E0F3-49CC-A481-B780E3822329}">
      <text>
        <r>
          <rPr>
            <b/>
            <sz val="9"/>
            <color indexed="81"/>
            <rFont val="Tahoma"/>
            <family val="2"/>
          </rPr>
          <t>Gavin Mudd:</t>
        </r>
        <r>
          <rPr>
            <sz val="9"/>
            <color indexed="81"/>
            <rFont val="Tahoma"/>
            <family val="2"/>
          </rPr>
          <t xml:space="preserve">
saleable ore</t>
        </r>
      </text>
    </comment>
    <comment ref="BZ532" authorId="0" shapeId="0" xr:uid="{114D4FF8-9BF9-4F27-8E8F-0CF370266D2D}">
      <text>
        <r>
          <rPr>
            <b/>
            <sz val="9"/>
            <color indexed="81"/>
            <rFont val="Tahoma"/>
            <family val="2"/>
          </rPr>
          <t>Gavin Mudd:</t>
        </r>
        <r>
          <rPr>
            <sz val="9"/>
            <color indexed="81"/>
            <rFont val="Tahoma"/>
            <family val="2"/>
          </rPr>
          <t xml:space="preserve">
saleable ore</t>
        </r>
      </text>
    </comment>
    <comment ref="D533" authorId="0" shapeId="0" xr:uid="{39BFB0A6-7A7D-4363-B3B4-97EB66C587D4}">
      <text>
        <r>
          <rPr>
            <b/>
            <sz val="9"/>
            <color indexed="81"/>
            <rFont val="Tahoma"/>
            <family val="2"/>
          </rPr>
          <t>Gavin Mudd:</t>
        </r>
        <r>
          <rPr>
            <sz val="9"/>
            <color indexed="81"/>
            <rFont val="Tahoma"/>
            <family val="2"/>
          </rPr>
          <t xml:space="preserve">
saleable ore</t>
        </r>
      </text>
    </comment>
    <comment ref="BG533" authorId="0" shapeId="0" xr:uid="{5FCC68FC-ABC1-4AC7-99CA-20A285FC3FAE}">
      <text>
        <r>
          <rPr>
            <b/>
            <sz val="9"/>
            <color indexed="81"/>
            <rFont val="Tahoma"/>
            <family val="2"/>
          </rPr>
          <t>Gavin Mudd:</t>
        </r>
        <r>
          <rPr>
            <sz val="9"/>
            <color indexed="81"/>
            <rFont val="Tahoma"/>
            <family val="2"/>
          </rPr>
          <t xml:space="preserve">
saleable ore</t>
        </r>
      </text>
    </comment>
    <comment ref="BZ533" authorId="0" shapeId="0" xr:uid="{CD7A063D-7F6D-4434-81C8-017F9D78245F}">
      <text>
        <r>
          <rPr>
            <b/>
            <sz val="9"/>
            <color indexed="81"/>
            <rFont val="Tahoma"/>
            <family val="2"/>
          </rPr>
          <t>Gavin Mudd:</t>
        </r>
        <r>
          <rPr>
            <sz val="9"/>
            <color indexed="81"/>
            <rFont val="Tahoma"/>
            <family val="2"/>
          </rPr>
          <t xml:space="preserve">
saleable ore</t>
        </r>
      </text>
    </comment>
    <comment ref="A534" authorId="0" shapeId="0" xr:uid="{3A5556B3-C8B6-424D-B68D-0EBF4D950355}">
      <text>
        <r>
          <rPr>
            <b/>
            <sz val="9"/>
            <color indexed="81"/>
            <rFont val="Tahoma"/>
            <family val="2"/>
          </rPr>
          <t>Gavin Mudd:</t>
        </r>
        <r>
          <rPr>
            <sz val="9"/>
            <color indexed="81"/>
            <rFont val="Tahoma"/>
            <family val="2"/>
          </rPr>
          <t xml:space="preserve">
includes Goldsworthy, Nimingarra, Yarrie and others</t>
        </r>
      </text>
    </comment>
    <comment ref="D534" authorId="0" shapeId="0" xr:uid="{B3E46399-EDF4-44E7-BD3D-3F1C002CA670}">
      <text>
        <r>
          <rPr>
            <b/>
            <sz val="9"/>
            <color indexed="81"/>
            <rFont val="Tahoma"/>
            <family val="2"/>
          </rPr>
          <t>Gavin Mudd:</t>
        </r>
        <r>
          <rPr>
            <sz val="9"/>
            <color indexed="81"/>
            <rFont val="Tahoma"/>
            <family val="2"/>
          </rPr>
          <t xml:space="preserve">
saleable ore</t>
        </r>
      </text>
    </comment>
    <comment ref="BG534" authorId="0" shapeId="0" xr:uid="{1005E53E-8A16-4EC9-BBD2-9F0C24A74E8E}">
      <text>
        <r>
          <rPr>
            <b/>
            <sz val="9"/>
            <color indexed="81"/>
            <rFont val="Tahoma"/>
            <family val="2"/>
          </rPr>
          <t>Gavin Mudd:</t>
        </r>
        <r>
          <rPr>
            <sz val="9"/>
            <color indexed="81"/>
            <rFont val="Tahoma"/>
            <family val="2"/>
          </rPr>
          <t xml:space="preserve">
saleable ore</t>
        </r>
      </text>
    </comment>
    <comment ref="BZ534" authorId="0" shapeId="0" xr:uid="{4502CC2A-E65C-4525-8BC3-7C28D8EA2D0C}">
      <text>
        <r>
          <rPr>
            <b/>
            <sz val="9"/>
            <color indexed="81"/>
            <rFont val="Tahoma"/>
            <family val="2"/>
          </rPr>
          <t>Gavin Mudd:</t>
        </r>
        <r>
          <rPr>
            <sz val="9"/>
            <color indexed="81"/>
            <rFont val="Tahoma"/>
            <family val="2"/>
          </rPr>
          <t xml:space="preserve">
saleable ore</t>
        </r>
      </text>
    </comment>
    <comment ref="D535" authorId="0" shapeId="0" xr:uid="{9904151E-B427-434A-9D85-5FD8C05C29C5}">
      <text>
        <r>
          <rPr>
            <b/>
            <sz val="9"/>
            <color indexed="81"/>
            <rFont val="Tahoma"/>
            <family val="2"/>
          </rPr>
          <t>Gavin Mudd:</t>
        </r>
        <r>
          <rPr>
            <sz val="9"/>
            <color indexed="81"/>
            <rFont val="Tahoma"/>
            <family val="2"/>
          </rPr>
          <t xml:space="preserve">
saleable ore</t>
        </r>
      </text>
    </comment>
    <comment ref="BG535" authorId="0" shapeId="0" xr:uid="{0996C6A0-BAAE-42ED-82F3-471AFF9B329B}">
      <text>
        <r>
          <rPr>
            <b/>
            <sz val="9"/>
            <color indexed="81"/>
            <rFont val="Tahoma"/>
            <family val="2"/>
          </rPr>
          <t>Gavin Mudd:</t>
        </r>
        <r>
          <rPr>
            <sz val="9"/>
            <color indexed="81"/>
            <rFont val="Tahoma"/>
            <family val="2"/>
          </rPr>
          <t xml:space="preserve">
saleable ore</t>
        </r>
      </text>
    </comment>
    <comment ref="BZ535" authorId="0" shapeId="0" xr:uid="{7F0975D8-2EA1-4531-B24B-7DB0184DCE64}">
      <text>
        <r>
          <rPr>
            <b/>
            <sz val="9"/>
            <color indexed="81"/>
            <rFont val="Tahoma"/>
            <family val="2"/>
          </rPr>
          <t>Gavin Mudd:</t>
        </r>
        <r>
          <rPr>
            <sz val="9"/>
            <color indexed="81"/>
            <rFont val="Tahoma"/>
            <family val="2"/>
          </rPr>
          <t xml:space="preserve">
saleable ore</t>
        </r>
      </text>
    </comment>
    <comment ref="A536" authorId="0" shapeId="0" xr:uid="{481A6E7B-249C-4182-B128-E1EB46F13CD4}">
      <text>
        <r>
          <rPr>
            <b/>
            <sz val="9"/>
            <color indexed="81"/>
            <rFont val="Tahoma"/>
            <family val="2"/>
          </rPr>
          <t>Gavin Mudd:</t>
        </r>
        <r>
          <rPr>
            <sz val="9"/>
            <color indexed="81"/>
            <rFont val="Tahoma"/>
            <family val="2"/>
          </rPr>
          <t xml:space="preserve">
includes the hubs:
1) Chichester Hub - Cloudbreak &amp; Christmas Creek mines
2) Solomon Hub - Firetail, Kings Valley &amp; Queens Valley mines
3) Western Hub - Eliwana mine</t>
        </r>
      </text>
    </comment>
    <comment ref="D536" authorId="0" shapeId="0" xr:uid="{B983756F-A794-4393-975D-E32040061F0B}">
      <text>
        <r>
          <rPr>
            <b/>
            <sz val="9"/>
            <color indexed="81"/>
            <rFont val="Tahoma"/>
            <family val="2"/>
          </rPr>
          <t>Gavin Mudd:</t>
        </r>
        <r>
          <rPr>
            <sz val="9"/>
            <color indexed="81"/>
            <rFont val="Tahoma"/>
            <family val="2"/>
          </rPr>
          <t xml:space="preserve">
saleable ore</t>
        </r>
      </text>
    </comment>
    <comment ref="BG536" authorId="0" shapeId="0" xr:uid="{4F3BDA1D-309B-433E-9EE8-348C9A711438}">
      <text>
        <r>
          <rPr>
            <b/>
            <sz val="9"/>
            <color indexed="81"/>
            <rFont val="Tahoma"/>
            <family val="2"/>
          </rPr>
          <t>Gavin Mudd:</t>
        </r>
        <r>
          <rPr>
            <sz val="9"/>
            <color indexed="81"/>
            <rFont val="Tahoma"/>
            <family val="2"/>
          </rPr>
          <t xml:space="preserve">
saleable ore</t>
        </r>
      </text>
    </comment>
    <comment ref="BZ536" authorId="0" shapeId="0" xr:uid="{24793D16-5941-40DD-9F3D-B3FECB532124}">
      <text>
        <r>
          <rPr>
            <b/>
            <sz val="9"/>
            <color indexed="81"/>
            <rFont val="Tahoma"/>
            <family val="2"/>
          </rPr>
          <t>Gavin Mudd:</t>
        </r>
        <r>
          <rPr>
            <sz val="9"/>
            <color indexed="81"/>
            <rFont val="Tahoma"/>
            <family val="2"/>
          </rPr>
          <t xml:space="preserve">
saleable ore</t>
        </r>
      </text>
    </comment>
    <comment ref="CQ536" authorId="0" shapeId="0" xr:uid="{AE073E57-D8DB-43B1-8B71-2EFD423A4072}">
      <text>
        <r>
          <rPr>
            <b/>
            <sz val="9"/>
            <color indexed="81"/>
            <rFont val="Tahoma"/>
            <family val="2"/>
          </rPr>
          <t>Gavin Mudd:</t>
        </r>
        <r>
          <rPr>
            <sz val="9"/>
            <color indexed="81"/>
            <rFont val="Tahoma"/>
            <family val="2"/>
          </rPr>
          <t xml:space="preserve">
assumes 9% moisture</t>
        </r>
      </text>
    </comment>
    <comment ref="D537" authorId="0" shapeId="0" xr:uid="{A1EAE59B-C879-47A8-8916-D6F74BB17425}">
      <text>
        <r>
          <rPr>
            <b/>
            <sz val="9"/>
            <color indexed="81"/>
            <rFont val="Tahoma"/>
            <family val="2"/>
          </rPr>
          <t>Gavin Mudd:</t>
        </r>
        <r>
          <rPr>
            <sz val="9"/>
            <color indexed="81"/>
            <rFont val="Tahoma"/>
            <family val="2"/>
          </rPr>
          <t xml:space="preserve">
saleable ore</t>
        </r>
      </text>
    </comment>
    <comment ref="BG537" authorId="0" shapeId="0" xr:uid="{05678F66-AA1D-4608-9888-374EDE753804}">
      <text>
        <r>
          <rPr>
            <b/>
            <sz val="9"/>
            <color indexed="81"/>
            <rFont val="Tahoma"/>
            <family val="2"/>
          </rPr>
          <t>Gavin Mudd:</t>
        </r>
        <r>
          <rPr>
            <sz val="9"/>
            <color indexed="81"/>
            <rFont val="Tahoma"/>
            <family val="2"/>
          </rPr>
          <t xml:space="preserve">
saleable ore</t>
        </r>
      </text>
    </comment>
    <comment ref="BZ537" authorId="0" shapeId="0" xr:uid="{CB864ADD-7B71-4EF1-AFF0-C6F9C3D2ECA0}">
      <text>
        <r>
          <rPr>
            <b/>
            <sz val="9"/>
            <color indexed="81"/>
            <rFont val="Tahoma"/>
            <family val="2"/>
          </rPr>
          <t>Gavin Mudd:</t>
        </r>
        <r>
          <rPr>
            <sz val="9"/>
            <color indexed="81"/>
            <rFont val="Tahoma"/>
            <family val="2"/>
          </rPr>
          <t xml:space="preserve">
saleable ore</t>
        </r>
      </text>
    </comment>
    <comment ref="D538" authorId="0" shapeId="0" xr:uid="{EB322FFA-8FE2-4ABA-80B3-268CC0F55E72}">
      <text>
        <r>
          <rPr>
            <b/>
            <sz val="9"/>
            <color indexed="81"/>
            <rFont val="Tahoma"/>
            <family val="2"/>
          </rPr>
          <t>Gavin Mudd:</t>
        </r>
        <r>
          <rPr>
            <sz val="9"/>
            <color indexed="81"/>
            <rFont val="Tahoma"/>
            <family val="2"/>
          </rPr>
          <t xml:space="preserve">
saleable ore</t>
        </r>
      </text>
    </comment>
    <comment ref="BG538" authorId="0" shapeId="0" xr:uid="{98DF1E28-4B47-4D3A-A462-B3CEBC6A1E6B}">
      <text>
        <r>
          <rPr>
            <b/>
            <sz val="9"/>
            <color indexed="81"/>
            <rFont val="Tahoma"/>
            <family val="2"/>
          </rPr>
          <t>Gavin Mudd:</t>
        </r>
        <r>
          <rPr>
            <sz val="9"/>
            <color indexed="81"/>
            <rFont val="Tahoma"/>
            <family val="2"/>
          </rPr>
          <t xml:space="preserve">
saleable ore</t>
        </r>
      </text>
    </comment>
    <comment ref="BZ538" authorId="0" shapeId="0" xr:uid="{24A58DF1-1C29-4644-B40E-CA3A1C2848F7}">
      <text>
        <r>
          <rPr>
            <b/>
            <sz val="9"/>
            <color indexed="81"/>
            <rFont val="Tahoma"/>
            <family val="2"/>
          </rPr>
          <t>Gavin Mudd:</t>
        </r>
        <r>
          <rPr>
            <sz val="9"/>
            <color indexed="81"/>
            <rFont val="Tahoma"/>
            <family val="2"/>
          </rPr>
          <t xml:space="preserve">
saleable ore</t>
        </r>
      </text>
    </comment>
    <comment ref="D539" authorId="0" shapeId="0" xr:uid="{0A06A3CB-5F28-472B-B11C-319C52CE1A5C}">
      <text>
        <r>
          <rPr>
            <b/>
            <sz val="9"/>
            <color indexed="81"/>
            <rFont val="Tahoma"/>
            <family val="2"/>
          </rPr>
          <t>Gavin Mudd:</t>
        </r>
        <r>
          <rPr>
            <sz val="9"/>
            <color indexed="81"/>
            <rFont val="Tahoma"/>
            <family val="2"/>
          </rPr>
          <t xml:space="preserve">
saleable ore</t>
        </r>
      </text>
    </comment>
    <comment ref="BG539" authorId="0" shapeId="0" xr:uid="{949C62C3-E0AE-4426-ABF5-9A0D20D8AC42}">
      <text>
        <r>
          <rPr>
            <b/>
            <sz val="9"/>
            <color indexed="81"/>
            <rFont val="Tahoma"/>
            <family val="2"/>
          </rPr>
          <t>Gavin Mudd:</t>
        </r>
        <r>
          <rPr>
            <sz val="9"/>
            <color indexed="81"/>
            <rFont val="Tahoma"/>
            <family val="2"/>
          </rPr>
          <t xml:space="preserve">
saleable ore</t>
        </r>
      </text>
    </comment>
    <comment ref="BZ539" authorId="0" shapeId="0" xr:uid="{091DB630-E1DE-4427-B468-D7E35617AA4F}">
      <text>
        <r>
          <rPr>
            <b/>
            <sz val="9"/>
            <color indexed="81"/>
            <rFont val="Tahoma"/>
            <family val="2"/>
          </rPr>
          <t>Gavin Mudd:</t>
        </r>
        <r>
          <rPr>
            <sz val="9"/>
            <color indexed="81"/>
            <rFont val="Tahoma"/>
            <family val="2"/>
          </rPr>
          <t xml:space="preserve">
saleable ore</t>
        </r>
      </text>
    </comment>
    <comment ref="D540" authorId="0" shapeId="0" xr:uid="{9A112D57-3B84-4283-B9F3-C1A6637E92C1}">
      <text>
        <r>
          <rPr>
            <b/>
            <sz val="9"/>
            <color indexed="81"/>
            <rFont val="Tahoma"/>
            <family val="2"/>
          </rPr>
          <t>Gavin Mudd:</t>
        </r>
        <r>
          <rPr>
            <sz val="9"/>
            <color indexed="81"/>
            <rFont val="Tahoma"/>
            <family val="2"/>
          </rPr>
          <t xml:space="preserve">
saleable ore</t>
        </r>
      </text>
    </comment>
    <comment ref="BG540" authorId="0" shapeId="0" xr:uid="{BBD2BCEB-50BD-4D3B-9742-805C00F5EB54}">
      <text>
        <r>
          <rPr>
            <b/>
            <sz val="9"/>
            <color indexed="81"/>
            <rFont val="Tahoma"/>
            <family val="2"/>
          </rPr>
          <t>Gavin Mudd:</t>
        </r>
        <r>
          <rPr>
            <sz val="9"/>
            <color indexed="81"/>
            <rFont val="Tahoma"/>
            <family val="2"/>
          </rPr>
          <t xml:space="preserve">
saleable ore</t>
        </r>
      </text>
    </comment>
    <comment ref="BZ540" authorId="0" shapeId="0" xr:uid="{56BD1AC2-8F54-4F0C-8F88-7C143F49E567}">
      <text>
        <r>
          <rPr>
            <b/>
            <sz val="9"/>
            <color indexed="81"/>
            <rFont val="Tahoma"/>
            <family val="2"/>
          </rPr>
          <t>Gavin Mudd:</t>
        </r>
        <r>
          <rPr>
            <sz val="9"/>
            <color indexed="81"/>
            <rFont val="Tahoma"/>
            <family val="2"/>
          </rPr>
          <t xml:space="preserve">
saleable ore</t>
        </r>
      </text>
    </comment>
    <comment ref="D541" authorId="0" shapeId="0" xr:uid="{46710D72-0684-42D5-830B-B34C27073E47}">
      <text>
        <r>
          <rPr>
            <b/>
            <sz val="9"/>
            <color indexed="81"/>
            <rFont val="Tahoma"/>
            <family val="2"/>
          </rPr>
          <t>Gavin Mudd:</t>
        </r>
        <r>
          <rPr>
            <sz val="9"/>
            <color indexed="81"/>
            <rFont val="Tahoma"/>
            <family val="2"/>
          </rPr>
          <t xml:space="preserve">
saleable ore</t>
        </r>
      </text>
    </comment>
    <comment ref="BG541" authorId="0" shapeId="0" xr:uid="{327CB509-208A-4265-AF1C-417B74A802A8}">
      <text>
        <r>
          <rPr>
            <b/>
            <sz val="9"/>
            <color indexed="81"/>
            <rFont val="Tahoma"/>
            <family val="2"/>
          </rPr>
          <t>Gavin Mudd:</t>
        </r>
        <r>
          <rPr>
            <sz val="9"/>
            <color indexed="81"/>
            <rFont val="Tahoma"/>
            <family val="2"/>
          </rPr>
          <t xml:space="preserve">
saleable ore</t>
        </r>
      </text>
    </comment>
    <comment ref="BZ541" authorId="0" shapeId="0" xr:uid="{7B71CB7F-7D87-4BB9-A5BC-8F55866B2323}">
      <text>
        <r>
          <rPr>
            <b/>
            <sz val="9"/>
            <color indexed="81"/>
            <rFont val="Tahoma"/>
            <family val="2"/>
          </rPr>
          <t>Gavin Mudd:</t>
        </r>
        <r>
          <rPr>
            <sz val="9"/>
            <color indexed="81"/>
            <rFont val="Tahoma"/>
            <family val="2"/>
          </rPr>
          <t xml:space="preserve">
saleable ore</t>
        </r>
      </text>
    </comment>
    <comment ref="D542" authorId="0" shapeId="0" xr:uid="{63559881-06FC-4B03-8E61-FC40439CE582}">
      <text>
        <r>
          <rPr>
            <b/>
            <sz val="9"/>
            <color indexed="81"/>
            <rFont val="Tahoma"/>
            <family val="2"/>
          </rPr>
          <t>Gavin Mudd:</t>
        </r>
        <r>
          <rPr>
            <sz val="9"/>
            <color indexed="81"/>
            <rFont val="Tahoma"/>
            <family val="2"/>
          </rPr>
          <t xml:space="preserve">
saleable ore</t>
        </r>
      </text>
    </comment>
    <comment ref="BG542" authorId="0" shapeId="0" xr:uid="{F589E6C4-637D-4DF9-94BB-76B1A489E8BA}">
      <text>
        <r>
          <rPr>
            <b/>
            <sz val="9"/>
            <color indexed="81"/>
            <rFont val="Tahoma"/>
            <family val="2"/>
          </rPr>
          <t>Gavin Mudd:</t>
        </r>
        <r>
          <rPr>
            <sz val="9"/>
            <color indexed="81"/>
            <rFont val="Tahoma"/>
            <family val="2"/>
          </rPr>
          <t xml:space="preserve">
saleable ore</t>
        </r>
      </text>
    </comment>
    <comment ref="BZ542" authorId="0" shapeId="0" xr:uid="{EBE9B434-9F44-4F57-A43D-57B466F81447}">
      <text>
        <r>
          <rPr>
            <b/>
            <sz val="9"/>
            <color indexed="81"/>
            <rFont val="Tahoma"/>
            <family val="2"/>
          </rPr>
          <t>Gavin Mudd:</t>
        </r>
        <r>
          <rPr>
            <sz val="9"/>
            <color indexed="81"/>
            <rFont val="Tahoma"/>
            <family val="2"/>
          </rPr>
          <t xml:space="preserve">
saleable ore</t>
        </r>
      </text>
    </comment>
    <comment ref="D543" authorId="0" shapeId="0" xr:uid="{BDC57F81-6154-42EE-9CA1-A874FDAA3DAB}">
      <text>
        <r>
          <rPr>
            <b/>
            <sz val="9"/>
            <color indexed="81"/>
            <rFont val="Tahoma"/>
            <family val="2"/>
          </rPr>
          <t>Gavin Mudd:</t>
        </r>
        <r>
          <rPr>
            <sz val="9"/>
            <color indexed="81"/>
            <rFont val="Tahoma"/>
            <family val="2"/>
          </rPr>
          <t xml:space="preserve">
saleable ore</t>
        </r>
      </text>
    </comment>
    <comment ref="BG543" authorId="0" shapeId="0" xr:uid="{BFF0A88F-52BD-420B-B8A8-AB7AAA365E94}">
      <text>
        <r>
          <rPr>
            <b/>
            <sz val="9"/>
            <color indexed="81"/>
            <rFont val="Tahoma"/>
            <family val="2"/>
          </rPr>
          <t>Gavin Mudd:</t>
        </r>
        <r>
          <rPr>
            <sz val="9"/>
            <color indexed="81"/>
            <rFont val="Tahoma"/>
            <family val="2"/>
          </rPr>
          <t xml:space="preserve">
saleable ore</t>
        </r>
      </text>
    </comment>
    <comment ref="BZ543" authorId="0" shapeId="0" xr:uid="{0B0E5479-7BA3-4ED7-A388-72733ED1F8B3}">
      <text>
        <r>
          <rPr>
            <b/>
            <sz val="9"/>
            <color indexed="81"/>
            <rFont val="Tahoma"/>
            <family val="2"/>
          </rPr>
          <t>Gavin Mudd:</t>
        </r>
        <r>
          <rPr>
            <sz val="9"/>
            <color indexed="81"/>
            <rFont val="Tahoma"/>
            <family val="2"/>
          </rPr>
          <t xml:space="preserve">
saleable ore</t>
        </r>
      </text>
    </comment>
    <comment ref="D544" authorId="0" shapeId="0" xr:uid="{EB423451-345F-404F-8FA7-9C37A02CD085}">
      <text>
        <r>
          <rPr>
            <b/>
            <sz val="9"/>
            <color indexed="81"/>
            <rFont val="Tahoma"/>
            <family val="2"/>
          </rPr>
          <t>Gavin Mudd:</t>
        </r>
        <r>
          <rPr>
            <sz val="9"/>
            <color indexed="81"/>
            <rFont val="Tahoma"/>
            <family val="2"/>
          </rPr>
          <t xml:space="preserve">
saleable ore</t>
        </r>
      </text>
    </comment>
    <comment ref="BG544" authorId="0" shapeId="0" xr:uid="{9937D29F-351A-4719-9868-DAA5A05B77A2}">
      <text>
        <r>
          <rPr>
            <b/>
            <sz val="9"/>
            <color indexed="81"/>
            <rFont val="Tahoma"/>
            <family val="2"/>
          </rPr>
          <t>Gavin Mudd:</t>
        </r>
        <r>
          <rPr>
            <sz val="9"/>
            <color indexed="81"/>
            <rFont val="Tahoma"/>
            <family val="2"/>
          </rPr>
          <t xml:space="preserve">
saleable ore</t>
        </r>
      </text>
    </comment>
    <comment ref="BH544" authorId="0" shapeId="0" xr:uid="{C674EAB2-B6F8-41B8-8B11-E780695B8E77}">
      <text>
        <r>
          <rPr>
            <b/>
            <sz val="9"/>
            <color indexed="81"/>
            <rFont val="Tahoma"/>
            <family val="2"/>
          </rPr>
          <t>Gavin Mudd:</t>
        </r>
        <r>
          <rPr>
            <sz val="9"/>
            <color indexed="81"/>
            <rFont val="Tahoma"/>
            <family val="2"/>
          </rPr>
          <t xml:space="preserve">
from "Geology &amp; Mineral Resources of the Northern Territory", NTG Special Publication 5.</t>
        </r>
      </text>
    </comment>
    <comment ref="BZ544" authorId="0" shapeId="0" xr:uid="{5B873872-9C45-4607-9640-70B7B119ABAF}">
      <text>
        <r>
          <rPr>
            <b/>
            <sz val="9"/>
            <color indexed="81"/>
            <rFont val="Tahoma"/>
            <family val="2"/>
          </rPr>
          <t>Gavin Mudd:</t>
        </r>
        <r>
          <rPr>
            <sz val="9"/>
            <color indexed="81"/>
            <rFont val="Tahoma"/>
            <family val="2"/>
          </rPr>
          <t xml:space="preserve">
saleable ore</t>
        </r>
      </text>
    </comment>
    <comment ref="D545" authorId="0" shapeId="0" xr:uid="{96B6CBC4-BAC4-4773-8F13-6C6B3B923511}">
      <text>
        <r>
          <rPr>
            <b/>
            <sz val="9"/>
            <color indexed="81"/>
            <rFont val="Tahoma"/>
            <family val="2"/>
          </rPr>
          <t>Gavin Mudd:</t>
        </r>
        <r>
          <rPr>
            <sz val="9"/>
            <color indexed="81"/>
            <rFont val="Tahoma"/>
            <family val="2"/>
          </rPr>
          <t xml:space="preserve">
saleable ore</t>
        </r>
      </text>
    </comment>
    <comment ref="BG545" authorId="0" shapeId="0" xr:uid="{4593677F-F1F6-46EB-8BFA-81ACD02ADDE1}">
      <text>
        <r>
          <rPr>
            <b/>
            <sz val="9"/>
            <color indexed="81"/>
            <rFont val="Tahoma"/>
            <family val="2"/>
          </rPr>
          <t>Gavin Mudd:</t>
        </r>
        <r>
          <rPr>
            <sz val="9"/>
            <color indexed="81"/>
            <rFont val="Tahoma"/>
            <family val="2"/>
          </rPr>
          <t xml:space="preserve">
saleable ore</t>
        </r>
      </text>
    </comment>
    <comment ref="BZ545" authorId="0" shapeId="0" xr:uid="{CA8A79FF-A6CC-4831-80A7-D8635E5B1280}">
      <text>
        <r>
          <rPr>
            <b/>
            <sz val="9"/>
            <color indexed="81"/>
            <rFont val="Tahoma"/>
            <family val="2"/>
          </rPr>
          <t>Gavin Mudd:</t>
        </r>
        <r>
          <rPr>
            <sz val="9"/>
            <color indexed="81"/>
            <rFont val="Tahoma"/>
            <family val="2"/>
          </rPr>
          <t xml:space="preserve">
saleable ore</t>
        </r>
      </text>
    </comment>
    <comment ref="A555" authorId="0" shapeId="0" xr:uid="{429E9D31-3668-40C2-A033-77A5566BA476}">
      <text>
        <r>
          <rPr>
            <b/>
            <sz val="9"/>
            <color indexed="81"/>
            <rFont val="Tahoma"/>
            <family val="2"/>
          </rPr>
          <t>Gavin Mudd:</t>
        </r>
        <r>
          <rPr>
            <sz val="9"/>
            <color indexed="81"/>
            <rFont val="Tahoma"/>
            <family val="2"/>
          </rPr>
          <t xml:space="preserve">
data incomplete</t>
        </r>
      </text>
    </comment>
    <comment ref="C555" authorId="0" shapeId="0" xr:uid="{268A4C79-900B-4972-B9D5-11F46A6F0628}">
      <text>
        <r>
          <rPr>
            <b/>
            <sz val="9"/>
            <color indexed="81"/>
            <rFont val="Tahoma"/>
            <family val="2"/>
          </rPr>
          <t>Gavin Mudd:</t>
        </r>
        <r>
          <rPr>
            <sz val="9"/>
            <color indexed="81"/>
            <rFont val="Tahoma"/>
            <family val="2"/>
          </rPr>
          <t xml:space="preserve">
data incomplete</t>
        </r>
      </text>
    </comment>
    <comment ref="A556" authorId="0" shapeId="0" xr:uid="{217F0369-8822-46FB-ACBA-74A7EC8CD3BA}">
      <text>
        <r>
          <rPr>
            <b/>
            <sz val="9"/>
            <color indexed="81"/>
            <rFont val="Tahoma"/>
            <family val="2"/>
          </rPr>
          <t>Gavin Mudd:</t>
        </r>
        <r>
          <rPr>
            <sz val="9"/>
            <color indexed="81"/>
            <rFont val="Tahoma"/>
            <family val="2"/>
          </rPr>
          <t xml:space="preserve">
data incomplete</t>
        </r>
      </text>
    </comment>
    <comment ref="C556" authorId="0" shapeId="0" xr:uid="{EB847669-B309-47E5-8B4C-C484050DB127}">
      <text>
        <r>
          <rPr>
            <b/>
            <sz val="9"/>
            <color indexed="81"/>
            <rFont val="Tahoma"/>
            <family val="2"/>
          </rPr>
          <t>Gavin Mudd:</t>
        </r>
        <r>
          <rPr>
            <sz val="9"/>
            <color indexed="81"/>
            <rFont val="Tahoma"/>
            <family val="2"/>
          </rPr>
          <t xml:space="preserve">
data incomplete</t>
        </r>
      </text>
    </comment>
    <comment ref="C559" authorId="0" shapeId="0" xr:uid="{977B136D-B227-42C9-8C84-968F9ADBA626}">
      <text>
        <r>
          <rPr>
            <b/>
            <sz val="9"/>
            <color indexed="81"/>
            <rFont val="Tahoma"/>
            <family val="2"/>
          </rPr>
          <t>Gavin Mudd:</t>
        </r>
        <r>
          <rPr>
            <sz val="9"/>
            <color indexed="81"/>
            <rFont val="Tahoma"/>
            <family val="2"/>
          </rPr>
          <t xml:space="preserve">
data incomplete</t>
        </r>
      </text>
    </comment>
    <comment ref="C560" authorId="0" shapeId="0" xr:uid="{941F448D-A7DA-47ED-A160-FAA5F93904AC}">
      <text>
        <r>
          <rPr>
            <b/>
            <sz val="9"/>
            <color indexed="81"/>
            <rFont val="Tahoma"/>
            <family val="2"/>
          </rPr>
          <t>Gavin Mudd:</t>
        </r>
        <r>
          <rPr>
            <sz val="9"/>
            <color indexed="81"/>
            <rFont val="Tahoma"/>
            <family val="2"/>
          </rPr>
          <t xml:space="preserve">
data incomplete</t>
        </r>
      </text>
    </comment>
    <comment ref="C561" authorId="0" shapeId="0" xr:uid="{6D9DF34C-41F3-4D7A-A3E0-295A210DCFA3}">
      <text>
        <r>
          <rPr>
            <b/>
            <sz val="9"/>
            <color indexed="81"/>
            <rFont val="Tahoma"/>
            <family val="2"/>
          </rPr>
          <t>Gavin Mudd:</t>
        </r>
        <r>
          <rPr>
            <sz val="9"/>
            <color indexed="81"/>
            <rFont val="Tahoma"/>
            <family val="2"/>
          </rPr>
          <t xml:space="preserve">
data incomplete</t>
        </r>
      </text>
    </comment>
    <comment ref="A566" authorId="0" shapeId="0" xr:uid="{8872A3EB-8389-43F0-BED7-431DA36513AD}">
      <text>
        <r>
          <rPr>
            <b/>
            <sz val="9"/>
            <color indexed="81"/>
            <rFont val="Tahoma"/>
            <family val="2"/>
          </rPr>
          <t>Gavin Mudd:</t>
        </r>
        <r>
          <rPr>
            <sz val="9"/>
            <color indexed="81"/>
            <rFont val="Tahoma"/>
            <family val="2"/>
          </rPr>
          <t xml:space="preserve">
includes Altona, Parwan, Moolamoona, Sunshine, Parwan</t>
        </r>
      </text>
    </comment>
    <comment ref="A567" authorId="0" shapeId="0" xr:uid="{BC9B8699-9373-4E05-9061-B2EF2255BF7D}">
      <text>
        <r>
          <rPr>
            <b/>
            <sz val="9"/>
            <color indexed="81"/>
            <rFont val="Tahoma"/>
            <family val="2"/>
          </rPr>
          <t>Gavin Mudd:</t>
        </r>
        <r>
          <rPr>
            <sz val="9"/>
            <color indexed="81"/>
            <rFont val="Tahoma"/>
            <family val="2"/>
          </rPr>
          <t xml:space="preserve">
includes Morwell, Gelliondale, Thorpdale</t>
        </r>
      </text>
    </comment>
    <comment ref="BU578" authorId="0" shapeId="0" xr:uid="{B4B35D56-6067-42E6-A480-7AE29EBDE7CA}">
      <text>
        <r>
          <rPr>
            <b/>
            <sz val="9"/>
            <color indexed="81"/>
            <rFont val="Tahoma"/>
            <family val="2"/>
          </rPr>
          <t>Gavin Mudd:</t>
        </r>
        <r>
          <rPr>
            <sz val="9"/>
            <color indexed="81"/>
            <rFont val="Tahoma"/>
            <family val="2"/>
          </rPr>
          <t xml:space="preserve">
from Queensland's Metalliferous and Industrial Minerals report series</t>
        </r>
      </text>
    </comment>
    <comment ref="A583" authorId="0" shapeId="0" xr:uid="{F31586A8-862C-4CE0-A592-A448F0CBF483}">
      <text>
        <r>
          <rPr>
            <b/>
            <sz val="9"/>
            <color indexed="81"/>
            <rFont val="Tahoma"/>
            <family val="2"/>
          </rPr>
          <t>Gavin Mudd:</t>
        </r>
        <r>
          <rPr>
            <sz val="9"/>
            <color indexed="81"/>
            <rFont val="Tahoma"/>
            <family val="2"/>
          </rPr>
          <t xml:space="preserve">
mine now part of Pilbara Minerals operations at Pilgangoora</t>
        </r>
      </text>
    </comment>
    <comment ref="C583" authorId="0" shapeId="0" xr:uid="{3B9BDDC7-67E3-4320-AD7D-A77CD0A878E0}">
      <text>
        <r>
          <rPr>
            <b/>
            <sz val="9"/>
            <color indexed="81"/>
            <rFont val="Tahoma"/>
            <family val="2"/>
          </rPr>
          <t>Gavin Mudd:</t>
        </r>
        <r>
          <rPr>
            <sz val="9"/>
            <color indexed="81"/>
            <rFont val="Tahoma"/>
            <family val="2"/>
          </rPr>
          <t xml:space="preserve">
mine now part of Pilbara Minerals operations at Pilgangoora</t>
        </r>
      </text>
    </comment>
    <comment ref="D589" authorId="0" shapeId="0" xr:uid="{B9F81967-880C-4AA8-842D-38DC93707591}">
      <text>
        <r>
          <rPr>
            <b/>
            <sz val="9"/>
            <color indexed="81"/>
            <rFont val="Tahoma"/>
            <family val="2"/>
          </rPr>
          <t>Gavin Mudd:</t>
        </r>
        <r>
          <rPr>
            <sz val="9"/>
            <color indexed="81"/>
            <rFont val="Tahoma"/>
            <family val="2"/>
          </rPr>
          <t xml:space="preserve">
from "Geology &amp; Mineral Resources of the Northern Territory" (2013)</t>
        </r>
      </text>
    </comment>
    <comment ref="L589" authorId="0" shapeId="0" xr:uid="{9D5CB80A-A201-486D-BEF4-B7DC4D92331A}">
      <text>
        <r>
          <rPr>
            <b/>
            <sz val="9"/>
            <color indexed="81"/>
            <rFont val="Tahoma"/>
            <family val="2"/>
          </rPr>
          <t>Gavin Mudd:</t>
        </r>
        <r>
          <rPr>
            <sz val="9"/>
            <color indexed="81"/>
            <rFont val="Tahoma"/>
            <family val="2"/>
          </rPr>
          <t xml:space="preserve">
from "Geology &amp; Mineral Resources of the Northern Territory" (2013)</t>
        </r>
      </text>
    </comment>
    <comment ref="AY589" authorId="0" shapeId="0" xr:uid="{F6BFF79A-6B95-4152-B0DA-6A2F79ADD78E}">
      <text>
        <r>
          <rPr>
            <b/>
            <sz val="9"/>
            <color indexed="81"/>
            <rFont val="Tahoma"/>
            <family val="2"/>
          </rPr>
          <t>Gavin Mudd:</t>
        </r>
        <r>
          <rPr>
            <sz val="9"/>
            <color indexed="81"/>
            <rFont val="Tahoma"/>
            <family val="2"/>
          </rPr>
          <t xml:space="preserve">
from "Geology &amp; Mineral Resources of the Northern Territory" (2013)</t>
        </r>
      </text>
    </comment>
    <comment ref="CA589" authorId="0" shapeId="0" xr:uid="{2D334B9E-CA87-42C9-9970-5D55D5782921}">
      <text>
        <r>
          <rPr>
            <b/>
            <sz val="9"/>
            <color indexed="81"/>
            <rFont val="Tahoma"/>
            <family val="2"/>
          </rPr>
          <t>Gavin Mudd:</t>
        </r>
        <r>
          <rPr>
            <sz val="9"/>
            <color indexed="81"/>
            <rFont val="Tahoma"/>
            <family val="2"/>
          </rPr>
          <t xml:space="preserve">
from "Geology &amp; Mineral Resources of the Northern Territory" (2013)</t>
        </r>
      </text>
    </comment>
    <comment ref="D590" authorId="0" shapeId="0" xr:uid="{8C7FA806-17DC-477E-9111-BD409FA7BE6E}">
      <text>
        <r>
          <rPr>
            <b/>
            <sz val="9"/>
            <color indexed="81"/>
            <rFont val="Tahoma"/>
            <family val="2"/>
          </rPr>
          <t>Gavin Mudd:</t>
        </r>
        <r>
          <rPr>
            <sz val="9"/>
            <color indexed="81"/>
            <rFont val="Tahoma"/>
            <family val="2"/>
          </rPr>
          <t xml:space="preserve">
from "Geology &amp; Mineral Resources of the Northern Territory" (2013)</t>
        </r>
      </text>
    </comment>
    <comment ref="L590" authorId="0" shapeId="0" xr:uid="{7A9E691D-46F8-4B0A-B1DE-0B384BE7CEAF}">
      <text>
        <r>
          <rPr>
            <b/>
            <sz val="9"/>
            <color indexed="81"/>
            <rFont val="Tahoma"/>
            <family val="2"/>
          </rPr>
          <t>Gavin Mudd:</t>
        </r>
        <r>
          <rPr>
            <sz val="9"/>
            <color indexed="81"/>
            <rFont val="Tahoma"/>
            <family val="2"/>
          </rPr>
          <t xml:space="preserve">
from "Geology &amp; Mineral Resources of the Northern Territory" (2013)</t>
        </r>
      </text>
    </comment>
    <comment ref="AY590" authorId="0" shapeId="0" xr:uid="{BA567E51-1591-4915-8302-5081F29A1116}">
      <text>
        <r>
          <rPr>
            <b/>
            <sz val="9"/>
            <color indexed="81"/>
            <rFont val="Tahoma"/>
            <family val="2"/>
          </rPr>
          <t>Gavin Mudd:</t>
        </r>
        <r>
          <rPr>
            <sz val="9"/>
            <color indexed="81"/>
            <rFont val="Tahoma"/>
            <family val="2"/>
          </rPr>
          <t xml:space="preserve">
from "Geology &amp; Mineral Resources of the Northern Territory" (2013)</t>
        </r>
      </text>
    </comment>
    <comment ref="CA590" authorId="0" shapeId="0" xr:uid="{F477B8BE-5B98-40E8-8A6B-DAA0A2ECDF45}">
      <text>
        <r>
          <rPr>
            <b/>
            <sz val="9"/>
            <color indexed="81"/>
            <rFont val="Tahoma"/>
            <family val="2"/>
          </rPr>
          <t>Gavin Mudd:</t>
        </r>
        <r>
          <rPr>
            <sz val="9"/>
            <color indexed="81"/>
            <rFont val="Tahoma"/>
            <family val="2"/>
          </rPr>
          <t xml:space="preserve">
from "Geology &amp; Mineral Resources of the Northern Territory" (2013)</t>
        </r>
      </text>
    </comment>
    <comment ref="A599" authorId="0" shapeId="0" xr:uid="{96746536-6277-4674-99AA-DF0EF293A47D}">
      <text>
        <r>
          <rPr>
            <b/>
            <sz val="9"/>
            <color indexed="81"/>
            <rFont val="Tahoma"/>
            <family val="2"/>
          </rPr>
          <t>Gavin Mudd:</t>
        </r>
        <r>
          <rPr>
            <sz val="9"/>
            <color indexed="81"/>
            <rFont val="Tahoma"/>
            <family val="2"/>
          </rPr>
          <t xml:space="preserve">
excludes:
- Bardoc-Davyhurst (1984, 1987)
- Fimiston-Paringa (1984-1987)</t>
        </r>
      </text>
    </comment>
    <comment ref="A600" authorId="0" shapeId="0" xr:uid="{2B311BD7-6E22-4C45-94E7-FB3687B22BA2}">
      <text>
        <r>
          <rPr>
            <b/>
            <sz val="9"/>
            <color indexed="81"/>
            <rFont val="Tahoma"/>
            <family val="2"/>
          </rPr>
          <t>Gavin Mudd:</t>
        </r>
        <r>
          <rPr>
            <sz val="9"/>
            <color indexed="81"/>
            <rFont val="Tahoma"/>
            <family val="2"/>
          </rPr>
          <t xml:space="preserve">
excluding St Ives</t>
        </r>
      </text>
    </comment>
    <comment ref="A602" authorId="0" shapeId="0" xr:uid="{DA5E471F-14FE-464C-AA8E-D937D16FB65F}">
      <text>
        <r>
          <rPr>
            <b/>
            <sz val="9"/>
            <color indexed="81"/>
            <rFont val="Tahoma"/>
            <family val="2"/>
          </rPr>
          <t>Gavin Mudd:</t>
        </r>
        <r>
          <rPr>
            <sz val="9"/>
            <color indexed="81"/>
            <rFont val="Tahoma"/>
            <family val="2"/>
          </rPr>
          <t xml:space="preserve">
excludes:
- Marvel Loch (1984-1987)
- Bullfinch (1987)
- Nevoira (1987)</t>
        </r>
      </text>
    </comment>
    <comment ref="A603" authorId="0" shapeId="0" xr:uid="{CD03B704-AB72-4657-B9F5-1E889C89B1A8}">
      <text>
        <r>
          <rPr>
            <b/>
            <sz val="9"/>
            <color indexed="81"/>
            <rFont val="Tahoma"/>
            <family val="2"/>
          </rPr>
          <t>Gavin Mudd:</t>
        </r>
        <r>
          <rPr>
            <sz val="9"/>
            <color indexed="81"/>
            <rFont val="Tahoma"/>
            <family val="2"/>
          </rPr>
          <t xml:space="preserve">
excludes Central Norseman Gold Corporation Ltd</t>
        </r>
      </text>
    </comment>
    <comment ref="A604" authorId="0" shapeId="0" xr:uid="{0A4EB3F2-6090-4948-8AAE-E9BB0A0D7BBB}">
      <text>
        <r>
          <rPr>
            <b/>
            <sz val="9"/>
            <color indexed="81"/>
            <rFont val="Tahoma"/>
            <family val="2"/>
          </rPr>
          <t>Gavin Mudd:</t>
        </r>
        <r>
          <rPr>
            <sz val="9"/>
            <color indexed="81"/>
            <rFont val="Tahoma"/>
            <family val="2"/>
          </rPr>
          <t xml:space="preserve">
excludes Lawlers and Bellevue (both 1986 &amp; 1987)</t>
        </r>
      </text>
    </comment>
    <comment ref="A605" authorId="0" shapeId="0" xr:uid="{93025597-715D-4E60-91F7-C6EE64F8D226}">
      <text>
        <r>
          <rPr>
            <b/>
            <sz val="9"/>
            <color indexed="81"/>
            <rFont val="Tahoma"/>
            <family val="2"/>
          </rPr>
          <t>Gavin Mudd:</t>
        </r>
        <r>
          <rPr>
            <sz val="9"/>
            <color indexed="81"/>
            <rFont val="Tahoma"/>
            <family val="2"/>
          </rPr>
          <t xml:space="preserve">
excludes:
- Youanmi (1987)</t>
        </r>
      </text>
    </comment>
    <comment ref="A609" authorId="0" shapeId="0" xr:uid="{DF6230DF-E391-4FBE-8E2A-0DD30CE987E0}">
      <text>
        <r>
          <rPr>
            <b/>
            <sz val="9"/>
            <color indexed="81"/>
            <rFont val="Tahoma"/>
            <family val="2"/>
          </rPr>
          <t>Gavin Mudd:</t>
        </r>
        <r>
          <rPr>
            <sz val="9"/>
            <color indexed="81"/>
            <rFont val="Tahoma"/>
            <family val="2"/>
          </rPr>
          <t xml:space="preserve">
excludes:
- Reedy (1984-1987)</t>
        </r>
      </text>
    </comment>
    <comment ref="A612" authorId="0" shapeId="0" xr:uid="{33D648A6-5F45-408D-B873-56277E99736E}">
      <text>
        <r>
          <rPr>
            <b/>
            <sz val="9"/>
            <color indexed="81"/>
            <rFont val="Tahoma"/>
            <family val="2"/>
          </rPr>
          <t>Gavin Mudd:</t>
        </r>
        <r>
          <rPr>
            <sz val="9"/>
            <color indexed="81"/>
            <rFont val="Tahoma"/>
            <family val="2"/>
          </rPr>
          <t xml:space="preserve">
excluding:
- Telfer (1977-1987)
- Bamboo Creek (1986-1987)</t>
        </r>
      </text>
    </comment>
    <comment ref="A617" authorId="0" shapeId="0" xr:uid="{C227DBBD-D5DC-42C1-952F-1BB67C1FE935}">
      <text>
        <r>
          <rPr>
            <b/>
            <sz val="9"/>
            <color indexed="81"/>
            <rFont val="Tahoma"/>
            <family val="2"/>
          </rPr>
          <t>Gavin Mudd:</t>
        </r>
        <r>
          <rPr>
            <sz val="9"/>
            <color indexed="81"/>
            <rFont val="Tahoma"/>
            <family val="2"/>
          </rPr>
          <t xml:space="preserve">
excludes:
- Horseshoe Lights (1984-1987)</t>
        </r>
      </text>
    </comment>
    <comment ref="A618" authorId="0" shapeId="0" xr:uid="{52028861-1C9F-4A62-9F9C-D7DB24C57EF4}">
      <text>
        <r>
          <rPr>
            <b/>
            <sz val="9"/>
            <color indexed="81"/>
            <rFont val="Tahoma"/>
            <family val="2"/>
          </rPr>
          <t>Gavin Mudd:</t>
        </r>
        <r>
          <rPr>
            <sz val="9"/>
            <color indexed="81"/>
            <rFont val="Tahoma"/>
            <family val="2"/>
          </rPr>
          <t xml:space="preserve">
excludes Mount Gibson 1986 &amp; 1987</t>
        </r>
      </text>
    </comment>
    <comment ref="A619" authorId="0" shapeId="0" xr:uid="{EF32010F-7600-458D-90F6-73F9437BBA47}">
      <text>
        <r>
          <rPr>
            <b/>
            <sz val="9"/>
            <color indexed="81"/>
            <rFont val="Tahoma"/>
            <family val="2"/>
          </rPr>
          <t>Gavin Mudd:</t>
        </r>
        <r>
          <rPr>
            <sz val="9"/>
            <color indexed="81"/>
            <rFont val="Tahoma"/>
            <family val="2"/>
          </rPr>
          <t xml:space="preserve">
excludes:
- Sons of Gwalia (1897-1987)
- King of the Hills (1985-1987)</t>
        </r>
      </text>
    </comment>
    <comment ref="A623" authorId="0" shapeId="0" xr:uid="{3F288FCB-422C-47A7-ABC7-F7F065D460CD}">
      <text>
        <r>
          <rPr>
            <b/>
            <sz val="9"/>
            <color indexed="81"/>
            <rFont val="Tahoma"/>
            <family val="2"/>
          </rPr>
          <t>Gavin Mudd:</t>
        </r>
        <r>
          <rPr>
            <sz val="9"/>
            <color indexed="81"/>
            <rFont val="Tahoma"/>
            <family val="2"/>
          </rPr>
          <t xml:space="preserve">
excludes:
- Goongarrie (1987)</t>
        </r>
      </text>
    </comment>
    <comment ref="A626" authorId="0" shapeId="0" xr:uid="{D43CDAF7-5140-4CD0-8362-1D6BED2BB8A6}">
      <text>
        <r>
          <rPr>
            <b/>
            <sz val="9"/>
            <color indexed="81"/>
            <rFont val="Tahoma"/>
            <family val="2"/>
          </rPr>
          <t>Gavin Mudd:</t>
        </r>
        <r>
          <rPr>
            <sz val="9"/>
            <color indexed="81"/>
            <rFont val="Tahoma"/>
            <family val="2"/>
          </rPr>
          <t xml:space="preserve">
excludes:
- Golden Kilometre (1987)</t>
        </r>
      </text>
    </comment>
    <comment ref="A667" authorId="0" shapeId="0" xr:uid="{CC0233E4-53F9-49EC-824C-5115A80FA655}">
      <text>
        <r>
          <rPr>
            <b/>
            <sz val="9"/>
            <color indexed="81"/>
            <rFont val="Tahoma"/>
            <family val="2"/>
          </rPr>
          <t>Gavin Mudd:</t>
        </r>
        <r>
          <rPr>
            <sz val="9"/>
            <color indexed="81"/>
            <rFont val="Tahoma"/>
            <family val="2"/>
          </rPr>
          <t xml:space="preserve">
excludes Mount Morgan</t>
        </r>
      </text>
    </comment>
    <comment ref="C667" authorId="0" shapeId="0" xr:uid="{052D272D-32B2-4043-AA29-4DA72A974F33}">
      <text>
        <r>
          <rPr>
            <b/>
            <sz val="9"/>
            <color indexed="81"/>
            <rFont val="Tahoma"/>
            <family val="2"/>
          </rPr>
          <t>Gavin Mudd:</t>
        </r>
        <r>
          <rPr>
            <sz val="9"/>
            <color indexed="81"/>
            <rFont val="Tahoma"/>
            <family val="2"/>
          </rPr>
          <t xml:space="preserve">
excludes Mount Morgan</t>
        </r>
      </text>
    </comment>
    <comment ref="S707" authorId="0" shapeId="0" xr:uid="{D6CB2614-3A76-4CC0-B9BC-CB7C7A6DDBBF}">
      <text>
        <r>
          <rPr>
            <b/>
            <sz val="9"/>
            <color indexed="81"/>
            <rFont val="Tahoma"/>
            <family val="2"/>
          </rPr>
          <t>Gavin Mudd:</t>
        </r>
        <r>
          <rPr>
            <sz val="9"/>
            <color indexed="81"/>
            <rFont val="Tahoma"/>
            <family val="2"/>
          </rPr>
          <t xml:space="preserve">
assumed</t>
        </r>
      </text>
    </comment>
    <comment ref="BU707" authorId="0" shapeId="0" xr:uid="{998022CC-58D0-46EE-B141-70F90B6B7FD5}">
      <text>
        <r>
          <rPr>
            <b/>
            <sz val="9"/>
            <color indexed="81"/>
            <rFont val="Tahoma"/>
            <family val="2"/>
          </rPr>
          <t>Gavin Mudd:</t>
        </r>
        <r>
          <rPr>
            <sz val="9"/>
            <color indexed="81"/>
            <rFont val="Tahoma"/>
            <family val="2"/>
          </rPr>
          <t xml:space="preserve">
assumed</t>
        </r>
      </text>
    </comment>
    <comment ref="A754" authorId="0" shapeId="0" xr:uid="{56AE1BA4-66E5-4482-9D6B-9A4B769601DC}">
      <text>
        <r>
          <rPr>
            <b/>
            <sz val="9"/>
            <color indexed="81"/>
            <rFont val="Tahoma"/>
            <family val="2"/>
          </rPr>
          <t>Gavin Mudd:</t>
        </r>
        <r>
          <rPr>
            <sz val="9"/>
            <color indexed="81"/>
            <rFont val="Tahoma"/>
            <family val="2"/>
          </rPr>
          <t xml:space="preserve">
excludes Nobles Nob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Gavin Mudd</author>
  </authors>
  <commentList>
    <comment ref="NI1" authorId="0" shapeId="0" xr:uid="{6B44EF92-9BF2-41EC-A95F-337CA6DE4108}">
      <text>
        <r>
          <rPr>
            <b/>
            <sz val="9"/>
            <color indexed="81"/>
            <rFont val="Tahoma"/>
            <family val="2"/>
          </rPr>
          <t>Gavin Mudd:</t>
        </r>
        <r>
          <rPr>
            <sz val="9"/>
            <color indexed="81"/>
            <rFont val="Tahoma"/>
            <family val="2"/>
          </rPr>
          <t xml:space="preserve">
INCOMPLETE (no data available past 1964 at time of release)</t>
        </r>
      </text>
    </comment>
    <comment ref="NJ1" authorId="0" shapeId="0" xr:uid="{78F1E29C-AE00-4B58-9817-49DAD3C688BF}">
      <text>
        <r>
          <rPr>
            <b/>
            <sz val="9"/>
            <color indexed="81"/>
            <rFont val="Tahoma"/>
            <family val="2"/>
          </rPr>
          <t>Gavin Mudd:</t>
        </r>
        <r>
          <rPr>
            <sz val="9"/>
            <color indexed="81"/>
            <rFont val="Tahoma"/>
            <family val="2"/>
          </rPr>
          <t xml:space="preserve">
INCOMPLETE (no data available past 1964 at time of release)</t>
        </r>
      </text>
    </comment>
    <comment ref="GS8" authorId="0" shapeId="0" xr:uid="{52617086-6A89-4F5D-AEB0-E0F49F3089F8}">
      <text>
        <r>
          <rPr>
            <b/>
            <sz val="9"/>
            <color indexed="81"/>
            <rFont val="Tahoma"/>
            <family val="2"/>
          </rPr>
          <t>Gavin Mudd:</t>
        </r>
        <r>
          <rPr>
            <sz val="9"/>
            <color indexed="81"/>
            <rFont val="Tahoma"/>
            <family val="2"/>
          </rPr>
          <t xml:space="preserve">
It should be noted that Christmas Island was a territory of Britain from 1888, phosphate mining started in 1900 with Australia and New Zealand purchasing the mine in 1949. At the same time, sovereign control passed to Singapore until Australia won control in 1958. Data shown covers this period although it remains incomplete.</t>
        </r>
      </text>
    </comment>
    <comment ref="K9" authorId="0" shapeId="0" xr:uid="{1CF30F15-909E-40D3-89D3-19D1E6DE4DD0}">
      <text>
        <r>
          <rPr>
            <b/>
            <sz val="9"/>
            <color indexed="81"/>
            <rFont val="Tahoma"/>
            <family val="2"/>
          </rPr>
          <t>Gavin Mudd:</t>
        </r>
        <r>
          <rPr>
            <sz val="9"/>
            <color indexed="81"/>
            <rFont val="Tahoma"/>
            <family val="2"/>
          </rPr>
          <t xml:space="preserve">
- includes Quartz-derived Au and PbZnAg, CuAu and tailings-derived Au
- does not include alluvial Au</t>
        </r>
      </text>
    </comment>
    <comment ref="CZ10" authorId="0" shapeId="0" xr:uid="{C1B7A2B6-3A69-4335-BCE9-03D65C15FDE5}">
      <text>
        <r>
          <rPr>
            <b/>
            <sz val="9"/>
            <color indexed="81"/>
            <rFont val="Tahoma"/>
            <family val="2"/>
          </rPr>
          <t>Gavin Mudd:</t>
        </r>
        <r>
          <rPr>
            <sz val="9"/>
            <color indexed="81"/>
            <rFont val="Tahoma"/>
            <family val="2"/>
          </rPr>
          <t xml:space="preserve">
best estimate</t>
        </r>
      </text>
    </comment>
    <comment ref="FC10" authorId="0" shapeId="0" xr:uid="{FC54C331-8BD9-49B9-BF8B-33E62294CEBA}">
      <text>
        <r>
          <rPr>
            <b/>
            <sz val="9"/>
            <color indexed="81"/>
            <rFont val="Tahoma"/>
            <family val="2"/>
          </rPr>
          <t>Gavin Mudd:</t>
        </r>
        <r>
          <rPr>
            <sz val="9"/>
            <color indexed="81"/>
            <rFont val="Tahoma"/>
            <family val="2"/>
          </rPr>
          <t xml:space="preserve">
no data available after 1987</t>
        </r>
      </text>
    </comment>
    <comment ref="FD10" authorId="0" shapeId="0" xr:uid="{D7429359-EC52-466F-97C1-C5403E2C9D61}">
      <text>
        <r>
          <rPr>
            <b/>
            <sz val="9"/>
            <color indexed="81"/>
            <rFont val="Tahoma"/>
            <family val="2"/>
          </rPr>
          <t>Gavin Mudd:</t>
        </r>
        <r>
          <rPr>
            <sz val="9"/>
            <color indexed="81"/>
            <rFont val="Tahoma"/>
            <family val="2"/>
          </rPr>
          <t xml:space="preserve">
data incomplete</t>
        </r>
      </text>
    </comment>
    <comment ref="FE10" authorId="0" shapeId="0" xr:uid="{C928B8B0-F940-4EDB-A278-80676103B8CB}">
      <text>
        <r>
          <rPr>
            <b/>
            <sz val="9"/>
            <color indexed="81"/>
            <rFont val="Tahoma"/>
            <family val="2"/>
          </rPr>
          <t>Gavin Mudd:</t>
        </r>
        <r>
          <rPr>
            <sz val="9"/>
            <color indexed="81"/>
            <rFont val="Tahoma"/>
            <family val="2"/>
          </rPr>
          <t xml:space="preserve">
data incomplete</t>
        </r>
      </text>
    </comment>
    <comment ref="GS10" authorId="0" shapeId="0" xr:uid="{C4279E13-5AFB-44C5-8A94-3DBADA6CF1C6}">
      <text>
        <r>
          <rPr>
            <b/>
            <sz val="9"/>
            <color indexed="81"/>
            <rFont val="Tahoma"/>
            <family val="2"/>
          </rPr>
          <t>Gavin Mudd:</t>
        </r>
        <r>
          <rPr>
            <sz val="9"/>
            <color indexed="81"/>
            <rFont val="Tahoma"/>
            <family val="2"/>
          </rPr>
          <t xml:space="preserve">
data incomplete</t>
        </r>
      </text>
    </comment>
    <comment ref="AO11" authorId="0" shapeId="0" xr:uid="{661870A0-6DAC-4173-BC94-760A48A29294}">
      <text>
        <r>
          <rPr>
            <b/>
            <sz val="9"/>
            <color indexed="81"/>
            <rFont val="Tahoma"/>
            <family val="2"/>
          </rPr>
          <t>Gavin Mudd:</t>
        </r>
        <r>
          <rPr>
            <sz val="9"/>
            <color indexed="81"/>
            <rFont val="Tahoma"/>
            <family val="2"/>
          </rPr>
          <t xml:space="preserve">
assumed based on historical production</t>
        </r>
      </text>
    </comment>
    <comment ref="AO12" authorId="0" shapeId="0" xr:uid="{4BBDCFD7-BBE2-46D7-8893-3C33B7AC4C85}">
      <text>
        <r>
          <rPr>
            <b/>
            <sz val="9"/>
            <color indexed="81"/>
            <rFont val="Tahoma"/>
            <family val="2"/>
          </rPr>
          <t>Gavin Mudd:</t>
        </r>
        <r>
          <rPr>
            <sz val="9"/>
            <color indexed="81"/>
            <rFont val="Tahoma"/>
            <family val="2"/>
          </rPr>
          <t xml:space="preserve">
assumed based on historical production</t>
        </r>
      </text>
    </comment>
    <comment ref="AO13" authorId="0" shapeId="0" xr:uid="{F611C022-F124-474D-A518-3ED082C352CE}">
      <text>
        <r>
          <rPr>
            <b/>
            <sz val="9"/>
            <color indexed="81"/>
            <rFont val="Tahoma"/>
            <family val="2"/>
          </rPr>
          <t>Gavin Mudd:</t>
        </r>
        <r>
          <rPr>
            <sz val="9"/>
            <color indexed="81"/>
            <rFont val="Tahoma"/>
            <family val="2"/>
          </rPr>
          <t xml:space="preserve">
assumed based on historical production</t>
        </r>
      </text>
    </comment>
    <comment ref="AO14" authorId="0" shapeId="0" xr:uid="{49DC5989-2AA4-4704-A549-76ED1DC3CE36}">
      <text>
        <r>
          <rPr>
            <b/>
            <sz val="9"/>
            <color indexed="81"/>
            <rFont val="Tahoma"/>
            <family val="2"/>
          </rPr>
          <t>Gavin Mudd:</t>
        </r>
        <r>
          <rPr>
            <sz val="9"/>
            <color indexed="81"/>
            <rFont val="Tahoma"/>
            <family val="2"/>
          </rPr>
          <t xml:space="preserve">
assumed based on historical production</t>
        </r>
      </text>
    </comment>
    <comment ref="AO15" authorId="0" shapeId="0" xr:uid="{068DA28D-661F-4093-A0DA-86939C56B510}">
      <text>
        <r>
          <rPr>
            <b/>
            <sz val="9"/>
            <color indexed="81"/>
            <rFont val="Tahoma"/>
            <family val="2"/>
          </rPr>
          <t>Gavin Mudd:</t>
        </r>
        <r>
          <rPr>
            <sz val="9"/>
            <color indexed="81"/>
            <rFont val="Tahoma"/>
            <family val="2"/>
          </rPr>
          <t xml:space="preserve">
assumed based on historical production</t>
        </r>
      </text>
    </comment>
    <comment ref="AO16" authorId="0" shapeId="0" xr:uid="{E37520CC-EFBA-4247-BC00-7D27197EBEF2}">
      <text>
        <r>
          <rPr>
            <b/>
            <sz val="9"/>
            <color indexed="81"/>
            <rFont val="Tahoma"/>
            <family val="2"/>
          </rPr>
          <t>Gavin Mudd:</t>
        </r>
        <r>
          <rPr>
            <sz val="9"/>
            <color indexed="81"/>
            <rFont val="Tahoma"/>
            <family val="2"/>
          </rPr>
          <t xml:space="preserve">
assumed based on historical production</t>
        </r>
      </text>
    </comment>
    <comment ref="AO17" authorId="0" shapeId="0" xr:uid="{4159A9E2-1485-4816-BC9D-311D117FDB37}">
      <text>
        <r>
          <rPr>
            <b/>
            <sz val="9"/>
            <color indexed="81"/>
            <rFont val="Tahoma"/>
            <family val="2"/>
          </rPr>
          <t>Gavin Mudd:</t>
        </r>
        <r>
          <rPr>
            <sz val="9"/>
            <color indexed="81"/>
            <rFont val="Tahoma"/>
            <family val="2"/>
          </rPr>
          <t xml:space="preserve">
assumed based on historical production</t>
        </r>
      </text>
    </comment>
    <comment ref="AO18" authorId="0" shapeId="0" xr:uid="{34FF6E46-8F48-40CD-9E19-92EDE6548FB3}">
      <text>
        <r>
          <rPr>
            <b/>
            <sz val="9"/>
            <color indexed="81"/>
            <rFont val="Tahoma"/>
            <family val="2"/>
          </rPr>
          <t>Gavin Mudd:</t>
        </r>
        <r>
          <rPr>
            <sz val="9"/>
            <color indexed="81"/>
            <rFont val="Tahoma"/>
            <family val="2"/>
          </rPr>
          <t xml:space="preserve">
assumed based on historical production</t>
        </r>
      </text>
    </comment>
    <comment ref="AO19" authorId="0" shapeId="0" xr:uid="{B8A7A991-9F09-4CCF-BF60-317A1F40EE56}">
      <text>
        <r>
          <rPr>
            <b/>
            <sz val="9"/>
            <color indexed="81"/>
            <rFont val="Tahoma"/>
            <family val="2"/>
          </rPr>
          <t>Gavin Mudd:</t>
        </r>
        <r>
          <rPr>
            <sz val="9"/>
            <color indexed="81"/>
            <rFont val="Tahoma"/>
            <family val="2"/>
          </rPr>
          <t xml:space="preserve">
assumed based on historical production</t>
        </r>
      </text>
    </comment>
    <comment ref="AO20" authorId="0" shapeId="0" xr:uid="{B4F87689-5859-4E08-A0E3-EC8DDCD87A35}">
      <text>
        <r>
          <rPr>
            <b/>
            <sz val="9"/>
            <color indexed="81"/>
            <rFont val="Tahoma"/>
            <family val="2"/>
          </rPr>
          <t>Gavin Mudd:</t>
        </r>
        <r>
          <rPr>
            <sz val="9"/>
            <color indexed="81"/>
            <rFont val="Tahoma"/>
            <family val="2"/>
          </rPr>
          <t xml:space="preserve">
assumed based on historical production</t>
        </r>
      </text>
    </comment>
    <comment ref="AO21" authorId="0" shapeId="0" xr:uid="{8B477666-2F0E-4797-8ED8-DC6A89C70A7C}">
      <text>
        <r>
          <rPr>
            <b/>
            <sz val="9"/>
            <color indexed="81"/>
            <rFont val="Tahoma"/>
            <family val="2"/>
          </rPr>
          <t>Gavin Mudd:</t>
        </r>
        <r>
          <rPr>
            <sz val="9"/>
            <color indexed="81"/>
            <rFont val="Tahoma"/>
            <family val="2"/>
          </rPr>
          <t xml:space="preserve">
assumed based on historical production</t>
        </r>
      </text>
    </comment>
    <comment ref="AO22" authorId="0" shapeId="0" xr:uid="{D03B1F39-6B35-4772-A99D-E4C4D8FC7708}">
      <text>
        <r>
          <rPr>
            <b/>
            <sz val="9"/>
            <color indexed="81"/>
            <rFont val="Tahoma"/>
            <family val="2"/>
          </rPr>
          <t>Gavin Mudd:</t>
        </r>
        <r>
          <rPr>
            <sz val="9"/>
            <color indexed="81"/>
            <rFont val="Tahoma"/>
            <family val="2"/>
          </rPr>
          <t xml:space="preserve">
assumed based on historical production</t>
        </r>
      </text>
    </comment>
    <comment ref="AO23" authorId="0" shapeId="0" xr:uid="{8223C386-57E6-482F-820D-AAA3599D9504}">
      <text>
        <r>
          <rPr>
            <b/>
            <sz val="9"/>
            <color indexed="81"/>
            <rFont val="Tahoma"/>
            <family val="2"/>
          </rPr>
          <t>Gavin Mudd:</t>
        </r>
        <r>
          <rPr>
            <sz val="9"/>
            <color indexed="81"/>
            <rFont val="Tahoma"/>
            <family val="2"/>
          </rPr>
          <t xml:space="preserve">
assumed based on historical production</t>
        </r>
      </text>
    </comment>
    <comment ref="AO24" authorId="0" shapeId="0" xr:uid="{181AEC2B-6104-4910-8D71-98B7F302B17E}">
      <text>
        <r>
          <rPr>
            <b/>
            <sz val="9"/>
            <color indexed="81"/>
            <rFont val="Tahoma"/>
            <family val="2"/>
          </rPr>
          <t>Gavin Mudd:</t>
        </r>
        <r>
          <rPr>
            <sz val="9"/>
            <color indexed="81"/>
            <rFont val="Tahoma"/>
            <family val="2"/>
          </rPr>
          <t xml:space="preserve">
assumed based on historical production</t>
        </r>
      </text>
    </comment>
    <comment ref="AO25" authorId="0" shapeId="0" xr:uid="{E3969C86-F5A8-409C-B95A-482EFB41589A}">
      <text>
        <r>
          <rPr>
            <b/>
            <sz val="9"/>
            <color indexed="81"/>
            <rFont val="Tahoma"/>
            <family val="2"/>
          </rPr>
          <t>Gavin Mudd:</t>
        </r>
        <r>
          <rPr>
            <sz val="9"/>
            <color indexed="81"/>
            <rFont val="Tahoma"/>
            <family val="2"/>
          </rPr>
          <t xml:space="preserve">
assumed based on historical production</t>
        </r>
      </text>
    </comment>
    <comment ref="AO26" authorId="0" shapeId="0" xr:uid="{D5A318F3-0B20-4656-A3E9-0BC2EC5672F1}">
      <text>
        <r>
          <rPr>
            <b/>
            <sz val="9"/>
            <color indexed="81"/>
            <rFont val="Tahoma"/>
            <family val="2"/>
          </rPr>
          <t>Gavin Mudd:</t>
        </r>
        <r>
          <rPr>
            <sz val="9"/>
            <color indexed="81"/>
            <rFont val="Tahoma"/>
            <family val="2"/>
          </rPr>
          <t xml:space="preserve">
assumed based on historical production</t>
        </r>
      </text>
    </comment>
    <comment ref="AO27" authorId="0" shapeId="0" xr:uid="{85CE543C-C894-4547-AAA5-5DD561C1B2ED}">
      <text>
        <r>
          <rPr>
            <b/>
            <sz val="9"/>
            <color indexed="81"/>
            <rFont val="Tahoma"/>
            <family val="2"/>
          </rPr>
          <t>Gavin Mudd:</t>
        </r>
        <r>
          <rPr>
            <sz val="9"/>
            <color indexed="81"/>
            <rFont val="Tahoma"/>
            <family val="2"/>
          </rPr>
          <t xml:space="preserve">
assumed based on historical production</t>
        </r>
      </text>
    </comment>
    <comment ref="AO28" authorId="0" shapeId="0" xr:uid="{C75036AD-66AF-401C-A906-8E8CFB9B01B9}">
      <text>
        <r>
          <rPr>
            <b/>
            <sz val="9"/>
            <color indexed="81"/>
            <rFont val="Tahoma"/>
            <family val="2"/>
          </rPr>
          <t>Gavin Mudd:</t>
        </r>
        <r>
          <rPr>
            <sz val="9"/>
            <color indexed="81"/>
            <rFont val="Tahoma"/>
            <family val="2"/>
          </rPr>
          <t xml:space="preserve">
assumed based on historical production</t>
        </r>
      </text>
    </comment>
    <comment ref="AO29" authorId="0" shapeId="0" xr:uid="{E9C78ED0-D585-47EB-8B6E-0773C03626B2}">
      <text>
        <r>
          <rPr>
            <b/>
            <sz val="9"/>
            <color indexed="81"/>
            <rFont val="Tahoma"/>
            <family val="2"/>
          </rPr>
          <t>Gavin Mudd:</t>
        </r>
        <r>
          <rPr>
            <sz val="9"/>
            <color indexed="81"/>
            <rFont val="Tahoma"/>
            <family val="2"/>
          </rPr>
          <t xml:space="preserve">
assumed based on historical production</t>
        </r>
      </text>
    </comment>
    <comment ref="AO30" authorId="0" shapeId="0" xr:uid="{7E0CEAF5-F40A-4A14-9387-04A51B1B6078}">
      <text>
        <r>
          <rPr>
            <b/>
            <sz val="9"/>
            <color indexed="81"/>
            <rFont val="Tahoma"/>
            <family val="2"/>
          </rPr>
          <t>Gavin Mudd:</t>
        </r>
        <r>
          <rPr>
            <sz val="9"/>
            <color indexed="81"/>
            <rFont val="Tahoma"/>
            <family val="2"/>
          </rPr>
          <t xml:space="preserve">
assumed based on historical production</t>
        </r>
      </text>
    </comment>
    <comment ref="AO31" authorId="0" shapeId="0" xr:uid="{CD73E1C8-6334-4724-B04F-5CCB827E2C79}">
      <text>
        <r>
          <rPr>
            <b/>
            <sz val="9"/>
            <color indexed="81"/>
            <rFont val="Tahoma"/>
            <family val="2"/>
          </rPr>
          <t>Gavin Mudd:</t>
        </r>
        <r>
          <rPr>
            <sz val="9"/>
            <color indexed="81"/>
            <rFont val="Tahoma"/>
            <family val="2"/>
          </rPr>
          <t xml:space="preserve">
assumed based on historical production</t>
        </r>
      </text>
    </comment>
    <comment ref="AO32" authorId="0" shapeId="0" xr:uid="{865AF299-CEEC-4944-99C9-9964474A9606}">
      <text>
        <r>
          <rPr>
            <b/>
            <sz val="9"/>
            <color indexed="81"/>
            <rFont val="Tahoma"/>
            <family val="2"/>
          </rPr>
          <t>Gavin Mudd:</t>
        </r>
        <r>
          <rPr>
            <sz val="9"/>
            <color indexed="81"/>
            <rFont val="Tahoma"/>
            <family val="2"/>
          </rPr>
          <t xml:space="preserve">
assumed based on historical production</t>
        </r>
      </text>
    </comment>
    <comment ref="AO33" authorId="0" shapeId="0" xr:uid="{5D42938B-B1BF-4B26-B966-8EB1F2EE010F}">
      <text>
        <r>
          <rPr>
            <b/>
            <sz val="9"/>
            <color indexed="81"/>
            <rFont val="Tahoma"/>
            <family val="2"/>
          </rPr>
          <t>Gavin Mudd:</t>
        </r>
        <r>
          <rPr>
            <sz val="9"/>
            <color indexed="81"/>
            <rFont val="Tahoma"/>
            <family val="2"/>
          </rPr>
          <t xml:space="preserve">
assumed based on historical production</t>
        </r>
      </text>
    </comment>
    <comment ref="AO34" authorId="0" shapeId="0" xr:uid="{0A64CD8A-CE6E-4B5A-8912-FE663D829DC8}">
      <text>
        <r>
          <rPr>
            <b/>
            <sz val="9"/>
            <color indexed="81"/>
            <rFont val="Tahoma"/>
            <family val="2"/>
          </rPr>
          <t>Gavin Mudd:</t>
        </r>
        <r>
          <rPr>
            <sz val="9"/>
            <color indexed="81"/>
            <rFont val="Tahoma"/>
            <family val="2"/>
          </rPr>
          <t xml:space="preserve">
assumed based on historical production</t>
        </r>
      </text>
    </comment>
    <comment ref="AO35" authorId="0" shapeId="0" xr:uid="{3734AEE3-2951-43C6-B523-58F471772625}">
      <text>
        <r>
          <rPr>
            <b/>
            <sz val="9"/>
            <color indexed="81"/>
            <rFont val="Tahoma"/>
            <family val="2"/>
          </rPr>
          <t>Gavin Mudd:</t>
        </r>
        <r>
          <rPr>
            <sz val="9"/>
            <color indexed="81"/>
            <rFont val="Tahoma"/>
            <family val="2"/>
          </rPr>
          <t xml:space="preserve">
assumed based on historical production</t>
        </r>
      </text>
    </comment>
    <comment ref="AO36" authorId="0" shapeId="0" xr:uid="{74B49E94-D70A-482D-8A15-4782C362B499}">
      <text>
        <r>
          <rPr>
            <b/>
            <sz val="9"/>
            <color indexed="81"/>
            <rFont val="Tahoma"/>
            <family val="2"/>
          </rPr>
          <t>Gavin Mudd:</t>
        </r>
        <r>
          <rPr>
            <sz val="9"/>
            <color indexed="81"/>
            <rFont val="Tahoma"/>
            <family val="2"/>
          </rPr>
          <t xml:space="preserve">
assumed based on historical production</t>
        </r>
      </text>
    </comment>
    <comment ref="AO37" authorId="0" shapeId="0" xr:uid="{BB549E9B-DCC7-4B55-8E6D-7638D0874F31}">
      <text>
        <r>
          <rPr>
            <b/>
            <sz val="9"/>
            <color indexed="81"/>
            <rFont val="Tahoma"/>
            <family val="2"/>
          </rPr>
          <t>Gavin Mudd:</t>
        </r>
        <r>
          <rPr>
            <sz val="9"/>
            <color indexed="81"/>
            <rFont val="Tahoma"/>
            <family val="2"/>
          </rPr>
          <t xml:space="preserve">
assumed based on historical production</t>
        </r>
      </text>
    </comment>
    <comment ref="AO38" authorId="0" shapeId="0" xr:uid="{48707516-2905-4C64-87EA-64CF149E2785}">
      <text>
        <r>
          <rPr>
            <b/>
            <sz val="9"/>
            <color indexed="81"/>
            <rFont val="Tahoma"/>
            <family val="2"/>
          </rPr>
          <t>Gavin Mudd:</t>
        </r>
        <r>
          <rPr>
            <sz val="9"/>
            <color indexed="81"/>
            <rFont val="Tahoma"/>
            <family val="2"/>
          </rPr>
          <t xml:space="preserve">
assumed based on historical production</t>
        </r>
      </text>
    </comment>
    <comment ref="AO39" authorId="0" shapeId="0" xr:uid="{85BF7B22-F145-4049-B097-77F06BD22D17}">
      <text>
        <r>
          <rPr>
            <b/>
            <sz val="9"/>
            <color indexed="81"/>
            <rFont val="Tahoma"/>
            <family val="2"/>
          </rPr>
          <t>Gavin Mudd:</t>
        </r>
        <r>
          <rPr>
            <sz val="9"/>
            <color indexed="81"/>
            <rFont val="Tahoma"/>
            <family val="2"/>
          </rPr>
          <t xml:space="preserve">
assumed based on historical production</t>
        </r>
      </text>
    </comment>
    <comment ref="AO40" authorId="0" shapeId="0" xr:uid="{8D99CBCB-5CD7-44E8-8D48-F1ED5C2FE7EA}">
      <text>
        <r>
          <rPr>
            <b/>
            <sz val="9"/>
            <color indexed="81"/>
            <rFont val="Tahoma"/>
            <family val="2"/>
          </rPr>
          <t>Gavin Mudd:</t>
        </r>
        <r>
          <rPr>
            <sz val="9"/>
            <color indexed="81"/>
            <rFont val="Tahoma"/>
            <family val="2"/>
          </rPr>
          <t xml:space="preserve">
assumed based on historical production</t>
        </r>
      </text>
    </comment>
    <comment ref="CH62" authorId="0" shapeId="0" xr:uid="{45B51686-04C9-47D9-B11F-2EF02F41E97A}">
      <text>
        <r>
          <rPr>
            <b/>
            <sz val="9"/>
            <color indexed="81"/>
            <rFont val="Tahoma"/>
            <family val="2"/>
          </rPr>
          <t>Gavin Mudd:</t>
        </r>
        <r>
          <rPr>
            <sz val="9"/>
            <color indexed="81"/>
            <rFont val="Tahoma"/>
            <family val="2"/>
          </rPr>
          <t xml:space="preserve">
assumed</t>
        </r>
      </text>
    </comment>
    <comment ref="CH63" authorId="0" shapeId="0" xr:uid="{6137E358-F14B-4B55-8427-EBAFD3AC9BB3}">
      <text>
        <r>
          <rPr>
            <b/>
            <sz val="9"/>
            <color indexed="81"/>
            <rFont val="Tahoma"/>
            <family val="2"/>
          </rPr>
          <t>Gavin Mudd:</t>
        </r>
        <r>
          <rPr>
            <sz val="9"/>
            <color indexed="81"/>
            <rFont val="Tahoma"/>
            <family val="2"/>
          </rPr>
          <t xml:space="preserve">
assumed</t>
        </r>
      </text>
    </comment>
    <comment ref="CH64" authorId="0" shapeId="0" xr:uid="{FCD75FA5-61F9-48B0-AAC4-8A00304B6C48}">
      <text>
        <r>
          <rPr>
            <b/>
            <sz val="9"/>
            <color indexed="81"/>
            <rFont val="Tahoma"/>
            <family val="2"/>
          </rPr>
          <t>Gavin Mudd:</t>
        </r>
        <r>
          <rPr>
            <sz val="9"/>
            <color indexed="81"/>
            <rFont val="Tahoma"/>
            <family val="2"/>
          </rPr>
          <t xml:space="preserve">
assumed</t>
        </r>
      </text>
    </comment>
    <comment ref="CH65" authorId="0" shapeId="0" xr:uid="{1C19E3D3-7020-439C-BA6F-D8044BBBCD74}">
      <text>
        <r>
          <rPr>
            <b/>
            <sz val="9"/>
            <color indexed="81"/>
            <rFont val="Tahoma"/>
            <family val="2"/>
          </rPr>
          <t>Gavin Mudd:</t>
        </r>
        <r>
          <rPr>
            <sz val="9"/>
            <color indexed="81"/>
            <rFont val="Tahoma"/>
            <family val="2"/>
          </rPr>
          <t xml:space="preserve">
assumed</t>
        </r>
      </text>
    </comment>
    <comment ref="CH66" authorId="0" shapeId="0" xr:uid="{9604AC69-527B-4310-B54C-206124192602}">
      <text>
        <r>
          <rPr>
            <b/>
            <sz val="9"/>
            <color indexed="81"/>
            <rFont val="Tahoma"/>
            <family val="2"/>
          </rPr>
          <t>Gavin Mudd:</t>
        </r>
        <r>
          <rPr>
            <sz val="9"/>
            <color indexed="81"/>
            <rFont val="Tahoma"/>
            <family val="2"/>
          </rPr>
          <t xml:space="preserve">
assumed</t>
        </r>
      </text>
    </comment>
    <comment ref="CH67" authorId="0" shapeId="0" xr:uid="{581567D9-48EA-40C0-9278-05D7BF5F80BE}">
      <text>
        <r>
          <rPr>
            <b/>
            <sz val="9"/>
            <color indexed="81"/>
            <rFont val="Tahoma"/>
            <family val="2"/>
          </rPr>
          <t>Gavin Mudd:</t>
        </r>
        <r>
          <rPr>
            <sz val="9"/>
            <color indexed="81"/>
            <rFont val="Tahoma"/>
            <family val="2"/>
          </rPr>
          <t xml:space="preserve">
assumed</t>
        </r>
      </text>
    </comment>
    <comment ref="CH68" authorId="0" shapeId="0" xr:uid="{231475CD-BB90-4C13-B309-C2F8017948C2}">
      <text>
        <r>
          <rPr>
            <b/>
            <sz val="9"/>
            <color indexed="81"/>
            <rFont val="Tahoma"/>
            <family val="2"/>
          </rPr>
          <t>Gavin Mudd:</t>
        </r>
        <r>
          <rPr>
            <sz val="9"/>
            <color indexed="81"/>
            <rFont val="Tahoma"/>
            <family val="2"/>
          </rPr>
          <t xml:space="preserve">
assumed</t>
        </r>
      </text>
    </comment>
    <comment ref="CH69" authorId="0" shapeId="0" xr:uid="{0922E3F4-C683-4FD0-8F6A-C9424AB38E1F}">
      <text>
        <r>
          <rPr>
            <b/>
            <sz val="9"/>
            <color indexed="81"/>
            <rFont val="Tahoma"/>
            <family val="2"/>
          </rPr>
          <t>Gavin Mudd:</t>
        </r>
        <r>
          <rPr>
            <sz val="9"/>
            <color indexed="81"/>
            <rFont val="Tahoma"/>
            <family val="2"/>
          </rPr>
          <t xml:space="preserve">
assumed</t>
        </r>
      </text>
    </comment>
    <comment ref="CH70" authorId="0" shapeId="0" xr:uid="{64A8F18A-E7E6-43AD-B54F-DB40B6A8F753}">
      <text>
        <r>
          <rPr>
            <b/>
            <sz val="9"/>
            <color indexed="81"/>
            <rFont val="Tahoma"/>
            <family val="2"/>
          </rPr>
          <t>Gavin Mudd:</t>
        </r>
        <r>
          <rPr>
            <sz val="9"/>
            <color indexed="81"/>
            <rFont val="Tahoma"/>
            <family val="2"/>
          </rPr>
          <t xml:space="preserve">
assumed</t>
        </r>
      </text>
    </comment>
    <comment ref="CH71" authorId="0" shapeId="0" xr:uid="{AE462B2D-2035-4B37-AE94-B127B4C8A7AE}">
      <text>
        <r>
          <rPr>
            <b/>
            <sz val="9"/>
            <color indexed="81"/>
            <rFont val="Tahoma"/>
            <family val="2"/>
          </rPr>
          <t>Gavin Mudd:</t>
        </r>
        <r>
          <rPr>
            <sz val="9"/>
            <color indexed="81"/>
            <rFont val="Tahoma"/>
            <family val="2"/>
          </rPr>
          <t xml:space="preserve">
assumed</t>
        </r>
      </text>
    </comment>
    <comment ref="DL71" authorId="0" shapeId="0" xr:uid="{FCE85FB2-6F3F-4DD0-8857-923860FCF056}">
      <text>
        <r>
          <rPr>
            <b/>
            <sz val="9"/>
            <color indexed="81"/>
            <rFont val="Tahoma"/>
            <family val="2"/>
          </rPr>
          <t>Gavin Mudd:</t>
        </r>
        <r>
          <rPr>
            <sz val="9"/>
            <color indexed="81"/>
            <rFont val="Tahoma"/>
            <family val="2"/>
          </rPr>
          <t xml:space="preserve">
based on all WA production prior to 1896</t>
        </r>
      </text>
    </comment>
    <comment ref="CH72" authorId="0" shapeId="0" xr:uid="{FDD81DF9-E965-4053-854B-A23925AE0644}">
      <text>
        <r>
          <rPr>
            <b/>
            <sz val="9"/>
            <color indexed="81"/>
            <rFont val="Tahoma"/>
            <family val="2"/>
          </rPr>
          <t>Gavin Mudd:</t>
        </r>
        <r>
          <rPr>
            <sz val="9"/>
            <color indexed="81"/>
            <rFont val="Tahoma"/>
            <family val="2"/>
          </rPr>
          <t xml:space="preserve">
assumed</t>
        </r>
      </text>
    </comment>
    <comment ref="DL72" authorId="0" shapeId="0" xr:uid="{C20B6C98-626A-4D67-9036-1575C2EB97A0}">
      <text>
        <r>
          <rPr>
            <b/>
            <sz val="9"/>
            <color indexed="81"/>
            <rFont val="Tahoma"/>
            <family val="2"/>
          </rPr>
          <t>Gavin Mudd:</t>
        </r>
        <r>
          <rPr>
            <sz val="9"/>
            <color indexed="81"/>
            <rFont val="Tahoma"/>
            <family val="2"/>
          </rPr>
          <t xml:space="preserve">
based on all WA production prior to 1896</t>
        </r>
      </text>
    </comment>
    <comment ref="CH73" authorId="0" shapeId="0" xr:uid="{D813866D-37E1-4CA4-981F-8CB97C0B88F3}">
      <text>
        <r>
          <rPr>
            <b/>
            <sz val="9"/>
            <color indexed="81"/>
            <rFont val="Tahoma"/>
            <family val="2"/>
          </rPr>
          <t>Gavin Mudd:</t>
        </r>
        <r>
          <rPr>
            <sz val="9"/>
            <color indexed="81"/>
            <rFont val="Tahoma"/>
            <family val="2"/>
          </rPr>
          <t xml:space="preserve">
assumed</t>
        </r>
      </text>
    </comment>
    <comment ref="DL73" authorId="0" shapeId="0" xr:uid="{3C35421A-FA48-431A-BFAA-D68E89742614}">
      <text>
        <r>
          <rPr>
            <b/>
            <sz val="9"/>
            <color indexed="81"/>
            <rFont val="Tahoma"/>
            <family val="2"/>
          </rPr>
          <t>Gavin Mudd:</t>
        </r>
        <r>
          <rPr>
            <sz val="9"/>
            <color indexed="81"/>
            <rFont val="Tahoma"/>
            <family val="2"/>
          </rPr>
          <t xml:space="preserve">
based on all WA production prior to 1896</t>
        </r>
      </text>
    </comment>
    <comment ref="CH74" authorId="0" shapeId="0" xr:uid="{49D0C1BE-CB29-42E7-87D6-F1517834B02A}">
      <text>
        <r>
          <rPr>
            <b/>
            <sz val="9"/>
            <color indexed="81"/>
            <rFont val="Tahoma"/>
            <family val="2"/>
          </rPr>
          <t>Gavin Mudd:</t>
        </r>
        <r>
          <rPr>
            <sz val="9"/>
            <color indexed="81"/>
            <rFont val="Tahoma"/>
            <family val="2"/>
          </rPr>
          <t xml:space="preserve">
assumed</t>
        </r>
      </text>
    </comment>
    <comment ref="DL74" authorId="0" shapeId="0" xr:uid="{7E3FA9E5-B871-4E41-8012-A2472FA4C54F}">
      <text>
        <r>
          <rPr>
            <b/>
            <sz val="9"/>
            <color indexed="81"/>
            <rFont val="Tahoma"/>
            <family val="2"/>
          </rPr>
          <t>Gavin Mudd:</t>
        </r>
        <r>
          <rPr>
            <sz val="9"/>
            <color indexed="81"/>
            <rFont val="Tahoma"/>
            <family val="2"/>
          </rPr>
          <t xml:space="preserve">
based on all WA production prior to 1896</t>
        </r>
      </text>
    </comment>
    <comment ref="CH75" authorId="0" shapeId="0" xr:uid="{803CFF65-3AF7-4D20-9649-39DD01E011C4}">
      <text>
        <r>
          <rPr>
            <b/>
            <sz val="9"/>
            <color indexed="81"/>
            <rFont val="Tahoma"/>
            <family val="2"/>
          </rPr>
          <t>Gavin Mudd:</t>
        </r>
        <r>
          <rPr>
            <sz val="9"/>
            <color indexed="81"/>
            <rFont val="Tahoma"/>
            <family val="2"/>
          </rPr>
          <t xml:space="preserve">
assumed</t>
        </r>
      </text>
    </comment>
    <comment ref="DL75" authorId="0" shapeId="0" xr:uid="{6AFFF313-474A-40CC-921E-214E4FADD10F}">
      <text>
        <r>
          <rPr>
            <b/>
            <sz val="9"/>
            <color indexed="81"/>
            <rFont val="Tahoma"/>
            <family val="2"/>
          </rPr>
          <t>Gavin Mudd:</t>
        </r>
        <r>
          <rPr>
            <sz val="9"/>
            <color indexed="81"/>
            <rFont val="Tahoma"/>
            <family val="2"/>
          </rPr>
          <t xml:space="preserve">
based on all WA production prior to 1896</t>
        </r>
      </text>
    </comment>
    <comment ref="CH76" authorId="0" shapeId="0" xr:uid="{C3D9FB9B-4E3B-47ED-A575-80A70D449571}">
      <text>
        <r>
          <rPr>
            <b/>
            <sz val="9"/>
            <color indexed="81"/>
            <rFont val="Tahoma"/>
            <family val="2"/>
          </rPr>
          <t>Gavin Mudd:</t>
        </r>
        <r>
          <rPr>
            <sz val="9"/>
            <color indexed="81"/>
            <rFont val="Tahoma"/>
            <family val="2"/>
          </rPr>
          <t xml:space="preserve">
assumed</t>
        </r>
      </text>
    </comment>
    <comment ref="DL76" authorId="0" shapeId="0" xr:uid="{10481C4A-B5CE-42A7-B44F-E55DBE5D8143}">
      <text>
        <r>
          <rPr>
            <b/>
            <sz val="9"/>
            <color indexed="81"/>
            <rFont val="Tahoma"/>
            <family val="2"/>
          </rPr>
          <t>Gavin Mudd:</t>
        </r>
        <r>
          <rPr>
            <sz val="9"/>
            <color indexed="81"/>
            <rFont val="Tahoma"/>
            <family val="2"/>
          </rPr>
          <t xml:space="preserve">
based on all WA production prior to 1896</t>
        </r>
      </text>
    </comment>
    <comment ref="CH77" authorId="0" shapeId="0" xr:uid="{D34DDF4C-AF94-441D-BD8A-73B7842FB9D1}">
      <text>
        <r>
          <rPr>
            <b/>
            <sz val="9"/>
            <color indexed="81"/>
            <rFont val="Tahoma"/>
            <family val="2"/>
          </rPr>
          <t>Gavin Mudd:</t>
        </r>
        <r>
          <rPr>
            <sz val="9"/>
            <color indexed="81"/>
            <rFont val="Tahoma"/>
            <family val="2"/>
          </rPr>
          <t xml:space="preserve">
assumed</t>
        </r>
      </text>
    </comment>
    <comment ref="DL77" authorId="0" shapeId="0" xr:uid="{08F2AFA5-75FB-4A30-96E3-A4AF85E53E9E}">
      <text>
        <r>
          <rPr>
            <b/>
            <sz val="9"/>
            <color indexed="81"/>
            <rFont val="Tahoma"/>
            <family val="2"/>
          </rPr>
          <t>Gavin Mudd:</t>
        </r>
        <r>
          <rPr>
            <sz val="9"/>
            <color indexed="81"/>
            <rFont val="Tahoma"/>
            <family val="2"/>
          </rPr>
          <t xml:space="preserve">
based on all WA production prior to 1896</t>
        </r>
      </text>
    </comment>
    <comment ref="CH78" authorId="0" shapeId="0" xr:uid="{91BEA80A-8910-4F0B-88D8-932C0E23B316}">
      <text>
        <r>
          <rPr>
            <b/>
            <sz val="9"/>
            <color indexed="81"/>
            <rFont val="Tahoma"/>
            <family val="2"/>
          </rPr>
          <t>Gavin Mudd:</t>
        </r>
        <r>
          <rPr>
            <sz val="9"/>
            <color indexed="81"/>
            <rFont val="Tahoma"/>
            <family val="2"/>
          </rPr>
          <t xml:space="preserve">
assumed</t>
        </r>
      </text>
    </comment>
    <comment ref="DL78" authorId="0" shapeId="0" xr:uid="{5E5EE931-8D8B-48B5-927F-96902270A84C}">
      <text>
        <r>
          <rPr>
            <b/>
            <sz val="9"/>
            <color indexed="81"/>
            <rFont val="Tahoma"/>
            <family val="2"/>
          </rPr>
          <t>Gavin Mudd:</t>
        </r>
        <r>
          <rPr>
            <sz val="9"/>
            <color indexed="81"/>
            <rFont val="Tahoma"/>
            <family val="2"/>
          </rPr>
          <t xml:space="preserve">
based on all WA production prior to 1896</t>
        </r>
      </text>
    </comment>
    <comment ref="FW78" authorId="0" shapeId="0" xr:uid="{B8017EBD-FFBE-4385-8AB7-D50E79994386}">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CH79" authorId="0" shapeId="0" xr:uid="{9395F751-17DB-4BAF-8809-31F5951BEED2}">
      <text>
        <r>
          <rPr>
            <b/>
            <sz val="9"/>
            <color indexed="81"/>
            <rFont val="Tahoma"/>
            <family val="2"/>
          </rPr>
          <t>Gavin Mudd:</t>
        </r>
        <r>
          <rPr>
            <sz val="9"/>
            <color indexed="81"/>
            <rFont val="Tahoma"/>
            <family val="2"/>
          </rPr>
          <t xml:space="preserve">
assumed</t>
        </r>
      </text>
    </comment>
    <comment ref="DL79" authorId="0" shapeId="0" xr:uid="{E09BEC77-50D7-4F59-A58C-D4CA63A5837C}">
      <text>
        <r>
          <rPr>
            <b/>
            <sz val="9"/>
            <color indexed="81"/>
            <rFont val="Tahoma"/>
            <family val="2"/>
          </rPr>
          <t>Gavin Mudd:</t>
        </r>
        <r>
          <rPr>
            <sz val="9"/>
            <color indexed="81"/>
            <rFont val="Tahoma"/>
            <family val="2"/>
          </rPr>
          <t xml:space="preserve">
based on all WA production prior to 1896</t>
        </r>
      </text>
    </comment>
    <comment ref="CH80" authorId="0" shapeId="0" xr:uid="{A4F386C7-6000-468D-A167-37EA8C14CA2F}">
      <text>
        <r>
          <rPr>
            <b/>
            <sz val="9"/>
            <color indexed="81"/>
            <rFont val="Tahoma"/>
            <family val="2"/>
          </rPr>
          <t>Gavin Mudd:</t>
        </r>
        <r>
          <rPr>
            <sz val="9"/>
            <color indexed="81"/>
            <rFont val="Tahoma"/>
            <family val="2"/>
          </rPr>
          <t xml:space="preserve">
assumed</t>
        </r>
      </text>
    </comment>
    <comment ref="DL80" authorId="0" shapeId="0" xr:uid="{D7C67F8C-E795-40C6-9D51-55CA383733CD}">
      <text>
        <r>
          <rPr>
            <b/>
            <sz val="9"/>
            <color indexed="81"/>
            <rFont val="Tahoma"/>
            <family val="2"/>
          </rPr>
          <t>Gavin Mudd:</t>
        </r>
        <r>
          <rPr>
            <sz val="9"/>
            <color indexed="81"/>
            <rFont val="Tahoma"/>
            <family val="2"/>
          </rPr>
          <t xml:space="preserve">
based on all WA production prior to 1896</t>
        </r>
      </text>
    </comment>
    <comment ref="CH81" authorId="0" shapeId="0" xr:uid="{1FF02AEC-2891-4D60-9C63-2649B954D32D}">
      <text>
        <r>
          <rPr>
            <b/>
            <sz val="9"/>
            <color indexed="81"/>
            <rFont val="Tahoma"/>
            <family val="2"/>
          </rPr>
          <t>Gavin Mudd:</t>
        </r>
        <r>
          <rPr>
            <sz val="9"/>
            <color indexed="81"/>
            <rFont val="Tahoma"/>
            <family val="2"/>
          </rPr>
          <t xml:space="preserve">
assumed</t>
        </r>
      </text>
    </comment>
    <comment ref="DL81" authorId="0" shapeId="0" xr:uid="{2F3F1FB1-5AD6-40DB-8203-6052A9BC8487}">
      <text>
        <r>
          <rPr>
            <b/>
            <sz val="9"/>
            <color indexed="81"/>
            <rFont val="Tahoma"/>
            <family val="2"/>
          </rPr>
          <t>Gavin Mudd:</t>
        </r>
        <r>
          <rPr>
            <sz val="9"/>
            <color indexed="81"/>
            <rFont val="Tahoma"/>
            <family val="2"/>
          </rPr>
          <t xml:space="preserve">
based on all WA production prior to 1896</t>
        </r>
      </text>
    </comment>
    <comment ref="CH82" authorId="0" shapeId="0" xr:uid="{9905D51A-1129-4265-90CB-CAFFBEDC9E35}">
      <text>
        <r>
          <rPr>
            <b/>
            <sz val="9"/>
            <color indexed="81"/>
            <rFont val="Tahoma"/>
            <family val="2"/>
          </rPr>
          <t>Gavin Mudd:</t>
        </r>
        <r>
          <rPr>
            <sz val="9"/>
            <color indexed="81"/>
            <rFont val="Tahoma"/>
            <family val="2"/>
          </rPr>
          <t xml:space="preserve">
assumed</t>
        </r>
      </text>
    </comment>
    <comment ref="DL82" authorId="0" shapeId="0" xr:uid="{6F2B9B99-7EBA-42CB-949E-B3F0C655541E}">
      <text>
        <r>
          <rPr>
            <b/>
            <sz val="9"/>
            <color indexed="81"/>
            <rFont val="Tahoma"/>
            <family val="2"/>
          </rPr>
          <t>Gavin Mudd:</t>
        </r>
        <r>
          <rPr>
            <sz val="9"/>
            <color indexed="81"/>
            <rFont val="Tahoma"/>
            <family val="2"/>
          </rPr>
          <t xml:space="preserve">
based on all WA production prior to 1896</t>
        </r>
      </text>
    </comment>
    <comment ref="CH83" authorId="0" shapeId="0" xr:uid="{6DB8F6D0-9254-4E6F-85F0-5C24E58CDFBD}">
      <text>
        <r>
          <rPr>
            <b/>
            <sz val="9"/>
            <color indexed="81"/>
            <rFont val="Tahoma"/>
            <family val="2"/>
          </rPr>
          <t>Gavin Mudd:</t>
        </r>
        <r>
          <rPr>
            <sz val="9"/>
            <color indexed="81"/>
            <rFont val="Tahoma"/>
            <family val="2"/>
          </rPr>
          <t xml:space="preserve">
assumed</t>
        </r>
      </text>
    </comment>
    <comment ref="DL83" authorId="0" shapeId="0" xr:uid="{38F19C5C-0703-4081-B807-E766F399E6A2}">
      <text>
        <r>
          <rPr>
            <b/>
            <sz val="9"/>
            <color indexed="81"/>
            <rFont val="Tahoma"/>
            <family val="2"/>
          </rPr>
          <t>Gavin Mudd:</t>
        </r>
        <r>
          <rPr>
            <sz val="9"/>
            <color indexed="81"/>
            <rFont val="Tahoma"/>
            <family val="2"/>
          </rPr>
          <t xml:space="preserve">
based on all WA production prior to 1896</t>
        </r>
      </text>
    </comment>
    <comment ref="CH84" authorId="0" shapeId="0" xr:uid="{D36F6556-AEB1-40CB-8B80-EAAB49C66769}">
      <text>
        <r>
          <rPr>
            <b/>
            <sz val="9"/>
            <color indexed="81"/>
            <rFont val="Tahoma"/>
            <family val="2"/>
          </rPr>
          <t>Gavin Mudd:</t>
        </r>
        <r>
          <rPr>
            <sz val="9"/>
            <color indexed="81"/>
            <rFont val="Tahoma"/>
            <family val="2"/>
          </rPr>
          <t xml:space="preserve">
assumed</t>
        </r>
      </text>
    </comment>
    <comment ref="DL84" authorId="0" shapeId="0" xr:uid="{70B043C9-4FE4-4CB9-B851-87EAA2568002}">
      <text>
        <r>
          <rPr>
            <b/>
            <sz val="9"/>
            <color indexed="81"/>
            <rFont val="Tahoma"/>
            <family val="2"/>
          </rPr>
          <t>Gavin Mudd:</t>
        </r>
        <r>
          <rPr>
            <sz val="9"/>
            <color indexed="81"/>
            <rFont val="Tahoma"/>
            <family val="2"/>
          </rPr>
          <t xml:space="preserve">
based on all WA production prior to 1896</t>
        </r>
      </text>
    </comment>
    <comment ref="CH85" authorId="0" shapeId="0" xr:uid="{0ADAE040-97FC-4441-8BEF-ADB6EA537448}">
      <text>
        <r>
          <rPr>
            <b/>
            <sz val="9"/>
            <color indexed="81"/>
            <rFont val="Tahoma"/>
            <family val="2"/>
          </rPr>
          <t>Gavin Mudd:</t>
        </r>
        <r>
          <rPr>
            <sz val="9"/>
            <color indexed="81"/>
            <rFont val="Tahoma"/>
            <family val="2"/>
          </rPr>
          <t xml:space="preserve">
assumed</t>
        </r>
      </text>
    </comment>
    <comment ref="DL85" authorId="0" shapeId="0" xr:uid="{E90C503A-7029-4C37-B261-4DA2AD0F892B}">
      <text>
        <r>
          <rPr>
            <b/>
            <sz val="9"/>
            <color indexed="81"/>
            <rFont val="Tahoma"/>
            <family val="2"/>
          </rPr>
          <t>Gavin Mudd:</t>
        </r>
        <r>
          <rPr>
            <sz val="9"/>
            <color indexed="81"/>
            <rFont val="Tahoma"/>
            <family val="2"/>
          </rPr>
          <t xml:space="preserve">
based on all WA production prior to 1896</t>
        </r>
      </text>
    </comment>
    <comment ref="CH86" authorId="0" shapeId="0" xr:uid="{ECB9C116-A0E2-4EED-8D73-5F00CBCC5904}">
      <text>
        <r>
          <rPr>
            <b/>
            <sz val="9"/>
            <color indexed="81"/>
            <rFont val="Tahoma"/>
            <family val="2"/>
          </rPr>
          <t>Gavin Mudd:</t>
        </r>
        <r>
          <rPr>
            <sz val="9"/>
            <color indexed="81"/>
            <rFont val="Tahoma"/>
            <family val="2"/>
          </rPr>
          <t xml:space="preserve">
assumed</t>
        </r>
      </text>
    </comment>
    <comment ref="DL86" authorId="0" shapeId="0" xr:uid="{ABD7C58E-D0A5-447E-B596-01DC076B4327}">
      <text>
        <r>
          <rPr>
            <b/>
            <sz val="9"/>
            <color indexed="81"/>
            <rFont val="Tahoma"/>
            <family val="2"/>
          </rPr>
          <t>Gavin Mudd:</t>
        </r>
        <r>
          <rPr>
            <sz val="9"/>
            <color indexed="81"/>
            <rFont val="Tahoma"/>
            <family val="2"/>
          </rPr>
          <t xml:space="preserve">
based on all WA production prior to 1896</t>
        </r>
      </text>
    </comment>
    <comment ref="DL87" authorId="0" shapeId="0" xr:uid="{12C8188E-78DA-4DB7-995F-32A8700C398C}">
      <text>
        <r>
          <rPr>
            <b/>
            <sz val="9"/>
            <color indexed="81"/>
            <rFont val="Tahoma"/>
            <family val="2"/>
          </rPr>
          <t>Gavin Mudd:</t>
        </r>
        <r>
          <rPr>
            <sz val="9"/>
            <color indexed="81"/>
            <rFont val="Tahoma"/>
            <family val="2"/>
          </rPr>
          <t xml:space="preserve">
based on all WA production prior to 1896</t>
        </r>
      </text>
    </comment>
    <comment ref="DW101" authorId="0" shapeId="0" xr:uid="{C1C527CB-78A8-4318-811B-1D5233DEEAB2}">
      <text>
        <r>
          <rPr>
            <b/>
            <sz val="9"/>
            <color indexed="81"/>
            <rFont val="Tahoma"/>
            <family val="2"/>
          </rPr>
          <t>Gavin Mudd:</t>
        </r>
        <r>
          <rPr>
            <sz val="9"/>
            <color indexed="81"/>
            <rFont val="Tahoma"/>
            <family val="2"/>
          </rPr>
          <t xml:space="preserve">
assumed</t>
        </r>
      </text>
    </comment>
    <comment ref="DW102" authorId="0" shapeId="0" xr:uid="{FD90E90E-1D09-4880-B1A7-8F57C6BC90DB}">
      <text>
        <r>
          <rPr>
            <b/>
            <sz val="9"/>
            <color indexed="81"/>
            <rFont val="Tahoma"/>
            <family val="2"/>
          </rPr>
          <t>Gavin Mudd:</t>
        </r>
        <r>
          <rPr>
            <sz val="9"/>
            <color indexed="81"/>
            <rFont val="Tahoma"/>
            <family val="2"/>
          </rPr>
          <t xml:space="preserve">
assumed</t>
        </r>
      </text>
    </comment>
    <comment ref="DW103" authorId="0" shapeId="0" xr:uid="{991A7B97-5168-4C72-9F3D-F71C7BAFFDC5}">
      <text>
        <r>
          <rPr>
            <b/>
            <sz val="9"/>
            <color indexed="81"/>
            <rFont val="Tahoma"/>
            <family val="2"/>
          </rPr>
          <t>Gavin Mudd:</t>
        </r>
        <r>
          <rPr>
            <sz val="9"/>
            <color indexed="81"/>
            <rFont val="Tahoma"/>
            <family val="2"/>
          </rPr>
          <t xml:space="preserve">
assumed</t>
        </r>
      </text>
    </comment>
    <comment ref="DW104" authorId="0" shapeId="0" xr:uid="{87908E4D-B7F7-4AE0-9F68-703C865927E6}">
      <text>
        <r>
          <rPr>
            <b/>
            <sz val="9"/>
            <color indexed="81"/>
            <rFont val="Tahoma"/>
            <family val="2"/>
          </rPr>
          <t>Gavin Mudd:</t>
        </r>
        <r>
          <rPr>
            <sz val="9"/>
            <color indexed="81"/>
            <rFont val="Tahoma"/>
            <family val="2"/>
          </rPr>
          <t xml:space="preserve">
assumed</t>
        </r>
      </text>
    </comment>
    <comment ref="DW105" authorId="0" shapeId="0" xr:uid="{2C24C3D9-C234-438E-B0B2-3E31A12EE444}">
      <text>
        <r>
          <rPr>
            <b/>
            <sz val="9"/>
            <color indexed="81"/>
            <rFont val="Tahoma"/>
            <family val="2"/>
          </rPr>
          <t>Gavin Mudd:</t>
        </r>
        <r>
          <rPr>
            <sz val="9"/>
            <color indexed="81"/>
            <rFont val="Tahoma"/>
            <family val="2"/>
          </rPr>
          <t xml:space="preserve">
assumed</t>
        </r>
      </text>
    </comment>
    <comment ref="DW106" authorId="0" shapeId="0" xr:uid="{6A802692-A7D3-4321-BF3C-A8F6949AB2F6}">
      <text>
        <r>
          <rPr>
            <b/>
            <sz val="9"/>
            <color indexed="81"/>
            <rFont val="Tahoma"/>
            <family val="2"/>
          </rPr>
          <t>Gavin Mudd:</t>
        </r>
        <r>
          <rPr>
            <sz val="9"/>
            <color indexed="81"/>
            <rFont val="Tahoma"/>
            <family val="2"/>
          </rPr>
          <t xml:space="preserve">
assumed</t>
        </r>
      </text>
    </comment>
    <comment ref="FW106" authorId="0" shapeId="0" xr:uid="{BEB77E32-E2B7-41D2-AB93-E8761CDF27B3}">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06" authorId="0" shapeId="0" xr:uid="{BDA9BC83-DB6D-4D2F-9054-60406365BF3E}">
      <text>
        <r>
          <rPr>
            <b/>
            <sz val="9"/>
            <color indexed="81"/>
            <rFont val="Tahoma"/>
            <family val="2"/>
          </rPr>
          <t>Gavin Mudd:</t>
        </r>
        <r>
          <rPr>
            <sz val="9"/>
            <color indexed="81"/>
            <rFont val="Tahoma"/>
            <family val="2"/>
          </rPr>
          <t xml:space="preserve">
assumes NSW Placer PGE prill split (USBoM 1924)</t>
        </r>
      </text>
    </comment>
    <comment ref="GY106" authorId="0" shapeId="0" xr:uid="{510CD634-95C4-4D0A-AA78-311C871B922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06" authorId="0" shapeId="0" xr:uid="{C5F301AB-4BB7-40BD-A1B2-2763B9A5423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06" authorId="0" shapeId="0" xr:uid="{AFA629AF-3D6C-4079-AF1A-307159E8DB34}">
      <text>
        <r>
          <rPr>
            <b/>
            <sz val="9"/>
            <color indexed="81"/>
            <rFont val="Tahoma"/>
            <family val="2"/>
          </rPr>
          <t>Gavin Mudd:</t>
        </r>
        <r>
          <rPr>
            <sz val="9"/>
            <color indexed="81"/>
            <rFont val="Tahoma"/>
            <family val="2"/>
          </rPr>
          <t xml:space="preserve">
assumes NSW Placer PGE prill split (USBoM 1924)</t>
        </r>
      </text>
    </comment>
    <comment ref="DW107" authorId="0" shapeId="0" xr:uid="{58A3CD9A-8F61-4E42-82F7-0E48D56E2CE5}">
      <text>
        <r>
          <rPr>
            <b/>
            <sz val="9"/>
            <color indexed="81"/>
            <rFont val="Tahoma"/>
            <family val="2"/>
          </rPr>
          <t>Gavin Mudd:</t>
        </r>
        <r>
          <rPr>
            <sz val="9"/>
            <color indexed="81"/>
            <rFont val="Tahoma"/>
            <family val="2"/>
          </rPr>
          <t xml:space="preserve">
assumed</t>
        </r>
      </text>
    </comment>
    <comment ref="FW107" authorId="0" shapeId="0" xr:uid="{8C05071E-6FDE-4513-A347-8A88FA0330AA}">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07" authorId="0" shapeId="0" xr:uid="{466E7606-65A7-4B78-83AD-F9777E33E5FF}">
      <text>
        <r>
          <rPr>
            <b/>
            <sz val="9"/>
            <color indexed="81"/>
            <rFont val="Tahoma"/>
            <family val="2"/>
          </rPr>
          <t>Gavin Mudd:</t>
        </r>
        <r>
          <rPr>
            <sz val="9"/>
            <color indexed="81"/>
            <rFont val="Tahoma"/>
            <family val="2"/>
          </rPr>
          <t xml:space="preserve">
assumes NSW Placer PGE prill split (USBoM 1924)</t>
        </r>
      </text>
    </comment>
    <comment ref="GY107" authorId="0" shapeId="0" xr:uid="{ED3F310C-5862-4AAC-B407-17FA8DCE1A8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07" authorId="0" shapeId="0" xr:uid="{1A92833B-2254-4E38-9371-F1598768440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07" authorId="0" shapeId="0" xr:uid="{896A03F9-0738-4B1B-BC36-2C39998A3ADA}">
      <text>
        <r>
          <rPr>
            <b/>
            <sz val="9"/>
            <color indexed="81"/>
            <rFont val="Tahoma"/>
            <family val="2"/>
          </rPr>
          <t>Gavin Mudd:</t>
        </r>
        <r>
          <rPr>
            <sz val="9"/>
            <color indexed="81"/>
            <rFont val="Tahoma"/>
            <family val="2"/>
          </rPr>
          <t xml:space="preserve">
assumes NSW Placer PGE prill split (USBoM 1924)</t>
        </r>
      </text>
    </comment>
    <comment ref="DW108" authorId="0" shapeId="0" xr:uid="{A3E504E0-9FBD-4783-827A-9E84E65E9049}">
      <text>
        <r>
          <rPr>
            <b/>
            <sz val="9"/>
            <color indexed="81"/>
            <rFont val="Tahoma"/>
            <family val="2"/>
          </rPr>
          <t>Gavin Mudd:</t>
        </r>
        <r>
          <rPr>
            <sz val="9"/>
            <color indexed="81"/>
            <rFont val="Tahoma"/>
            <family val="2"/>
          </rPr>
          <t xml:space="preserve">
assumed</t>
        </r>
      </text>
    </comment>
    <comment ref="FW108" authorId="0" shapeId="0" xr:uid="{8E891D07-373E-49FC-BF58-E731B6514EE9}">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08" authorId="0" shapeId="0" xr:uid="{A867BA29-E6A6-43B7-B647-BED6F803D1F1}">
      <text>
        <r>
          <rPr>
            <b/>
            <sz val="9"/>
            <color indexed="81"/>
            <rFont val="Tahoma"/>
            <family val="2"/>
          </rPr>
          <t>Gavin Mudd:</t>
        </r>
        <r>
          <rPr>
            <sz val="9"/>
            <color indexed="81"/>
            <rFont val="Tahoma"/>
            <family val="2"/>
          </rPr>
          <t xml:space="preserve">
assumes NSW Placer PGE prill split (USBoM 1924)</t>
        </r>
      </text>
    </comment>
    <comment ref="GY108" authorId="0" shapeId="0" xr:uid="{E663F15A-510D-4987-A6F5-933FC9C60489}">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08" authorId="0" shapeId="0" xr:uid="{43AFB1B5-0B14-4795-B429-1F3D457653DB}">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08" authorId="0" shapeId="0" xr:uid="{B93DE989-8C88-438B-AA71-71C8B227935C}">
      <text>
        <r>
          <rPr>
            <b/>
            <sz val="9"/>
            <color indexed="81"/>
            <rFont val="Tahoma"/>
            <family val="2"/>
          </rPr>
          <t>Gavin Mudd:</t>
        </r>
        <r>
          <rPr>
            <sz val="9"/>
            <color indexed="81"/>
            <rFont val="Tahoma"/>
            <family val="2"/>
          </rPr>
          <t xml:space="preserve">
assumes NSW Placer PGE prill split (USBoM 1924)</t>
        </r>
      </text>
    </comment>
    <comment ref="DW109" authorId="0" shapeId="0" xr:uid="{141BDEBA-4E83-4655-9352-07342950EE01}">
      <text>
        <r>
          <rPr>
            <b/>
            <sz val="9"/>
            <color indexed="81"/>
            <rFont val="Tahoma"/>
            <family val="2"/>
          </rPr>
          <t>Gavin Mudd:</t>
        </r>
        <r>
          <rPr>
            <sz val="9"/>
            <color indexed="81"/>
            <rFont val="Tahoma"/>
            <family val="2"/>
          </rPr>
          <t xml:space="preserve">
assumed</t>
        </r>
      </text>
    </comment>
    <comment ref="GX109" authorId="0" shapeId="0" xr:uid="{5C3465FB-05EA-4797-B73D-E0425A4EC7E1}">
      <text>
        <r>
          <rPr>
            <b/>
            <sz val="9"/>
            <color indexed="81"/>
            <rFont val="Tahoma"/>
            <family val="2"/>
          </rPr>
          <t>Gavin Mudd:</t>
        </r>
        <r>
          <rPr>
            <sz val="9"/>
            <color indexed="81"/>
            <rFont val="Tahoma"/>
            <family val="2"/>
          </rPr>
          <t xml:space="preserve">
assumes NSW Placer PGE prill split (USBoM 1924)</t>
        </r>
      </text>
    </comment>
    <comment ref="GY109" authorId="0" shapeId="0" xr:uid="{BE28A378-D0F7-47A4-AC14-BBABCB6AC3BF}">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09" authorId="0" shapeId="0" xr:uid="{5EFCBE11-DF26-4374-AC4D-2E573344F2B6}">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09" authorId="0" shapeId="0" xr:uid="{2DA1FE4D-23E6-4C24-973D-1F5FC7F07B80}">
      <text>
        <r>
          <rPr>
            <b/>
            <sz val="9"/>
            <color indexed="81"/>
            <rFont val="Tahoma"/>
            <family val="2"/>
          </rPr>
          <t>Gavin Mudd:</t>
        </r>
        <r>
          <rPr>
            <sz val="9"/>
            <color indexed="81"/>
            <rFont val="Tahoma"/>
            <family val="2"/>
          </rPr>
          <t xml:space="preserve">
assumes NSW Placer PGE prill split (USBoM 1924)</t>
        </r>
      </text>
    </comment>
    <comment ref="DW110" authorId="0" shapeId="0" xr:uid="{9A74CFDB-AB81-49DB-8FBA-3E72BD58D158}">
      <text>
        <r>
          <rPr>
            <b/>
            <sz val="9"/>
            <color indexed="81"/>
            <rFont val="Tahoma"/>
            <family val="2"/>
          </rPr>
          <t>Gavin Mudd:</t>
        </r>
        <r>
          <rPr>
            <sz val="9"/>
            <color indexed="81"/>
            <rFont val="Tahoma"/>
            <family val="2"/>
          </rPr>
          <t xml:space="preserve">
assumed</t>
        </r>
      </text>
    </comment>
    <comment ref="GX110" authorId="0" shapeId="0" xr:uid="{3A1EA9AD-325C-4932-8632-5BADB5854796}">
      <text>
        <r>
          <rPr>
            <b/>
            <sz val="9"/>
            <color indexed="81"/>
            <rFont val="Tahoma"/>
            <family val="2"/>
          </rPr>
          <t>Gavin Mudd:</t>
        </r>
        <r>
          <rPr>
            <sz val="9"/>
            <color indexed="81"/>
            <rFont val="Tahoma"/>
            <family val="2"/>
          </rPr>
          <t xml:space="preserve">
assumes NSW Placer PGE prill split (USBoM 1924)</t>
        </r>
      </text>
    </comment>
    <comment ref="GY110" authorId="0" shapeId="0" xr:uid="{BF408E44-E6F6-43AF-B317-29B2591043CA}">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0" authorId="0" shapeId="0" xr:uid="{14986CCC-68D5-47E3-BF8D-8229F3B405B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0" authorId="0" shapeId="0" xr:uid="{89B7E0AB-1935-4B78-9D45-43B125B21461}">
      <text>
        <r>
          <rPr>
            <b/>
            <sz val="9"/>
            <color indexed="81"/>
            <rFont val="Tahoma"/>
            <family val="2"/>
          </rPr>
          <t>Gavin Mudd:</t>
        </r>
        <r>
          <rPr>
            <sz val="9"/>
            <color indexed="81"/>
            <rFont val="Tahoma"/>
            <family val="2"/>
          </rPr>
          <t xml:space="preserve">
assumes NSW Placer PGE prill split (USBoM 1924)</t>
        </r>
      </text>
    </comment>
    <comment ref="DW111" authorId="0" shapeId="0" xr:uid="{902A504C-8EEC-4561-8DCB-6A7AA5D4D58C}">
      <text>
        <r>
          <rPr>
            <b/>
            <sz val="9"/>
            <color indexed="81"/>
            <rFont val="Tahoma"/>
            <family val="2"/>
          </rPr>
          <t>Gavin Mudd:</t>
        </r>
        <r>
          <rPr>
            <sz val="9"/>
            <color indexed="81"/>
            <rFont val="Tahoma"/>
            <family val="2"/>
          </rPr>
          <t xml:space="preserve">
assumed</t>
        </r>
      </text>
    </comment>
    <comment ref="GX111" authorId="0" shapeId="0" xr:uid="{FF8B9328-E225-46F6-A7BE-28B3C30F8064}">
      <text>
        <r>
          <rPr>
            <b/>
            <sz val="9"/>
            <color indexed="81"/>
            <rFont val="Tahoma"/>
            <family val="2"/>
          </rPr>
          <t>Gavin Mudd:</t>
        </r>
        <r>
          <rPr>
            <sz val="9"/>
            <color indexed="81"/>
            <rFont val="Tahoma"/>
            <family val="2"/>
          </rPr>
          <t xml:space="preserve">
assumes NSW Placer PGE prill split (USBoM 1924)</t>
        </r>
      </text>
    </comment>
    <comment ref="GY111" authorId="0" shapeId="0" xr:uid="{82D0B607-E34A-4706-8F41-4B4EFC4F96C3}">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1" authorId="0" shapeId="0" xr:uid="{D726C6B9-DBF2-4ED4-8490-0F0C7052D151}">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1" authorId="0" shapeId="0" xr:uid="{2FD4ABCA-6BCF-478F-9995-4322E9945D90}">
      <text>
        <r>
          <rPr>
            <b/>
            <sz val="9"/>
            <color indexed="81"/>
            <rFont val="Tahoma"/>
            <family val="2"/>
          </rPr>
          <t>Gavin Mudd:</t>
        </r>
        <r>
          <rPr>
            <sz val="9"/>
            <color indexed="81"/>
            <rFont val="Tahoma"/>
            <family val="2"/>
          </rPr>
          <t xml:space="preserve">
assumes NSW Placer PGE prill split (USBoM 1924)</t>
        </r>
      </text>
    </comment>
    <comment ref="FW112" authorId="0" shapeId="0" xr:uid="{58F7812E-7D71-446E-B951-4D312110F8F3}">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2" authorId="0" shapeId="0" xr:uid="{CE020A03-A1AD-4311-992F-6C0BB8163F29}">
      <text>
        <r>
          <rPr>
            <b/>
            <sz val="9"/>
            <color indexed="81"/>
            <rFont val="Tahoma"/>
            <family val="2"/>
          </rPr>
          <t>Gavin Mudd:</t>
        </r>
        <r>
          <rPr>
            <sz val="9"/>
            <color indexed="81"/>
            <rFont val="Tahoma"/>
            <family val="2"/>
          </rPr>
          <t xml:space="preserve">
assumes NSW Placer PGE prill split (USBoM 1924)</t>
        </r>
      </text>
    </comment>
    <comment ref="GY112" authorId="0" shapeId="0" xr:uid="{E386C9B5-5217-43EE-8E27-C74E683D313E}">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2" authorId="0" shapeId="0" xr:uid="{FB78651D-17A2-4B89-9F9A-A97D8E68C7E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2" authorId="0" shapeId="0" xr:uid="{2A7662EB-CEEE-4623-BA9B-4ECDD74A2E6B}">
      <text>
        <r>
          <rPr>
            <b/>
            <sz val="9"/>
            <color indexed="81"/>
            <rFont val="Tahoma"/>
            <family val="2"/>
          </rPr>
          <t>Gavin Mudd:</t>
        </r>
        <r>
          <rPr>
            <sz val="9"/>
            <color indexed="81"/>
            <rFont val="Tahoma"/>
            <family val="2"/>
          </rPr>
          <t xml:space="preserve">
assumes NSW Placer PGE prill split (USBoM 1924)</t>
        </r>
      </text>
    </comment>
    <comment ref="FW113" authorId="0" shapeId="0" xr:uid="{A6FCA73A-D190-4224-86AF-E9CE7B72C744}">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3" authorId="0" shapeId="0" xr:uid="{F7E4F154-915B-40E5-80D4-A0BF4CB1C7D0}">
      <text>
        <r>
          <rPr>
            <b/>
            <sz val="9"/>
            <color indexed="81"/>
            <rFont val="Tahoma"/>
            <family val="2"/>
          </rPr>
          <t>Gavin Mudd:</t>
        </r>
        <r>
          <rPr>
            <sz val="9"/>
            <color indexed="81"/>
            <rFont val="Tahoma"/>
            <family val="2"/>
          </rPr>
          <t xml:space="preserve">
assumes NSW Placer PGE prill split (USBoM 1924)</t>
        </r>
      </text>
    </comment>
    <comment ref="GY113" authorId="0" shapeId="0" xr:uid="{6398666B-064B-4E5F-89E8-EE30527744B2}">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3" authorId="0" shapeId="0" xr:uid="{17F39455-2850-4BEA-9EEF-F1C54FA00232}">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3" authorId="0" shapeId="0" xr:uid="{E3696A30-DB42-4922-BD0A-6B55B5F64997}">
      <text>
        <r>
          <rPr>
            <b/>
            <sz val="9"/>
            <color indexed="81"/>
            <rFont val="Tahoma"/>
            <family val="2"/>
          </rPr>
          <t>Gavin Mudd:</t>
        </r>
        <r>
          <rPr>
            <sz val="9"/>
            <color indexed="81"/>
            <rFont val="Tahoma"/>
            <family val="2"/>
          </rPr>
          <t xml:space="preserve">
assumes NSW Placer PGE prill split (USBoM 1924)</t>
        </r>
      </text>
    </comment>
    <comment ref="FW114" authorId="0" shapeId="0" xr:uid="{E6128A5C-B96B-452A-8613-D8D22920B31C}">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4" authorId="0" shapeId="0" xr:uid="{560D4241-0A32-4DC5-AA2D-C36A081CAE27}">
      <text>
        <r>
          <rPr>
            <b/>
            <sz val="9"/>
            <color indexed="81"/>
            <rFont val="Tahoma"/>
            <family val="2"/>
          </rPr>
          <t>Gavin Mudd:</t>
        </r>
        <r>
          <rPr>
            <sz val="9"/>
            <color indexed="81"/>
            <rFont val="Tahoma"/>
            <family val="2"/>
          </rPr>
          <t xml:space="preserve">
assumes NSW Placer PGE prill split (USBoM 1924)</t>
        </r>
      </text>
    </comment>
    <comment ref="GY114" authorId="0" shapeId="0" xr:uid="{E6425B18-D7CD-4F6C-9298-7049038442E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4" authorId="0" shapeId="0" xr:uid="{3BD9CE5C-5512-4E8C-AF9F-4417D8C13E82}">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4" authorId="0" shapeId="0" xr:uid="{3F9353FF-2FF7-48F2-905F-CAD284CF0B54}">
      <text>
        <r>
          <rPr>
            <b/>
            <sz val="9"/>
            <color indexed="81"/>
            <rFont val="Tahoma"/>
            <family val="2"/>
          </rPr>
          <t>Gavin Mudd:</t>
        </r>
        <r>
          <rPr>
            <sz val="9"/>
            <color indexed="81"/>
            <rFont val="Tahoma"/>
            <family val="2"/>
          </rPr>
          <t xml:space="preserve">
assumes NSW Placer PGE prill split (USBoM 1924)</t>
        </r>
      </text>
    </comment>
    <comment ref="FW115" authorId="0" shapeId="0" xr:uid="{3957927C-0B14-4C2A-B0A5-EEE08BC28306}">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5" authorId="0" shapeId="0" xr:uid="{73EEE8F2-6026-4484-B797-2A991708A304}">
      <text>
        <r>
          <rPr>
            <b/>
            <sz val="9"/>
            <color indexed="81"/>
            <rFont val="Tahoma"/>
            <family val="2"/>
          </rPr>
          <t>Gavin Mudd:</t>
        </r>
        <r>
          <rPr>
            <sz val="9"/>
            <color indexed="81"/>
            <rFont val="Tahoma"/>
            <family val="2"/>
          </rPr>
          <t xml:space="preserve">
assumes NSW Placer PGE prill split (USBoM 1924)</t>
        </r>
      </text>
    </comment>
    <comment ref="GY115" authorId="0" shapeId="0" xr:uid="{7BF97E85-4A5D-4064-AD75-39DA6D3B3146}">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5" authorId="0" shapeId="0" xr:uid="{817025D0-C422-4189-82B5-B048F18EC044}">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5" authorId="0" shapeId="0" xr:uid="{DC43DF3F-C4AC-4F95-BB6F-CB0288BB323E}">
      <text>
        <r>
          <rPr>
            <b/>
            <sz val="9"/>
            <color indexed="81"/>
            <rFont val="Tahoma"/>
            <family val="2"/>
          </rPr>
          <t>Gavin Mudd:</t>
        </r>
        <r>
          <rPr>
            <sz val="9"/>
            <color indexed="81"/>
            <rFont val="Tahoma"/>
            <family val="2"/>
          </rPr>
          <t xml:space="preserve">
assumes NSW Placer PGE prill split (USBoM 1924)</t>
        </r>
      </text>
    </comment>
    <comment ref="FW116" authorId="0" shapeId="0" xr:uid="{74B89F99-13C3-4982-932B-2D20AF89E7F7}">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6" authorId="0" shapeId="0" xr:uid="{4D10185D-6108-49C7-BAE8-18B0C6BDD257}">
      <text>
        <r>
          <rPr>
            <b/>
            <sz val="9"/>
            <color indexed="81"/>
            <rFont val="Tahoma"/>
            <family val="2"/>
          </rPr>
          <t>Gavin Mudd:</t>
        </r>
        <r>
          <rPr>
            <sz val="9"/>
            <color indexed="81"/>
            <rFont val="Tahoma"/>
            <family val="2"/>
          </rPr>
          <t xml:space="preserve">
assumes NSW Placer PGE prill split (USBoM 1924)</t>
        </r>
      </text>
    </comment>
    <comment ref="GY116" authorId="0" shapeId="0" xr:uid="{70F1A8A6-4DCD-4B55-BF88-00DC3A5C3E41}">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6" authorId="0" shapeId="0" xr:uid="{97111EFB-5C95-4752-A913-68DB40FB5F9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6" authorId="0" shapeId="0" xr:uid="{9308E53C-9388-4B11-9591-A0531DB8D100}">
      <text>
        <r>
          <rPr>
            <b/>
            <sz val="9"/>
            <color indexed="81"/>
            <rFont val="Tahoma"/>
            <family val="2"/>
          </rPr>
          <t>Gavin Mudd:</t>
        </r>
        <r>
          <rPr>
            <sz val="9"/>
            <color indexed="81"/>
            <rFont val="Tahoma"/>
            <family val="2"/>
          </rPr>
          <t xml:space="preserve">
assumes NSW Placer PGE prill split (USBoM 1924)</t>
        </r>
      </text>
    </comment>
    <comment ref="FW117" authorId="0" shapeId="0" xr:uid="{E93AAC68-78F5-4EF9-B561-05E030001598}">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7" authorId="0" shapeId="0" xr:uid="{FDA343D5-B8E7-476B-B32C-85CFAF145402}">
      <text>
        <r>
          <rPr>
            <b/>
            <sz val="9"/>
            <color indexed="81"/>
            <rFont val="Tahoma"/>
            <family val="2"/>
          </rPr>
          <t>Gavin Mudd:</t>
        </r>
        <r>
          <rPr>
            <sz val="9"/>
            <color indexed="81"/>
            <rFont val="Tahoma"/>
            <family val="2"/>
          </rPr>
          <t xml:space="preserve">
assumes NSW Placer PGE prill split (USBoM 1924)</t>
        </r>
      </text>
    </comment>
    <comment ref="GY117" authorId="0" shapeId="0" xr:uid="{C0491143-1F0C-4593-AF31-1B610354C0D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7" authorId="0" shapeId="0" xr:uid="{3DCB4CC0-E3AF-4A9D-826F-25676F765444}">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7" authorId="0" shapeId="0" xr:uid="{1C4F04A8-0163-4B0C-948A-95527B8F0E8F}">
      <text>
        <r>
          <rPr>
            <b/>
            <sz val="9"/>
            <color indexed="81"/>
            <rFont val="Tahoma"/>
            <family val="2"/>
          </rPr>
          <t>Gavin Mudd:</t>
        </r>
        <r>
          <rPr>
            <sz val="9"/>
            <color indexed="81"/>
            <rFont val="Tahoma"/>
            <family val="2"/>
          </rPr>
          <t xml:space="preserve">
assumes NSW Placer PGE prill split (USBoM 1924)</t>
        </r>
      </text>
    </comment>
    <comment ref="FW118" authorId="0" shapeId="0" xr:uid="{1377D95A-A443-4061-8A0A-AD9E2D630545}">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X118" authorId="0" shapeId="0" xr:uid="{E1E89C3D-201E-4954-B2E0-67763559C23A}">
      <text>
        <r>
          <rPr>
            <b/>
            <sz val="9"/>
            <color indexed="81"/>
            <rFont val="Tahoma"/>
            <family val="2"/>
          </rPr>
          <t>Gavin Mudd:</t>
        </r>
        <r>
          <rPr>
            <sz val="9"/>
            <color indexed="81"/>
            <rFont val="Tahoma"/>
            <family val="2"/>
          </rPr>
          <t xml:space="preserve">
assumes NSW Placer PGE prill split (USBoM 1924)</t>
        </r>
      </text>
    </comment>
    <comment ref="GY118" authorId="0" shapeId="0" xr:uid="{BAEC10A1-7E94-4E3E-A4B7-9C2F4DA027F2}">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8" authorId="0" shapeId="0" xr:uid="{D5777855-3889-42A0-98E5-234E82B6776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8" authorId="0" shapeId="0" xr:uid="{BFFD2EDC-49C6-4BD9-9566-22D8F0BFA9B3}">
      <text>
        <r>
          <rPr>
            <b/>
            <sz val="9"/>
            <color indexed="81"/>
            <rFont val="Tahoma"/>
            <family val="2"/>
          </rPr>
          <t>Gavin Mudd:</t>
        </r>
        <r>
          <rPr>
            <sz val="9"/>
            <color indexed="81"/>
            <rFont val="Tahoma"/>
            <family val="2"/>
          </rPr>
          <t xml:space="preserve">
assumes NSW Placer PGE prill split (USBoM 1924)</t>
        </r>
      </text>
    </comment>
    <comment ref="FW119" authorId="0" shapeId="0" xr:uid="{A9FE34C4-980B-4E26-884B-331DFBF47737}">
      <text>
        <r>
          <rPr>
            <b/>
            <sz val="9"/>
            <color indexed="81"/>
            <rFont val="Tahoma"/>
            <family val="2"/>
          </rPr>
          <t>Gavin Mudd:</t>
        </r>
        <r>
          <rPr>
            <sz val="9"/>
            <color indexed="81"/>
            <rFont val="Tahoma"/>
            <family val="2"/>
          </rPr>
          <t xml:space="preserve">
best estimate based on extrapolating price data from Kalix et al (1966), BMR Bulletin 81, using 2% inflation from 1908</t>
        </r>
      </text>
    </comment>
    <comment ref="GS119" authorId="0" shapeId="0" xr:uid="{555CDC7A-D556-442A-9FDD-9ACF4F012BE0}">
      <text>
        <r>
          <rPr>
            <b/>
            <sz val="9"/>
            <color indexed="81"/>
            <rFont val="Tahoma"/>
            <family val="2"/>
          </rPr>
          <t>Gavin Mudd:</t>
        </r>
        <r>
          <rPr>
            <sz val="9"/>
            <color indexed="81"/>
            <rFont val="Tahoma"/>
            <family val="2"/>
          </rPr>
          <t xml:space="preserve">
assumed</t>
        </r>
      </text>
    </comment>
    <comment ref="GX119" authorId="0" shapeId="0" xr:uid="{619C9E9C-F03C-4415-AB91-BB24F0C791C9}">
      <text>
        <r>
          <rPr>
            <b/>
            <sz val="9"/>
            <color indexed="81"/>
            <rFont val="Tahoma"/>
            <family val="2"/>
          </rPr>
          <t>Gavin Mudd:</t>
        </r>
        <r>
          <rPr>
            <sz val="9"/>
            <color indexed="81"/>
            <rFont val="Tahoma"/>
            <family val="2"/>
          </rPr>
          <t xml:space="preserve">
assumes NSW Placer PGE prill split (USBoM 1924)</t>
        </r>
      </text>
    </comment>
    <comment ref="GY119" authorId="0" shapeId="0" xr:uid="{41A88277-E335-4154-BF71-6172AF6CDB51}">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19" authorId="0" shapeId="0" xr:uid="{3890E4DB-943C-4C5B-A5F9-82D9EAEEA0DC}">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19" authorId="0" shapeId="0" xr:uid="{E73AF5FB-C085-4DFB-90AE-D768B8EB0AF8}">
      <text>
        <r>
          <rPr>
            <b/>
            <sz val="9"/>
            <color indexed="81"/>
            <rFont val="Tahoma"/>
            <family val="2"/>
          </rPr>
          <t>Gavin Mudd:</t>
        </r>
        <r>
          <rPr>
            <sz val="9"/>
            <color indexed="81"/>
            <rFont val="Tahoma"/>
            <family val="2"/>
          </rPr>
          <t xml:space="preserve">
assumes NSW Placer PGE prill split (USBoM 1924)</t>
        </r>
      </text>
    </comment>
    <comment ref="GX120" authorId="0" shapeId="0" xr:uid="{C04DA342-5B26-4EE8-9535-A49AE106088B}">
      <text>
        <r>
          <rPr>
            <b/>
            <sz val="9"/>
            <color indexed="81"/>
            <rFont val="Tahoma"/>
            <family val="2"/>
          </rPr>
          <t>Gavin Mudd:</t>
        </r>
        <r>
          <rPr>
            <sz val="9"/>
            <color indexed="81"/>
            <rFont val="Tahoma"/>
            <family val="2"/>
          </rPr>
          <t xml:space="preserve">
assumes NSW Placer PGE prill split (USBoM 1924)</t>
        </r>
      </text>
    </comment>
    <comment ref="GY120" authorId="0" shapeId="0" xr:uid="{AF2F5455-9AE0-4B76-B666-A295E07999FC}">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0" authorId="0" shapeId="0" xr:uid="{3C85BD6A-8CF4-4BA6-8979-DCD596BF8E5B}">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0" authorId="0" shapeId="0" xr:uid="{0029A426-526B-4CF1-B6D2-DDE7F7A12E45}">
      <text>
        <r>
          <rPr>
            <b/>
            <sz val="9"/>
            <color indexed="81"/>
            <rFont val="Tahoma"/>
            <family val="2"/>
          </rPr>
          <t>Gavin Mudd:</t>
        </r>
        <r>
          <rPr>
            <sz val="9"/>
            <color indexed="81"/>
            <rFont val="Tahoma"/>
            <family val="2"/>
          </rPr>
          <t xml:space="preserve">
assumes NSW Placer PGE prill split (USBoM 1924)</t>
        </r>
      </text>
    </comment>
    <comment ref="GX121" authorId="0" shapeId="0" xr:uid="{71F8E13E-6900-4FA7-A151-DBC04591A912}">
      <text>
        <r>
          <rPr>
            <b/>
            <sz val="9"/>
            <color indexed="81"/>
            <rFont val="Tahoma"/>
            <family val="2"/>
          </rPr>
          <t>Gavin Mudd:</t>
        </r>
        <r>
          <rPr>
            <sz val="9"/>
            <color indexed="81"/>
            <rFont val="Tahoma"/>
            <family val="2"/>
          </rPr>
          <t xml:space="preserve">
assumes NSW Placer PGE prill split (USBoM 1924)</t>
        </r>
      </text>
    </comment>
    <comment ref="GY121" authorId="0" shapeId="0" xr:uid="{C7E2C71B-DDCF-4A64-BA27-501A418AA335}">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1" authorId="0" shapeId="0" xr:uid="{020F4539-0189-4A01-9334-29044EEDC785}">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1" authorId="0" shapeId="0" xr:uid="{A2B422A3-BA37-41A1-A0FE-C730666BA7CB}">
      <text>
        <r>
          <rPr>
            <b/>
            <sz val="9"/>
            <color indexed="81"/>
            <rFont val="Tahoma"/>
            <family val="2"/>
          </rPr>
          <t>Gavin Mudd:</t>
        </r>
        <r>
          <rPr>
            <sz val="9"/>
            <color indexed="81"/>
            <rFont val="Tahoma"/>
            <family val="2"/>
          </rPr>
          <t xml:space="preserve">
assumes NSW Placer PGE prill split (USBoM 1924)</t>
        </r>
      </text>
    </comment>
    <comment ref="GS122" authorId="0" shapeId="0" xr:uid="{01D105AB-E8F4-4948-9458-BA50D152F981}">
      <text>
        <r>
          <rPr>
            <b/>
            <sz val="9"/>
            <color indexed="81"/>
            <rFont val="Tahoma"/>
            <family val="2"/>
          </rPr>
          <t>Gavin Mudd:</t>
        </r>
        <r>
          <rPr>
            <sz val="9"/>
            <color indexed="81"/>
            <rFont val="Tahoma"/>
            <family val="2"/>
          </rPr>
          <t xml:space="preserve">
assumed</t>
        </r>
      </text>
    </comment>
    <comment ref="GX122" authorId="0" shapeId="0" xr:uid="{183F2AA3-4296-41D8-BCEC-25979D5A258D}">
      <text>
        <r>
          <rPr>
            <b/>
            <sz val="9"/>
            <color indexed="81"/>
            <rFont val="Tahoma"/>
            <family val="2"/>
          </rPr>
          <t>Gavin Mudd:</t>
        </r>
        <r>
          <rPr>
            <sz val="9"/>
            <color indexed="81"/>
            <rFont val="Tahoma"/>
            <family val="2"/>
          </rPr>
          <t xml:space="preserve">
assumes NSW Placer PGE prill split (USBoM 1924)</t>
        </r>
      </text>
    </comment>
    <comment ref="GY122" authorId="0" shapeId="0" xr:uid="{2DA35977-71B0-4476-BA42-DEF1AA9A9EC2}">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2" authorId="0" shapeId="0" xr:uid="{C6D04589-4C03-43D8-ABFD-AFE82060FE2D}">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2" authorId="0" shapeId="0" xr:uid="{F6175901-5CC4-4ADB-A112-CC9263AFF4D0}">
      <text>
        <r>
          <rPr>
            <b/>
            <sz val="9"/>
            <color indexed="81"/>
            <rFont val="Tahoma"/>
            <family val="2"/>
          </rPr>
          <t>Gavin Mudd:</t>
        </r>
        <r>
          <rPr>
            <sz val="9"/>
            <color indexed="81"/>
            <rFont val="Tahoma"/>
            <family val="2"/>
          </rPr>
          <t xml:space="preserve">
assumes NSW Placer PGE prill split (USBoM 1924)</t>
        </r>
      </text>
    </comment>
    <comment ref="HH122" authorId="0" shapeId="0" xr:uid="{A8DFF39C-7ED6-4F92-B359-684432A0DB6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2" authorId="0" shapeId="0" xr:uid="{95C8AF98-BFC7-4BCF-A089-F5D3940A2AE3}">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2" authorId="0" shapeId="0" xr:uid="{9122DC23-C2C0-469F-9C6E-AECB8CC05C2B}">
      <text>
        <r>
          <rPr>
            <b/>
            <sz val="9"/>
            <color indexed="81"/>
            <rFont val="Tahoma"/>
            <family val="2"/>
          </rPr>
          <t>Gavin Mudd:</t>
        </r>
        <r>
          <rPr>
            <sz val="9"/>
            <color indexed="81"/>
            <rFont val="Tahoma"/>
            <family val="2"/>
          </rPr>
          <t xml:space="preserve">
assumes TAS Placer Osmiridium prill split (USBoM 1924)</t>
        </r>
      </text>
    </comment>
    <comment ref="HK122" authorId="0" shapeId="0" xr:uid="{1CAD8B10-6D55-48C8-B37F-C176CDD348AB}">
      <text>
        <r>
          <rPr>
            <b/>
            <sz val="9"/>
            <color indexed="81"/>
            <rFont val="Tahoma"/>
            <family val="2"/>
          </rPr>
          <t>Gavin Mudd:</t>
        </r>
        <r>
          <rPr>
            <sz val="9"/>
            <color indexed="81"/>
            <rFont val="Tahoma"/>
            <family val="2"/>
          </rPr>
          <t xml:space="preserve">
assumes TAS Placer Osmiridium prill split (USBoM 1924)</t>
        </r>
      </text>
    </comment>
    <comment ref="EN123" authorId="0" shapeId="0" xr:uid="{2F6DA9D5-7A4C-4E34-999B-ECA3E3318B2D}">
      <text>
        <r>
          <rPr>
            <b/>
            <sz val="9"/>
            <color indexed="81"/>
            <rFont val="Tahoma"/>
            <family val="2"/>
          </rPr>
          <t>Gavin Mudd:</t>
        </r>
        <r>
          <rPr>
            <sz val="9"/>
            <color indexed="81"/>
            <rFont val="Tahoma"/>
            <family val="2"/>
          </rPr>
          <t xml:space="preserve">
assumes 20% of value for uranium, 80% for radium salts
- based on total value of £3,620 for 1911-1915</t>
        </r>
      </text>
    </comment>
    <comment ref="GS123" authorId="0" shapeId="0" xr:uid="{E74E7E78-3DB7-48D5-9BED-0D025CF7F254}">
      <text>
        <r>
          <rPr>
            <b/>
            <sz val="9"/>
            <color indexed="81"/>
            <rFont val="Tahoma"/>
            <family val="2"/>
          </rPr>
          <t>Gavin Mudd:</t>
        </r>
        <r>
          <rPr>
            <sz val="9"/>
            <color indexed="81"/>
            <rFont val="Tahoma"/>
            <family val="2"/>
          </rPr>
          <t xml:space="preserve">
assumed</t>
        </r>
      </text>
    </comment>
    <comment ref="GX123" authorId="0" shapeId="0" xr:uid="{89047F6A-A29C-4D9A-823A-AF51FB6DEE4A}">
      <text>
        <r>
          <rPr>
            <b/>
            <sz val="9"/>
            <color indexed="81"/>
            <rFont val="Tahoma"/>
            <family val="2"/>
          </rPr>
          <t>Gavin Mudd:</t>
        </r>
        <r>
          <rPr>
            <sz val="9"/>
            <color indexed="81"/>
            <rFont val="Tahoma"/>
            <family val="2"/>
          </rPr>
          <t xml:space="preserve">
assumes NSW Placer PGE prill split (USBoM 1924)</t>
        </r>
      </text>
    </comment>
    <comment ref="GY123" authorId="0" shapeId="0" xr:uid="{6BE033CA-44C7-4E04-AA9D-B16758DA1529}">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3" authorId="0" shapeId="0" xr:uid="{9992FDF3-8C24-4083-BD58-E011D6298DBF}">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3" authorId="0" shapeId="0" xr:uid="{1D0916A0-6D5F-4781-9B2F-A10D8828E99D}">
      <text>
        <r>
          <rPr>
            <b/>
            <sz val="9"/>
            <color indexed="81"/>
            <rFont val="Tahoma"/>
            <family val="2"/>
          </rPr>
          <t>Gavin Mudd:</t>
        </r>
        <r>
          <rPr>
            <sz val="9"/>
            <color indexed="81"/>
            <rFont val="Tahoma"/>
            <family val="2"/>
          </rPr>
          <t xml:space="preserve">
assumes NSW Placer PGE prill split (USBoM 1924)</t>
        </r>
      </text>
    </comment>
    <comment ref="HC123" authorId="0" shapeId="0" xr:uid="{5ECA30FE-86C4-4D47-9E5E-61DAB6DE2CCC}">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D123" authorId="0" shapeId="0" xr:uid="{C6EBE897-96EA-42FB-8D80-D36A17F694FD}">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E123" authorId="0" shapeId="0" xr:uid="{3F799995-3240-4BEB-B9F2-33AC3BCBDBF8}">
      <text>
        <r>
          <rPr>
            <b/>
            <sz val="9"/>
            <color indexed="81"/>
            <rFont val="Tahoma"/>
            <family val="2"/>
          </rPr>
          <t>Gavin Mudd:</t>
        </r>
        <r>
          <rPr>
            <sz val="9"/>
            <color indexed="81"/>
            <rFont val="Tahoma"/>
            <family val="2"/>
          </rPr>
          <t xml:space="preserve">
assumes TAS Placer Osmiridium prill split (USBoM 1924)</t>
        </r>
      </text>
    </comment>
    <comment ref="HF123" authorId="0" shapeId="0" xr:uid="{A33ED81E-F824-4E53-A101-A4FEE65FF9F2}">
      <text>
        <r>
          <rPr>
            <b/>
            <sz val="9"/>
            <color indexed="81"/>
            <rFont val="Tahoma"/>
            <family val="2"/>
          </rPr>
          <t>Gavin Mudd:</t>
        </r>
        <r>
          <rPr>
            <sz val="9"/>
            <color indexed="81"/>
            <rFont val="Tahoma"/>
            <family val="2"/>
          </rPr>
          <t xml:space="preserve">
assumes TAS Placer Osmiridium prill split (USBoM 1924)</t>
        </r>
      </text>
    </comment>
    <comment ref="HH123" authorId="0" shapeId="0" xr:uid="{28CB5903-8F4D-46C5-967A-B678063A697C}">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3" authorId="0" shapeId="0" xr:uid="{7C833B69-F4C6-43E5-AC72-8EC1B7788B69}">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3" authorId="0" shapeId="0" xr:uid="{5E489AE1-FE7B-43A4-8803-8D81E5403249}">
      <text>
        <r>
          <rPr>
            <b/>
            <sz val="9"/>
            <color indexed="81"/>
            <rFont val="Tahoma"/>
            <family val="2"/>
          </rPr>
          <t>Gavin Mudd:</t>
        </r>
        <r>
          <rPr>
            <sz val="9"/>
            <color indexed="81"/>
            <rFont val="Tahoma"/>
            <family val="2"/>
          </rPr>
          <t xml:space="preserve">
assumes TAS Placer Osmiridium prill split (USBoM 1924)</t>
        </r>
      </text>
    </comment>
    <comment ref="HK123" authorId="0" shapeId="0" xr:uid="{A6E21DF3-7857-47BF-AD2F-B82CE0D03961}">
      <text>
        <r>
          <rPr>
            <b/>
            <sz val="9"/>
            <color indexed="81"/>
            <rFont val="Tahoma"/>
            <family val="2"/>
          </rPr>
          <t>Gavin Mudd:</t>
        </r>
        <r>
          <rPr>
            <sz val="9"/>
            <color indexed="81"/>
            <rFont val="Tahoma"/>
            <family val="2"/>
          </rPr>
          <t xml:space="preserve">
assumes TAS Placer Osmiridium prill split (USBoM 1924)</t>
        </r>
      </text>
    </comment>
    <comment ref="EN124" authorId="0" shapeId="0" xr:uid="{1EA5088C-205C-4267-A446-9729A966519D}">
      <text>
        <r>
          <rPr>
            <b/>
            <sz val="9"/>
            <color indexed="81"/>
            <rFont val="Tahoma"/>
            <family val="2"/>
          </rPr>
          <t>Gavin Mudd:</t>
        </r>
        <r>
          <rPr>
            <sz val="9"/>
            <color indexed="81"/>
            <rFont val="Tahoma"/>
            <family val="2"/>
          </rPr>
          <t xml:space="preserve">
assumes 20% of value for uranium, 80% for radium salts
- based on total value of £3,620 for 1911-1915</t>
        </r>
      </text>
    </comment>
    <comment ref="GX124" authorId="0" shapeId="0" xr:uid="{B0BA27D1-E24E-49C3-AA87-8DA9DAFB69B5}">
      <text>
        <r>
          <rPr>
            <b/>
            <sz val="9"/>
            <color indexed="81"/>
            <rFont val="Tahoma"/>
            <family val="2"/>
          </rPr>
          <t>Gavin Mudd:</t>
        </r>
        <r>
          <rPr>
            <sz val="9"/>
            <color indexed="81"/>
            <rFont val="Tahoma"/>
            <family val="2"/>
          </rPr>
          <t xml:space="preserve">
assumes NSW Placer PGE prill split (USBoM 1924)</t>
        </r>
      </text>
    </comment>
    <comment ref="GY124" authorId="0" shapeId="0" xr:uid="{0DD435AB-2B65-4E9D-8C11-DB6C9861DA29}">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4" authorId="0" shapeId="0" xr:uid="{D5379A5E-7FEC-4773-B8E0-FD57310DC50B}">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4" authorId="0" shapeId="0" xr:uid="{EEBBE23E-DE6F-45F1-B9FA-CCB7E8E7B8A9}">
      <text>
        <r>
          <rPr>
            <b/>
            <sz val="9"/>
            <color indexed="81"/>
            <rFont val="Tahoma"/>
            <family val="2"/>
          </rPr>
          <t>Gavin Mudd:</t>
        </r>
        <r>
          <rPr>
            <sz val="9"/>
            <color indexed="81"/>
            <rFont val="Tahoma"/>
            <family val="2"/>
          </rPr>
          <t xml:space="preserve">
assumes NSW Placer PGE prill split (USBoM 1924)</t>
        </r>
      </text>
    </comment>
    <comment ref="HH124" authorId="0" shapeId="0" xr:uid="{174B5A8B-B096-4D8A-816E-28705B89E472}">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4" authorId="0" shapeId="0" xr:uid="{5A3AA4E1-275E-43F5-853F-60FD10B16B62}">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4" authorId="0" shapeId="0" xr:uid="{4458FFE8-08EF-42B0-9E12-8A4AAE8B28F2}">
      <text>
        <r>
          <rPr>
            <b/>
            <sz val="9"/>
            <color indexed="81"/>
            <rFont val="Tahoma"/>
            <family val="2"/>
          </rPr>
          <t>Gavin Mudd:</t>
        </r>
        <r>
          <rPr>
            <sz val="9"/>
            <color indexed="81"/>
            <rFont val="Tahoma"/>
            <family val="2"/>
          </rPr>
          <t xml:space="preserve">
assumes TAS Placer Osmiridium prill split (USBoM 1924)</t>
        </r>
      </text>
    </comment>
    <comment ref="HK124" authorId="0" shapeId="0" xr:uid="{21D5CA6E-D207-4DC8-9D74-CF44700AADF0}">
      <text>
        <r>
          <rPr>
            <b/>
            <sz val="9"/>
            <color indexed="81"/>
            <rFont val="Tahoma"/>
            <family val="2"/>
          </rPr>
          <t>Gavin Mudd:</t>
        </r>
        <r>
          <rPr>
            <sz val="9"/>
            <color indexed="81"/>
            <rFont val="Tahoma"/>
            <family val="2"/>
          </rPr>
          <t xml:space="preserve">
assumes TAS Placer Osmiridium prill split (USBoM 1924)</t>
        </r>
      </text>
    </comment>
    <comment ref="EN125" authorId="0" shapeId="0" xr:uid="{B5C97811-4A1D-4213-B516-ED1E76763145}">
      <text>
        <r>
          <rPr>
            <b/>
            <sz val="9"/>
            <color indexed="81"/>
            <rFont val="Tahoma"/>
            <family val="2"/>
          </rPr>
          <t>Gavin Mudd:</t>
        </r>
        <r>
          <rPr>
            <sz val="9"/>
            <color indexed="81"/>
            <rFont val="Tahoma"/>
            <family val="2"/>
          </rPr>
          <t xml:space="preserve">
assumes 20% of value for uranium, 80% for radium salts
- based on total value of £3,620 for 1911-1915</t>
        </r>
      </text>
    </comment>
    <comment ref="GX125" authorId="0" shapeId="0" xr:uid="{DDD0B082-85BC-4F1D-B02D-34CC56072FAF}">
      <text>
        <r>
          <rPr>
            <b/>
            <sz val="9"/>
            <color indexed="81"/>
            <rFont val="Tahoma"/>
            <family val="2"/>
          </rPr>
          <t>Gavin Mudd:</t>
        </r>
        <r>
          <rPr>
            <sz val="9"/>
            <color indexed="81"/>
            <rFont val="Tahoma"/>
            <family val="2"/>
          </rPr>
          <t xml:space="preserve">
assumes NSW Placer PGE prill split (USBoM 1924)</t>
        </r>
      </text>
    </comment>
    <comment ref="GY125" authorId="0" shapeId="0" xr:uid="{4DA6E3F5-1775-4390-AC50-FB54365C1CE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5" authorId="0" shapeId="0" xr:uid="{F2400AF9-B488-4C28-912C-ABE2F974CF43}">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5" authorId="0" shapeId="0" xr:uid="{0B4E056F-CD38-4E06-A163-373C31B0EDD0}">
      <text>
        <r>
          <rPr>
            <b/>
            <sz val="9"/>
            <color indexed="81"/>
            <rFont val="Tahoma"/>
            <family val="2"/>
          </rPr>
          <t>Gavin Mudd:</t>
        </r>
        <r>
          <rPr>
            <sz val="9"/>
            <color indexed="81"/>
            <rFont val="Tahoma"/>
            <family val="2"/>
          </rPr>
          <t xml:space="preserve">
assumes NSW Placer PGE prill split (USBoM 1924)</t>
        </r>
      </text>
    </comment>
    <comment ref="HC125" authorId="0" shapeId="0" xr:uid="{B58525DE-103F-487A-9409-AA5668CF95B4}">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D125" authorId="0" shapeId="0" xr:uid="{ED168704-A907-407C-8B47-F17AD6854C0B}">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E125" authorId="0" shapeId="0" xr:uid="{2B30BFD3-F3D9-47E4-8FEB-CB5ABE9F9478}">
      <text>
        <r>
          <rPr>
            <b/>
            <sz val="9"/>
            <color indexed="81"/>
            <rFont val="Tahoma"/>
            <family val="2"/>
          </rPr>
          <t>Gavin Mudd:</t>
        </r>
        <r>
          <rPr>
            <sz val="9"/>
            <color indexed="81"/>
            <rFont val="Tahoma"/>
            <family val="2"/>
          </rPr>
          <t xml:space="preserve">
assumes TAS Placer Osmiridium prill split (USBoM 1924)</t>
        </r>
      </text>
    </comment>
    <comment ref="HF125" authorId="0" shapeId="0" xr:uid="{61BF51A8-F168-4612-B92B-339EDACD8D36}">
      <text>
        <r>
          <rPr>
            <b/>
            <sz val="9"/>
            <color indexed="81"/>
            <rFont val="Tahoma"/>
            <family val="2"/>
          </rPr>
          <t>Gavin Mudd:</t>
        </r>
        <r>
          <rPr>
            <sz val="9"/>
            <color indexed="81"/>
            <rFont val="Tahoma"/>
            <family val="2"/>
          </rPr>
          <t xml:space="preserve">
assumes TAS Placer Osmiridium prill split (USBoM 1924)</t>
        </r>
      </text>
    </comment>
    <comment ref="HH125" authorId="0" shapeId="0" xr:uid="{61EFF5D4-FF82-4D9B-9886-2336D72F20C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5" authorId="0" shapeId="0" xr:uid="{817D64D4-F583-47E5-B3B0-37056E5D022F}">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5" authorId="0" shapeId="0" xr:uid="{E5331F71-E2FB-481B-9FB5-A8E75336C998}">
      <text>
        <r>
          <rPr>
            <b/>
            <sz val="9"/>
            <color indexed="81"/>
            <rFont val="Tahoma"/>
            <family val="2"/>
          </rPr>
          <t>Gavin Mudd:</t>
        </r>
        <r>
          <rPr>
            <sz val="9"/>
            <color indexed="81"/>
            <rFont val="Tahoma"/>
            <family val="2"/>
          </rPr>
          <t xml:space="preserve">
assumes TAS Placer Osmiridium prill split (USBoM 1924)</t>
        </r>
      </text>
    </comment>
    <comment ref="HK125" authorId="0" shapeId="0" xr:uid="{925707DA-5B27-49E2-B451-B544EDFA398F}">
      <text>
        <r>
          <rPr>
            <b/>
            <sz val="9"/>
            <color indexed="81"/>
            <rFont val="Tahoma"/>
            <family val="2"/>
          </rPr>
          <t>Gavin Mudd:</t>
        </r>
        <r>
          <rPr>
            <sz val="9"/>
            <color indexed="81"/>
            <rFont val="Tahoma"/>
            <family val="2"/>
          </rPr>
          <t xml:space="preserve">
assumes TAS Placer Osmiridium prill split (USBoM 1924)</t>
        </r>
      </text>
    </comment>
    <comment ref="EN126" authorId="0" shapeId="0" xr:uid="{B3ED5750-2DEC-463A-8003-5DBD74929A40}">
      <text>
        <r>
          <rPr>
            <b/>
            <sz val="9"/>
            <color indexed="81"/>
            <rFont val="Tahoma"/>
            <family val="2"/>
          </rPr>
          <t>Gavin Mudd:</t>
        </r>
        <r>
          <rPr>
            <sz val="9"/>
            <color indexed="81"/>
            <rFont val="Tahoma"/>
            <family val="2"/>
          </rPr>
          <t xml:space="preserve">
assumes 20% of value for uranium, 80% for radium salts
- based on total value of £3,620 for 1911-1915</t>
        </r>
      </text>
    </comment>
    <comment ref="GU126" authorId="0" shapeId="0" xr:uid="{5E44B9BC-793A-43E4-A9AC-E2315E0216A5}">
      <text>
        <r>
          <rPr>
            <b/>
            <sz val="9"/>
            <color indexed="81"/>
            <rFont val="Tahoma"/>
            <family val="2"/>
          </rPr>
          <t>Gavin Mudd:</t>
        </r>
        <r>
          <rPr>
            <sz val="9"/>
            <color indexed="81"/>
            <rFont val="Tahoma"/>
            <family val="2"/>
          </rPr>
          <t xml:space="preserve">
assumed</t>
        </r>
      </text>
    </comment>
    <comment ref="GX126" authorId="0" shapeId="0" xr:uid="{C6F45A70-17DF-44A5-82F4-23478146F923}">
      <text>
        <r>
          <rPr>
            <b/>
            <sz val="9"/>
            <color indexed="81"/>
            <rFont val="Tahoma"/>
            <family val="2"/>
          </rPr>
          <t>Gavin Mudd:</t>
        </r>
        <r>
          <rPr>
            <sz val="9"/>
            <color indexed="81"/>
            <rFont val="Tahoma"/>
            <family val="2"/>
          </rPr>
          <t xml:space="preserve">
assumes NSW Placer PGE prill split (USBoM 1924)</t>
        </r>
      </text>
    </comment>
    <comment ref="GY126" authorId="0" shapeId="0" xr:uid="{BDC86D7C-8BDF-4682-8E61-E1EB858CC1FF}">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6" authorId="0" shapeId="0" xr:uid="{3DC52AE0-B4BD-4389-8D6B-57B860426B1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6" authorId="0" shapeId="0" xr:uid="{C3971C30-1836-487C-9E81-9899639EA9A2}">
      <text>
        <r>
          <rPr>
            <b/>
            <sz val="9"/>
            <color indexed="81"/>
            <rFont val="Tahoma"/>
            <family val="2"/>
          </rPr>
          <t>Gavin Mudd:</t>
        </r>
        <r>
          <rPr>
            <sz val="9"/>
            <color indexed="81"/>
            <rFont val="Tahoma"/>
            <family val="2"/>
          </rPr>
          <t xml:space="preserve">
assumes NSW Placer PGE prill split (USBoM 1924)</t>
        </r>
      </text>
    </comment>
    <comment ref="HH126" authorId="0" shapeId="0" xr:uid="{834A97E6-8EC8-4D74-87FD-CA4506DDC47B}">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6" authorId="0" shapeId="0" xr:uid="{6A3937E4-5814-4BE1-BEBF-6EEFF06EC071}">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6" authorId="0" shapeId="0" xr:uid="{83832968-4B41-4B0B-94E0-CDDDF90970A1}">
      <text>
        <r>
          <rPr>
            <b/>
            <sz val="9"/>
            <color indexed="81"/>
            <rFont val="Tahoma"/>
            <family val="2"/>
          </rPr>
          <t>Gavin Mudd:</t>
        </r>
        <r>
          <rPr>
            <sz val="9"/>
            <color indexed="81"/>
            <rFont val="Tahoma"/>
            <family val="2"/>
          </rPr>
          <t xml:space="preserve">
assumes TAS Placer Osmiridium prill split (USBoM 1924)</t>
        </r>
      </text>
    </comment>
    <comment ref="HK126" authorId="0" shapeId="0" xr:uid="{FB489E7F-AA09-4F73-A865-6EBF732C917E}">
      <text>
        <r>
          <rPr>
            <b/>
            <sz val="9"/>
            <color indexed="81"/>
            <rFont val="Tahoma"/>
            <family val="2"/>
          </rPr>
          <t>Gavin Mudd:</t>
        </r>
        <r>
          <rPr>
            <sz val="9"/>
            <color indexed="81"/>
            <rFont val="Tahoma"/>
            <family val="2"/>
          </rPr>
          <t xml:space="preserve">
assumes TAS Placer Osmiridium prill split (USBoM 1924)</t>
        </r>
      </text>
    </comment>
    <comment ref="EN127" authorId="0" shapeId="0" xr:uid="{DC1F27CE-5585-473C-A902-2D394E3CE9BC}">
      <text>
        <r>
          <rPr>
            <b/>
            <sz val="9"/>
            <color indexed="81"/>
            <rFont val="Tahoma"/>
            <family val="2"/>
          </rPr>
          <t>Gavin Mudd:</t>
        </r>
        <r>
          <rPr>
            <sz val="9"/>
            <color indexed="81"/>
            <rFont val="Tahoma"/>
            <family val="2"/>
          </rPr>
          <t xml:space="preserve">
assumes 20% of value for uranium, 80% for radium salts
- based on total value of £3,620 for 1911-1915</t>
        </r>
      </text>
    </comment>
    <comment ref="GX127" authorId="0" shapeId="0" xr:uid="{7865DC98-5C13-499E-A08C-A4E903EEC82F}">
      <text>
        <r>
          <rPr>
            <b/>
            <sz val="9"/>
            <color indexed="81"/>
            <rFont val="Tahoma"/>
            <family val="2"/>
          </rPr>
          <t>Gavin Mudd:</t>
        </r>
        <r>
          <rPr>
            <sz val="9"/>
            <color indexed="81"/>
            <rFont val="Tahoma"/>
            <family val="2"/>
          </rPr>
          <t xml:space="preserve">
assumes NSW Placer PGE prill split (USBoM 1924)</t>
        </r>
      </text>
    </comment>
    <comment ref="GY127" authorId="0" shapeId="0" xr:uid="{A938DDF4-B7B3-4C8F-9683-FA1D42CC5177}">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7" authorId="0" shapeId="0" xr:uid="{708408BA-E38C-42FF-B743-30848EFE378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7" authorId="0" shapeId="0" xr:uid="{87EFBFA3-1EBE-4D4F-AF44-FEE23125E0FF}">
      <text>
        <r>
          <rPr>
            <b/>
            <sz val="9"/>
            <color indexed="81"/>
            <rFont val="Tahoma"/>
            <family val="2"/>
          </rPr>
          <t>Gavin Mudd:</t>
        </r>
        <r>
          <rPr>
            <sz val="9"/>
            <color indexed="81"/>
            <rFont val="Tahoma"/>
            <family val="2"/>
          </rPr>
          <t xml:space="preserve">
assumes NSW Placer PGE prill split (USBoM 1924)</t>
        </r>
      </text>
    </comment>
    <comment ref="HH127" authorId="0" shapeId="0" xr:uid="{358BD3C7-AEFC-4C4F-9BF5-FD5314735CF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7" authorId="0" shapeId="0" xr:uid="{A628E172-ABAB-47D5-8C5A-4A408FD1E4C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7" authorId="0" shapeId="0" xr:uid="{91336E56-A638-4B58-955F-6EBB99826436}">
      <text>
        <r>
          <rPr>
            <b/>
            <sz val="9"/>
            <color indexed="81"/>
            <rFont val="Tahoma"/>
            <family val="2"/>
          </rPr>
          <t>Gavin Mudd:</t>
        </r>
        <r>
          <rPr>
            <sz val="9"/>
            <color indexed="81"/>
            <rFont val="Tahoma"/>
            <family val="2"/>
          </rPr>
          <t xml:space="preserve">
assumes TAS Placer Osmiridium prill split (USBoM 1924)</t>
        </r>
      </text>
    </comment>
    <comment ref="HK127" authorId="0" shapeId="0" xr:uid="{FFFF4ACD-807E-40E1-B8BA-AD85A488E58F}">
      <text>
        <r>
          <rPr>
            <b/>
            <sz val="9"/>
            <color indexed="81"/>
            <rFont val="Tahoma"/>
            <family val="2"/>
          </rPr>
          <t>Gavin Mudd:</t>
        </r>
        <r>
          <rPr>
            <sz val="9"/>
            <color indexed="81"/>
            <rFont val="Tahoma"/>
            <family val="2"/>
          </rPr>
          <t xml:space="preserve">
assumes TAS Placer Osmiridium prill split (USBoM 1924)</t>
        </r>
      </text>
    </comment>
    <comment ref="GX128" authorId="0" shapeId="0" xr:uid="{FC7C8DB0-869F-4505-A585-BEE8C927159E}">
      <text>
        <r>
          <rPr>
            <b/>
            <sz val="9"/>
            <color indexed="81"/>
            <rFont val="Tahoma"/>
            <family val="2"/>
          </rPr>
          <t>Gavin Mudd:</t>
        </r>
        <r>
          <rPr>
            <sz val="9"/>
            <color indexed="81"/>
            <rFont val="Tahoma"/>
            <family val="2"/>
          </rPr>
          <t xml:space="preserve">
assumes NSW Placer PGE prill split (USBoM 1924)</t>
        </r>
      </text>
    </comment>
    <comment ref="GY128" authorId="0" shapeId="0" xr:uid="{93433B6C-E0E7-4E5A-9976-8BAC35827BE1}">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8" authorId="0" shapeId="0" xr:uid="{06A61487-678C-4E09-97B7-46B8362AA07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8" authorId="0" shapeId="0" xr:uid="{66F10371-BB03-4F6B-A720-D233C4D372F7}">
      <text>
        <r>
          <rPr>
            <b/>
            <sz val="9"/>
            <color indexed="81"/>
            <rFont val="Tahoma"/>
            <family val="2"/>
          </rPr>
          <t>Gavin Mudd:</t>
        </r>
        <r>
          <rPr>
            <sz val="9"/>
            <color indexed="81"/>
            <rFont val="Tahoma"/>
            <family val="2"/>
          </rPr>
          <t xml:space="preserve">
assumes NSW Placer PGE prill split (USBoM 1924)</t>
        </r>
      </text>
    </comment>
    <comment ref="HH128" authorId="0" shapeId="0" xr:uid="{8690ECB2-2659-4B9B-8F18-436E6518029B}">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8" authorId="0" shapeId="0" xr:uid="{D5B64F17-40FA-49AF-9C13-641535728532}">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8" authorId="0" shapeId="0" xr:uid="{021214C8-C46B-4511-98DF-8EF0979A98BD}">
      <text>
        <r>
          <rPr>
            <b/>
            <sz val="9"/>
            <color indexed="81"/>
            <rFont val="Tahoma"/>
            <family val="2"/>
          </rPr>
          <t>Gavin Mudd:</t>
        </r>
        <r>
          <rPr>
            <sz val="9"/>
            <color indexed="81"/>
            <rFont val="Tahoma"/>
            <family val="2"/>
          </rPr>
          <t xml:space="preserve">
assumes TAS Placer Osmiridium prill split (USBoM 1924)</t>
        </r>
      </text>
    </comment>
    <comment ref="HK128" authorId="0" shapeId="0" xr:uid="{D3257C76-58A1-4530-BFC9-7BAF05C26077}">
      <text>
        <r>
          <rPr>
            <b/>
            <sz val="9"/>
            <color indexed="81"/>
            <rFont val="Tahoma"/>
            <family val="2"/>
          </rPr>
          <t>Gavin Mudd:</t>
        </r>
        <r>
          <rPr>
            <sz val="9"/>
            <color indexed="81"/>
            <rFont val="Tahoma"/>
            <family val="2"/>
          </rPr>
          <t xml:space="preserve">
assumes TAS Placer Osmiridium prill split (USBoM 1924)</t>
        </r>
      </text>
    </comment>
    <comment ref="GS129" authorId="0" shapeId="0" xr:uid="{40672939-D8B4-4CF2-B8F2-EC185D75840E}">
      <text>
        <r>
          <rPr>
            <b/>
            <sz val="9"/>
            <color indexed="81"/>
            <rFont val="Tahoma"/>
            <family val="2"/>
          </rPr>
          <t>Gavin Mudd:</t>
        </r>
        <r>
          <rPr>
            <sz val="9"/>
            <color indexed="81"/>
            <rFont val="Tahoma"/>
            <family val="2"/>
          </rPr>
          <t xml:space="preserve">
assumed</t>
        </r>
      </text>
    </comment>
    <comment ref="GX129" authorId="0" shapeId="0" xr:uid="{1FCD5160-8A22-4818-B2DB-16405098F521}">
      <text>
        <r>
          <rPr>
            <b/>
            <sz val="9"/>
            <color indexed="81"/>
            <rFont val="Tahoma"/>
            <family val="2"/>
          </rPr>
          <t>Gavin Mudd:</t>
        </r>
        <r>
          <rPr>
            <sz val="9"/>
            <color indexed="81"/>
            <rFont val="Tahoma"/>
            <family val="2"/>
          </rPr>
          <t xml:space="preserve">
assumes NSW Placer PGE prill split (USBoM 1924)</t>
        </r>
      </text>
    </comment>
    <comment ref="GY129" authorId="0" shapeId="0" xr:uid="{9D805A7D-9C0E-4FE7-9496-330FF5D984E6}">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29" authorId="0" shapeId="0" xr:uid="{97C67324-44E5-43AD-BAF6-0D464561B1B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29" authorId="0" shapeId="0" xr:uid="{2E9AD209-5013-492E-B2CC-0567CFEBE9D6}">
      <text>
        <r>
          <rPr>
            <b/>
            <sz val="9"/>
            <color indexed="81"/>
            <rFont val="Tahoma"/>
            <family val="2"/>
          </rPr>
          <t>Gavin Mudd:</t>
        </r>
        <r>
          <rPr>
            <sz val="9"/>
            <color indexed="81"/>
            <rFont val="Tahoma"/>
            <family val="2"/>
          </rPr>
          <t xml:space="preserve">
assumes NSW Placer PGE prill split (USBoM 1924)</t>
        </r>
      </text>
    </comment>
    <comment ref="HH129" authorId="0" shapeId="0" xr:uid="{BED7BC84-4A9D-438F-9B95-8B5AD4BE37B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29" authorId="0" shapeId="0" xr:uid="{BDAF9A5F-AC75-4834-870C-3CA933A9AEC1}">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29" authorId="0" shapeId="0" xr:uid="{6DEEAF1B-2ACF-4743-83E1-F8C9A477688B}">
      <text>
        <r>
          <rPr>
            <b/>
            <sz val="9"/>
            <color indexed="81"/>
            <rFont val="Tahoma"/>
            <family val="2"/>
          </rPr>
          <t>Gavin Mudd:</t>
        </r>
        <r>
          <rPr>
            <sz val="9"/>
            <color indexed="81"/>
            <rFont val="Tahoma"/>
            <family val="2"/>
          </rPr>
          <t xml:space="preserve">
assumes TAS Placer Osmiridium prill split (USBoM 1924)</t>
        </r>
      </text>
    </comment>
    <comment ref="HK129" authorId="0" shapeId="0" xr:uid="{6E84E330-7642-4CEA-A471-6DF75F917733}">
      <text>
        <r>
          <rPr>
            <b/>
            <sz val="9"/>
            <color indexed="81"/>
            <rFont val="Tahoma"/>
            <family val="2"/>
          </rPr>
          <t>Gavin Mudd:</t>
        </r>
        <r>
          <rPr>
            <sz val="9"/>
            <color indexed="81"/>
            <rFont val="Tahoma"/>
            <family val="2"/>
          </rPr>
          <t xml:space="preserve">
assumes TAS Placer Osmiridium prill split (USBoM 1924)</t>
        </r>
      </text>
    </comment>
    <comment ref="GX130" authorId="0" shapeId="0" xr:uid="{DE8158E0-24BF-4156-9E9D-2CBA84AA7231}">
      <text>
        <r>
          <rPr>
            <b/>
            <sz val="9"/>
            <color indexed="81"/>
            <rFont val="Tahoma"/>
            <family val="2"/>
          </rPr>
          <t>Gavin Mudd:</t>
        </r>
        <r>
          <rPr>
            <sz val="9"/>
            <color indexed="81"/>
            <rFont val="Tahoma"/>
            <family val="2"/>
          </rPr>
          <t xml:space="preserve">
assumes NSW Placer PGE prill split (USBoM 1924)</t>
        </r>
      </text>
    </comment>
    <comment ref="GY130" authorId="0" shapeId="0" xr:uid="{E2DE1C32-AED3-44CE-8AD5-E2AE729206D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0" authorId="0" shapeId="0" xr:uid="{FF503805-0A2A-4646-8632-BFA18314C5E5}">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0" authorId="0" shapeId="0" xr:uid="{5F27D95A-EBE4-4D8A-8D29-84EBD64320E7}">
      <text>
        <r>
          <rPr>
            <b/>
            <sz val="9"/>
            <color indexed="81"/>
            <rFont val="Tahoma"/>
            <family val="2"/>
          </rPr>
          <t>Gavin Mudd:</t>
        </r>
        <r>
          <rPr>
            <sz val="9"/>
            <color indexed="81"/>
            <rFont val="Tahoma"/>
            <family val="2"/>
          </rPr>
          <t xml:space="preserve">
assumes NSW Placer PGE prill split (USBoM 1924)</t>
        </r>
      </text>
    </comment>
    <comment ref="HH130" authorId="0" shapeId="0" xr:uid="{8A3A0060-8F16-44A7-9613-0B56D873B893}">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0" authorId="0" shapeId="0" xr:uid="{C91D4C52-60E4-40B3-B65F-9DDC251ECC04}">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0" authorId="0" shapeId="0" xr:uid="{2DF2E7A5-456D-4150-942A-043C79B1D66F}">
      <text>
        <r>
          <rPr>
            <b/>
            <sz val="9"/>
            <color indexed="81"/>
            <rFont val="Tahoma"/>
            <family val="2"/>
          </rPr>
          <t>Gavin Mudd:</t>
        </r>
        <r>
          <rPr>
            <sz val="9"/>
            <color indexed="81"/>
            <rFont val="Tahoma"/>
            <family val="2"/>
          </rPr>
          <t xml:space="preserve">
assumes TAS Placer Osmiridium prill split (USBoM 1924)</t>
        </r>
      </text>
    </comment>
    <comment ref="HK130" authorId="0" shapeId="0" xr:uid="{EFE4D22A-6B74-4475-97AE-511D4005A341}">
      <text>
        <r>
          <rPr>
            <b/>
            <sz val="9"/>
            <color indexed="81"/>
            <rFont val="Tahoma"/>
            <family val="2"/>
          </rPr>
          <t>Gavin Mudd:</t>
        </r>
        <r>
          <rPr>
            <sz val="9"/>
            <color indexed="81"/>
            <rFont val="Tahoma"/>
            <family val="2"/>
          </rPr>
          <t xml:space="preserve">
assumes TAS Placer Osmiridium prill split (USBoM 1924)</t>
        </r>
      </text>
    </comment>
    <comment ref="GS131" authorId="0" shapeId="0" xr:uid="{DD111E9E-7EBF-4F6C-B47A-4CC4ED7F57C8}">
      <text>
        <r>
          <rPr>
            <b/>
            <sz val="9"/>
            <color indexed="81"/>
            <rFont val="Tahoma"/>
            <family val="2"/>
          </rPr>
          <t>Gavin Mudd:</t>
        </r>
        <r>
          <rPr>
            <sz val="9"/>
            <color indexed="81"/>
            <rFont val="Tahoma"/>
            <family val="2"/>
          </rPr>
          <t xml:space="preserve">
assumed</t>
        </r>
      </text>
    </comment>
    <comment ref="GX131" authorId="0" shapeId="0" xr:uid="{FE11EA2E-B661-4D58-9E44-F7348BD43257}">
      <text>
        <r>
          <rPr>
            <b/>
            <sz val="9"/>
            <color indexed="81"/>
            <rFont val="Tahoma"/>
            <family val="2"/>
          </rPr>
          <t>Gavin Mudd:</t>
        </r>
        <r>
          <rPr>
            <sz val="9"/>
            <color indexed="81"/>
            <rFont val="Tahoma"/>
            <family val="2"/>
          </rPr>
          <t xml:space="preserve">
assumes NSW Placer PGE prill split (USBoM 1924)</t>
        </r>
      </text>
    </comment>
    <comment ref="GY131" authorId="0" shapeId="0" xr:uid="{CDAE58E7-18DA-4FDF-8BA4-184B6D033CCC}">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1" authorId="0" shapeId="0" xr:uid="{667C638D-F5E4-4F12-8606-D94432BBE0F5}">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1" authorId="0" shapeId="0" xr:uid="{57B8D7BB-AA9B-4860-8F4E-E028BE2AC56A}">
      <text>
        <r>
          <rPr>
            <b/>
            <sz val="9"/>
            <color indexed="81"/>
            <rFont val="Tahoma"/>
            <family val="2"/>
          </rPr>
          <t>Gavin Mudd:</t>
        </r>
        <r>
          <rPr>
            <sz val="9"/>
            <color indexed="81"/>
            <rFont val="Tahoma"/>
            <family val="2"/>
          </rPr>
          <t xml:space="preserve">
assumes NSW Placer PGE prill split (USBoM 1924)</t>
        </r>
      </text>
    </comment>
    <comment ref="HH131" authorId="0" shapeId="0" xr:uid="{E9B78849-6637-4027-8711-7041701D684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1" authorId="0" shapeId="0" xr:uid="{BF373C5A-DAEC-4D62-B553-896C8E6E2123}">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1" authorId="0" shapeId="0" xr:uid="{FCC48882-FE0B-4927-8312-BB154E8E9877}">
      <text>
        <r>
          <rPr>
            <b/>
            <sz val="9"/>
            <color indexed="81"/>
            <rFont val="Tahoma"/>
            <family val="2"/>
          </rPr>
          <t>Gavin Mudd:</t>
        </r>
        <r>
          <rPr>
            <sz val="9"/>
            <color indexed="81"/>
            <rFont val="Tahoma"/>
            <family val="2"/>
          </rPr>
          <t xml:space="preserve">
assumes TAS Placer Osmiridium prill split (USBoM 1924)</t>
        </r>
      </text>
    </comment>
    <comment ref="HK131" authorId="0" shapeId="0" xr:uid="{4AB76866-71C4-474F-ABE8-1E3FB93B1C60}">
      <text>
        <r>
          <rPr>
            <b/>
            <sz val="9"/>
            <color indexed="81"/>
            <rFont val="Tahoma"/>
            <family val="2"/>
          </rPr>
          <t>Gavin Mudd:</t>
        </r>
        <r>
          <rPr>
            <sz val="9"/>
            <color indexed="81"/>
            <rFont val="Tahoma"/>
            <family val="2"/>
          </rPr>
          <t xml:space="preserve">
assumes TAS Placer Osmiridium prill split (USBoM 1924)</t>
        </r>
      </text>
    </comment>
    <comment ref="GS132" authorId="0" shapeId="0" xr:uid="{2A8E6B67-5D9F-42BC-80FE-8AE30E6BF937}">
      <text>
        <r>
          <rPr>
            <b/>
            <sz val="9"/>
            <color indexed="81"/>
            <rFont val="Tahoma"/>
            <family val="2"/>
          </rPr>
          <t>Gavin Mudd:</t>
        </r>
        <r>
          <rPr>
            <sz val="9"/>
            <color indexed="81"/>
            <rFont val="Tahoma"/>
            <family val="2"/>
          </rPr>
          <t xml:space="preserve">
assumed</t>
        </r>
      </text>
    </comment>
    <comment ref="GX132" authorId="0" shapeId="0" xr:uid="{895666B4-E4FC-4488-ACD5-C9DD8D44C02D}">
      <text>
        <r>
          <rPr>
            <b/>
            <sz val="9"/>
            <color indexed="81"/>
            <rFont val="Tahoma"/>
            <family val="2"/>
          </rPr>
          <t>Gavin Mudd:</t>
        </r>
        <r>
          <rPr>
            <sz val="9"/>
            <color indexed="81"/>
            <rFont val="Tahoma"/>
            <family val="2"/>
          </rPr>
          <t xml:space="preserve">
assumes NSW Placer PGE prill split (USBoM 1924)</t>
        </r>
      </text>
    </comment>
    <comment ref="GY132" authorId="0" shapeId="0" xr:uid="{8FACDE4E-BCEC-40AA-A6EA-BB7992D3D77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2" authorId="0" shapeId="0" xr:uid="{9A4133E6-BE40-431D-A4EB-327F7FABC306}">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2" authorId="0" shapeId="0" xr:uid="{29C0C0E9-3098-46F0-8A39-652318FAEF36}">
      <text>
        <r>
          <rPr>
            <b/>
            <sz val="9"/>
            <color indexed="81"/>
            <rFont val="Tahoma"/>
            <family val="2"/>
          </rPr>
          <t>Gavin Mudd:</t>
        </r>
        <r>
          <rPr>
            <sz val="9"/>
            <color indexed="81"/>
            <rFont val="Tahoma"/>
            <family val="2"/>
          </rPr>
          <t xml:space="preserve">
assumes NSW Placer PGE prill split (USBoM 1924)</t>
        </r>
      </text>
    </comment>
    <comment ref="HH132" authorId="0" shapeId="0" xr:uid="{42A5751B-CD85-433D-9F03-4636CEEA3439}">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2" authorId="0" shapeId="0" xr:uid="{DCD9B432-6D69-4CA7-BD7A-84A7D2ADED01}">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2" authorId="0" shapeId="0" xr:uid="{D1191D56-B4E3-41F9-9C6B-68C214AB86AF}">
      <text>
        <r>
          <rPr>
            <b/>
            <sz val="9"/>
            <color indexed="81"/>
            <rFont val="Tahoma"/>
            <family val="2"/>
          </rPr>
          <t>Gavin Mudd:</t>
        </r>
        <r>
          <rPr>
            <sz val="9"/>
            <color indexed="81"/>
            <rFont val="Tahoma"/>
            <family val="2"/>
          </rPr>
          <t xml:space="preserve">
assumes TAS Placer Osmiridium prill split (USBoM 1924)</t>
        </r>
      </text>
    </comment>
    <comment ref="HK132" authorId="0" shapeId="0" xr:uid="{790C6E6E-944A-421C-928F-DB0B04801604}">
      <text>
        <r>
          <rPr>
            <b/>
            <sz val="9"/>
            <color indexed="81"/>
            <rFont val="Tahoma"/>
            <family val="2"/>
          </rPr>
          <t>Gavin Mudd:</t>
        </r>
        <r>
          <rPr>
            <sz val="9"/>
            <color indexed="81"/>
            <rFont val="Tahoma"/>
            <family val="2"/>
          </rPr>
          <t xml:space="preserve">
assumes TAS Placer Osmiridium prill split (USBoM 1924)</t>
        </r>
      </text>
    </comment>
    <comment ref="GS133" authorId="0" shapeId="0" xr:uid="{68E1DD43-9C7A-4DBE-A84F-29792F5961A9}">
      <text>
        <r>
          <rPr>
            <b/>
            <sz val="9"/>
            <color indexed="81"/>
            <rFont val="Tahoma"/>
            <family val="2"/>
          </rPr>
          <t>Gavin Mudd:</t>
        </r>
        <r>
          <rPr>
            <sz val="9"/>
            <color indexed="81"/>
            <rFont val="Tahoma"/>
            <family val="2"/>
          </rPr>
          <t xml:space="preserve">
assumed</t>
        </r>
      </text>
    </comment>
    <comment ref="GX133" authorId="0" shapeId="0" xr:uid="{E62F189F-EF25-4783-93FB-15FECAAA5941}">
      <text>
        <r>
          <rPr>
            <b/>
            <sz val="9"/>
            <color indexed="81"/>
            <rFont val="Tahoma"/>
            <family val="2"/>
          </rPr>
          <t>Gavin Mudd:</t>
        </r>
        <r>
          <rPr>
            <sz val="9"/>
            <color indexed="81"/>
            <rFont val="Tahoma"/>
            <family val="2"/>
          </rPr>
          <t xml:space="preserve">
assumes NSW Placer PGE prill split (USBoM 1924)</t>
        </r>
      </text>
    </comment>
    <comment ref="GY133" authorId="0" shapeId="0" xr:uid="{70A8AD7C-08A3-4755-9BCA-C7A11BB19F23}">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3" authorId="0" shapeId="0" xr:uid="{51FB2CFF-E187-4F2D-A01F-C51B23DF536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3" authorId="0" shapeId="0" xr:uid="{50353104-1918-4B5B-AC6E-6A33339DBB1F}">
      <text>
        <r>
          <rPr>
            <b/>
            <sz val="9"/>
            <color indexed="81"/>
            <rFont val="Tahoma"/>
            <family val="2"/>
          </rPr>
          <t>Gavin Mudd:</t>
        </r>
        <r>
          <rPr>
            <sz val="9"/>
            <color indexed="81"/>
            <rFont val="Tahoma"/>
            <family val="2"/>
          </rPr>
          <t xml:space="preserve">
assumes NSW Placer PGE prill split (USBoM 1924)</t>
        </r>
      </text>
    </comment>
    <comment ref="HH133" authorId="0" shapeId="0" xr:uid="{614FBB91-0027-4380-8D15-504DE227B2F7}">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3" authorId="0" shapeId="0" xr:uid="{0CEB5EE7-9379-443C-9470-821C8EF3335D}">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3" authorId="0" shapeId="0" xr:uid="{E8F50BCE-FE31-416C-8482-8EC8A330C190}">
      <text>
        <r>
          <rPr>
            <b/>
            <sz val="9"/>
            <color indexed="81"/>
            <rFont val="Tahoma"/>
            <family val="2"/>
          </rPr>
          <t>Gavin Mudd:</t>
        </r>
        <r>
          <rPr>
            <sz val="9"/>
            <color indexed="81"/>
            <rFont val="Tahoma"/>
            <family val="2"/>
          </rPr>
          <t xml:space="preserve">
assumes TAS Placer Osmiridium prill split (USBoM 1924)</t>
        </r>
      </text>
    </comment>
    <comment ref="HK133" authorId="0" shapeId="0" xr:uid="{E9EF5C54-C0CA-4040-A376-CD7D4F5950A8}">
      <text>
        <r>
          <rPr>
            <b/>
            <sz val="9"/>
            <color indexed="81"/>
            <rFont val="Tahoma"/>
            <family val="2"/>
          </rPr>
          <t>Gavin Mudd:</t>
        </r>
        <r>
          <rPr>
            <sz val="9"/>
            <color indexed="81"/>
            <rFont val="Tahoma"/>
            <family val="2"/>
          </rPr>
          <t xml:space="preserve">
assumes TAS Placer Osmiridium prill split (USBoM 1924)</t>
        </r>
      </text>
    </comment>
    <comment ref="GS134" authorId="0" shapeId="0" xr:uid="{4DE8A1F5-E335-46CF-9257-8C828AE16B60}">
      <text>
        <r>
          <rPr>
            <b/>
            <sz val="9"/>
            <color indexed="81"/>
            <rFont val="Tahoma"/>
            <family val="2"/>
          </rPr>
          <t>Gavin Mudd:</t>
        </r>
        <r>
          <rPr>
            <sz val="9"/>
            <color indexed="81"/>
            <rFont val="Tahoma"/>
            <family val="2"/>
          </rPr>
          <t xml:space="preserve">
assumed</t>
        </r>
      </text>
    </comment>
    <comment ref="GX134" authorId="0" shapeId="0" xr:uid="{6E03DB04-6613-4703-8AD9-3C4D53304922}">
      <text>
        <r>
          <rPr>
            <b/>
            <sz val="9"/>
            <color indexed="81"/>
            <rFont val="Tahoma"/>
            <family val="2"/>
          </rPr>
          <t>Gavin Mudd:</t>
        </r>
        <r>
          <rPr>
            <sz val="9"/>
            <color indexed="81"/>
            <rFont val="Tahoma"/>
            <family val="2"/>
          </rPr>
          <t xml:space="preserve">
assumes NSW Placer PGE prill split (USBoM 1924)</t>
        </r>
      </text>
    </comment>
    <comment ref="GY134" authorId="0" shapeId="0" xr:uid="{3E8D3A76-EA22-4D5A-8809-2ADCECD0B4AE}">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4" authorId="0" shapeId="0" xr:uid="{AD62A0E7-4621-44BC-9B50-E06A571EE6B9}">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4" authorId="0" shapeId="0" xr:uid="{F5CF20C7-EA07-4104-BDED-47C63862D805}">
      <text>
        <r>
          <rPr>
            <b/>
            <sz val="9"/>
            <color indexed="81"/>
            <rFont val="Tahoma"/>
            <family val="2"/>
          </rPr>
          <t>Gavin Mudd:</t>
        </r>
        <r>
          <rPr>
            <sz val="9"/>
            <color indexed="81"/>
            <rFont val="Tahoma"/>
            <family val="2"/>
          </rPr>
          <t xml:space="preserve">
assumes NSW Placer PGE prill split (USBoM 1924)</t>
        </r>
      </text>
    </comment>
    <comment ref="HH134" authorId="0" shapeId="0" xr:uid="{B2D05908-F85A-4637-A4DA-562B13E414E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4" authorId="0" shapeId="0" xr:uid="{1D3DD5BE-8E69-4D1A-A0AF-0D085C1324F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4" authorId="0" shapeId="0" xr:uid="{24A418AC-7DEB-412F-A569-01950D2398E1}">
      <text>
        <r>
          <rPr>
            <b/>
            <sz val="9"/>
            <color indexed="81"/>
            <rFont val="Tahoma"/>
            <family val="2"/>
          </rPr>
          <t>Gavin Mudd:</t>
        </r>
        <r>
          <rPr>
            <sz val="9"/>
            <color indexed="81"/>
            <rFont val="Tahoma"/>
            <family val="2"/>
          </rPr>
          <t xml:space="preserve">
assumes TAS Placer Osmiridium prill split (USBoM 1924)</t>
        </r>
      </text>
    </comment>
    <comment ref="HK134" authorId="0" shapeId="0" xr:uid="{270F6583-594D-466F-89FC-D17896AA9CA3}">
      <text>
        <r>
          <rPr>
            <b/>
            <sz val="9"/>
            <color indexed="81"/>
            <rFont val="Tahoma"/>
            <family val="2"/>
          </rPr>
          <t>Gavin Mudd:</t>
        </r>
        <r>
          <rPr>
            <sz val="9"/>
            <color indexed="81"/>
            <rFont val="Tahoma"/>
            <family val="2"/>
          </rPr>
          <t xml:space="preserve">
assumes TAS Placer Osmiridium prill split (USBoM 1924)</t>
        </r>
      </text>
    </comment>
    <comment ref="GS135" authorId="0" shapeId="0" xr:uid="{A1E5C54E-A9A8-4E04-9B78-1D81657A272A}">
      <text>
        <r>
          <rPr>
            <b/>
            <sz val="9"/>
            <color indexed="81"/>
            <rFont val="Tahoma"/>
            <family val="2"/>
          </rPr>
          <t>Gavin Mudd:</t>
        </r>
        <r>
          <rPr>
            <sz val="9"/>
            <color indexed="81"/>
            <rFont val="Tahoma"/>
            <family val="2"/>
          </rPr>
          <t xml:space="preserve">
assumed</t>
        </r>
      </text>
    </comment>
    <comment ref="GX135" authorId="0" shapeId="0" xr:uid="{0882B961-DEE8-4D30-BEF0-0E4454B6A7CB}">
      <text>
        <r>
          <rPr>
            <b/>
            <sz val="9"/>
            <color indexed="81"/>
            <rFont val="Tahoma"/>
            <family val="2"/>
          </rPr>
          <t>Gavin Mudd:</t>
        </r>
        <r>
          <rPr>
            <sz val="9"/>
            <color indexed="81"/>
            <rFont val="Tahoma"/>
            <family val="2"/>
          </rPr>
          <t xml:space="preserve">
assumes NSW Placer PGE prill split (USBoM 1924)</t>
        </r>
      </text>
    </comment>
    <comment ref="GY135" authorId="0" shapeId="0" xr:uid="{5733B79C-67DD-4DF6-8482-8016E37D3BA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5" authorId="0" shapeId="0" xr:uid="{BF4DEFC3-2500-40BE-BC12-180494FD92B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5" authorId="0" shapeId="0" xr:uid="{AF451E88-9F61-4424-A437-FF41F8178FF3}">
      <text>
        <r>
          <rPr>
            <b/>
            <sz val="9"/>
            <color indexed="81"/>
            <rFont val="Tahoma"/>
            <family val="2"/>
          </rPr>
          <t>Gavin Mudd:</t>
        </r>
        <r>
          <rPr>
            <sz val="9"/>
            <color indexed="81"/>
            <rFont val="Tahoma"/>
            <family val="2"/>
          </rPr>
          <t xml:space="preserve">
assumes NSW Placer PGE prill split (USBoM 1924)</t>
        </r>
      </text>
    </comment>
    <comment ref="HH135" authorId="0" shapeId="0" xr:uid="{E28023E0-7945-4B84-84AE-6B372798530A}">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5" authorId="0" shapeId="0" xr:uid="{8127F92F-F9C4-444B-B4C4-8C85892BE1AA}">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5" authorId="0" shapeId="0" xr:uid="{4C9374F7-1318-4757-ACCF-460BD413C779}">
      <text>
        <r>
          <rPr>
            <b/>
            <sz val="9"/>
            <color indexed="81"/>
            <rFont val="Tahoma"/>
            <family val="2"/>
          </rPr>
          <t>Gavin Mudd:</t>
        </r>
        <r>
          <rPr>
            <sz val="9"/>
            <color indexed="81"/>
            <rFont val="Tahoma"/>
            <family val="2"/>
          </rPr>
          <t xml:space="preserve">
assumes TAS Placer Osmiridium prill split (USBoM 1924)</t>
        </r>
      </text>
    </comment>
    <comment ref="HK135" authorId="0" shapeId="0" xr:uid="{267448BC-0F80-4EBF-B2EB-E36FC029C22B}">
      <text>
        <r>
          <rPr>
            <b/>
            <sz val="9"/>
            <color indexed="81"/>
            <rFont val="Tahoma"/>
            <family val="2"/>
          </rPr>
          <t>Gavin Mudd:</t>
        </r>
        <r>
          <rPr>
            <sz val="9"/>
            <color indexed="81"/>
            <rFont val="Tahoma"/>
            <family val="2"/>
          </rPr>
          <t xml:space="preserve">
assumes TAS Placer Osmiridium prill split (USBoM 1924)</t>
        </r>
      </text>
    </comment>
    <comment ref="GS136" authorId="0" shapeId="0" xr:uid="{1734688F-7800-4700-B806-2CA1026A685F}">
      <text>
        <r>
          <rPr>
            <b/>
            <sz val="9"/>
            <color indexed="81"/>
            <rFont val="Tahoma"/>
            <family val="2"/>
          </rPr>
          <t>Gavin Mudd:</t>
        </r>
        <r>
          <rPr>
            <sz val="9"/>
            <color indexed="81"/>
            <rFont val="Tahoma"/>
            <family val="2"/>
          </rPr>
          <t xml:space="preserve">
assumed</t>
        </r>
      </text>
    </comment>
    <comment ref="GX136" authorId="0" shapeId="0" xr:uid="{E23FCD54-E77C-46F0-95A4-B3D5C0536E04}">
      <text>
        <r>
          <rPr>
            <b/>
            <sz val="9"/>
            <color indexed="81"/>
            <rFont val="Tahoma"/>
            <family val="2"/>
          </rPr>
          <t>Gavin Mudd:</t>
        </r>
        <r>
          <rPr>
            <sz val="9"/>
            <color indexed="81"/>
            <rFont val="Tahoma"/>
            <family val="2"/>
          </rPr>
          <t xml:space="preserve">
assumes NSW Placer PGE prill split (USBoM 1924)</t>
        </r>
      </text>
    </comment>
    <comment ref="GY136" authorId="0" shapeId="0" xr:uid="{30199B7C-B2EE-4669-865F-C7F1E6416FE5}">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6" authorId="0" shapeId="0" xr:uid="{820CA1BC-43C0-4827-AD1B-338A3AD44E7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6" authorId="0" shapeId="0" xr:uid="{5043B4D1-4BBA-4315-963B-8B0F57120336}">
      <text>
        <r>
          <rPr>
            <b/>
            <sz val="9"/>
            <color indexed="81"/>
            <rFont val="Tahoma"/>
            <family val="2"/>
          </rPr>
          <t>Gavin Mudd:</t>
        </r>
        <r>
          <rPr>
            <sz val="9"/>
            <color indexed="81"/>
            <rFont val="Tahoma"/>
            <family val="2"/>
          </rPr>
          <t xml:space="preserve">
assumes NSW Placer PGE prill split (USBoM 1924)</t>
        </r>
      </text>
    </comment>
    <comment ref="HH136" authorId="0" shapeId="0" xr:uid="{014140B5-B5C5-4F65-B76F-DF07CE6EA47B}">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6" authorId="0" shapeId="0" xr:uid="{8CFB2C09-6A00-4908-81AB-793A0A28F71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6" authorId="0" shapeId="0" xr:uid="{027D61C8-0FC7-4FF8-B8FD-925DF01F87B3}">
      <text>
        <r>
          <rPr>
            <b/>
            <sz val="9"/>
            <color indexed="81"/>
            <rFont val="Tahoma"/>
            <family val="2"/>
          </rPr>
          <t>Gavin Mudd:</t>
        </r>
        <r>
          <rPr>
            <sz val="9"/>
            <color indexed="81"/>
            <rFont val="Tahoma"/>
            <family val="2"/>
          </rPr>
          <t xml:space="preserve">
assumes TAS Placer Osmiridium prill split (USBoM 1924)</t>
        </r>
      </text>
    </comment>
    <comment ref="HK136" authorId="0" shapeId="0" xr:uid="{7BA3859E-8EE9-47EE-A4B7-97D5372C02B7}">
      <text>
        <r>
          <rPr>
            <b/>
            <sz val="9"/>
            <color indexed="81"/>
            <rFont val="Tahoma"/>
            <family val="2"/>
          </rPr>
          <t>Gavin Mudd:</t>
        </r>
        <r>
          <rPr>
            <sz val="9"/>
            <color indexed="81"/>
            <rFont val="Tahoma"/>
            <family val="2"/>
          </rPr>
          <t xml:space="preserve">
assumes TAS Placer Osmiridium prill split (USBoM 1924)</t>
        </r>
      </text>
    </comment>
    <comment ref="EN137" authorId="0" shapeId="0" xr:uid="{2D8879AE-8410-4F7A-A476-6B43AA2AC53A}">
      <text>
        <r>
          <rPr>
            <b/>
            <sz val="9"/>
            <color indexed="81"/>
            <rFont val="Tahoma"/>
            <family val="2"/>
          </rPr>
          <t>Gavin Mudd:</t>
        </r>
        <r>
          <rPr>
            <sz val="9"/>
            <color indexed="81"/>
            <rFont val="Tahoma"/>
            <family val="2"/>
          </rPr>
          <t xml:space="preserve">
assumes 20% of value for uranium, 80% for radium salts</t>
        </r>
      </text>
    </comment>
    <comment ref="GS137" authorId="0" shapeId="0" xr:uid="{0FEAA7B0-BF64-4C7C-948A-20D15F36E970}">
      <text>
        <r>
          <rPr>
            <b/>
            <sz val="9"/>
            <color indexed="81"/>
            <rFont val="Tahoma"/>
            <family val="2"/>
          </rPr>
          <t>Gavin Mudd:</t>
        </r>
        <r>
          <rPr>
            <sz val="9"/>
            <color indexed="81"/>
            <rFont val="Tahoma"/>
            <family val="2"/>
          </rPr>
          <t xml:space="preserve">
assumed</t>
        </r>
      </text>
    </comment>
    <comment ref="GX137" authorId="0" shapeId="0" xr:uid="{5EAB4E7B-803A-425F-8E51-D6D4CF1174B3}">
      <text>
        <r>
          <rPr>
            <b/>
            <sz val="9"/>
            <color indexed="81"/>
            <rFont val="Tahoma"/>
            <family val="2"/>
          </rPr>
          <t>Gavin Mudd:</t>
        </r>
        <r>
          <rPr>
            <sz val="9"/>
            <color indexed="81"/>
            <rFont val="Tahoma"/>
            <family val="2"/>
          </rPr>
          <t xml:space="preserve">
assumes NSW Placer PGE prill split (USBoM 1924)</t>
        </r>
      </text>
    </comment>
    <comment ref="GY137" authorId="0" shapeId="0" xr:uid="{C19EEC32-B4CD-4168-88DB-D8DAA3569EA7}">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7" authorId="0" shapeId="0" xr:uid="{D1C135ED-EB38-4F5C-BAD1-726888481A0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7" authorId="0" shapeId="0" xr:uid="{4FD7A700-9FF7-48A0-B8FA-4653DF45E5F7}">
      <text>
        <r>
          <rPr>
            <b/>
            <sz val="9"/>
            <color indexed="81"/>
            <rFont val="Tahoma"/>
            <family val="2"/>
          </rPr>
          <t>Gavin Mudd:</t>
        </r>
        <r>
          <rPr>
            <sz val="9"/>
            <color indexed="81"/>
            <rFont val="Tahoma"/>
            <family val="2"/>
          </rPr>
          <t xml:space="preserve">
assumes NSW Placer PGE prill split (USBoM 1924)</t>
        </r>
      </text>
    </comment>
    <comment ref="HH137" authorId="0" shapeId="0" xr:uid="{5C7427B7-F7C7-49B1-A1C4-5E84B34B0641}">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7" authorId="0" shapeId="0" xr:uid="{635D1952-2F65-4BC8-8C99-1A7A4B9BDF4B}">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7" authorId="0" shapeId="0" xr:uid="{4A87C587-9D60-4BD8-B292-E5309376D042}">
      <text>
        <r>
          <rPr>
            <b/>
            <sz val="9"/>
            <color indexed="81"/>
            <rFont val="Tahoma"/>
            <family val="2"/>
          </rPr>
          <t>Gavin Mudd:</t>
        </r>
        <r>
          <rPr>
            <sz val="9"/>
            <color indexed="81"/>
            <rFont val="Tahoma"/>
            <family val="2"/>
          </rPr>
          <t xml:space="preserve">
assumes TAS Placer Osmiridium prill split (USBoM 1924)</t>
        </r>
      </text>
    </comment>
    <comment ref="HK137" authorId="0" shapeId="0" xr:uid="{64F9777B-DE65-4919-9CDD-7BEDF1A5C94F}">
      <text>
        <r>
          <rPr>
            <b/>
            <sz val="9"/>
            <color indexed="81"/>
            <rFont val="Tahoma"/>
            <family val="2"/>
          </rPr>
          <t>Gavin Mudd:</t>
        </r>
        <r>
          <rPr>
            <sz val="9"/>
            <color indexed="81"/>
            <rFont val="Tahoma"/>
            <family val="2"/>
          </rPr>
          <t xml:space="preserve">
assumes TAS Placer Osmiridium prill split (USBoM 1924)</t>
        </r>
      </text>
    </comment>
    <comment ref="GS138" authorId="0" shapeId="0" xr:uid="{37AC9B07-06AC-47AC-994E-A48374716D3F}">
      <text>
        <r>
          <rPr>
            <b/>
            <sz val="9"/>
            <color indexed="81"/>
            <rFont val="Tahoma"/>
            <family val="2"/>
          </rPr>
          <t>Gavin Mudd:</t>
        </r>
        <r>
          <rPr>
            <sz val="9"/>
            <color indexed="81"/>
            <rFont val="Tahoma"/>
            <family val="2"/>
          </rPr>
          <t xml:space="preserve">
assumed</t>
        </r>
      </text>
    </comment>
    <comment ref="GX138" authorId="0" shapeId="0" xr:uid="{60714933-FF56-43F9-AC7F-6E2C64706152}">
      <text>
        <r>
          <rPr>
            <b/>
            <sz val="9"/>
            <color indexed="81"/>
            <rFont val="Tahoma"/>
            <family val="2"/>
          </rPr>
          <t>Gavin Mudd:</t>
        </r>
        <r>
          <rPr>
            <sz val="9"/>
            <color indexed="81"/>
            <rFont val="Tahoma"/>
            <family val="2"/>
          </rPr>
          <t xml:space="preserve">
assumes NSW Placer PGE prill split (USBoM 1924)</t>
        </r>
      </text>
    </comment>
    <comment ref="GY138" authorId="0" shapeId="0" xr:uid="{5CDA4B12-43BD-4C83-9450-07A2A9ACB09C}">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8" authorId="0" shapeId="0" xr:uid="{A041970B-A6AE-4BD4-AC3F-93E3DB9D530B}">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8" authorId="0" shapeId="0" xr:uid="{FCE06F9A-53E7-4CE0-A7AB-168DDE3CF4E8}">
      <text>
        <r>
          <rPr>
            <b/>
            <sz val="9"/>
            <color indexed="81"/>
            <rFont val="Tahoma"/>
            <family val="2"/>
          </rPr>
          <t>Gavin Mudd:</t>
        </r>
        <r>
          <rPr>
            <sz val="9"/>
            <color indexed="81"/>
            <rFont val="Tahoma"/>
            <family val="2"/>
          </rPr>
          <t xml:space="preserve">
assumes NSW Placer PGE prill split (USBoM 1924)</t>
        </r>
      </text>
    </comment>
    <comment ref="HH138" authorId="0" shapeId="0" xr:uid="{73060B95-BBC3-4FB7-B497-2C01540F4AE1}">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8" authorId="0" shapeId="0" xr:uid="{C8B750D9-36E6-4FA8-B2C4-18DA6888FB9D}">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8" authorId="0" shapeId="0" xr:uid="{A7C2ED75-C4E5-49F1-9F3C-7D360521AB3F}">
      <text>
        <r>
          <rPr>
            <b/>
            <sz val="9"/>
            <color indexed="81"/>
            <rFont val="Tahoma"/>
            <family val="2"/>
          </rPr>
          <t>Gavin Mudd:</t>
        </r>
        <r>
          <rPr>
            <sz val="9"/>
            <color indexed="81"/>
            <rFont val="Tahoma"/>
            <family val="2"/>
          </rPr>
          <t xml:space="preserve">
assumes TAS Placer Osmiridium prill split (USBoM 1924)</t>
        </r>
      </text>
    </comment>
    <comment ref="HK138" authorId="0" shapeId="0" xr:uid="{D514060D-0DD7-4A86-BE81-D5C0BE28D210}">
      <text>
        <r>
          <rPr>
            <b/>
            <sz val="9"/>
            <color indexed="81"/>
            <rFont val="Tahoma"/>
            <family val="2"/>
          </rPr>
          <t>Gavin Mudd:</t>
        </r>
        <r>
          <rPr>
            <sz val="9"/>
            <color indexed="81"/>
            <rFont val="Tahoma"/>
            <family val="2"/>
          </rPr>
          <t xml:space="preserve">
assumes TAS Placer Osmiridium prill split (USBoM 1924)</t>
        </r>
      </text>
    </comment>
    <comment ref="EN139" authorId="0" shapeId="0" xr:uid="{4B690556-E9D0-4B04-9D1F-1C12187AFAAB}">
      <text>
        <r>
          <rPr>
            <b/>
            <sz val="9"/>
            <color indexed="81"/>
            <rFont val="Tahoma"/>
            <family val="2"/>
          </rPr>
          <t>Gavin Mudd:</t>
        </r>
        <r>
          <rPr>
            <sz val="9"/>
            <color indexed="81"/>
            <rFont val="Tahoma"/>
            <family val="2"/>
          </rPr>
          <t xml:space="preserve">
assumes 20% of value for uranium, 80% for radium salts</t>
        </r>
      </text>
    </comment>
    <comment ref="GS139" authorId="0" shapeId="0" xr:uid="{1EBAC49D-25C3-4B80-9686-CE42F33A1034}">
      <text>
        <r>
          <rPr>
            <b/>
            <sz val="9"/>
            <color indexed="81"/>
            <rFont val="Tahoma"/>
            <family val="2"/>
          </rPr>
          <t>Gavin Mudd:</t>
        </r>
        <r>
          <rPr>
            <sz val="9"/>
            <color indexed="81"/>
            <rFont val="Tahoma"/>
            <family val="2"/>
          </rPr>
          <t xml:space="preserve">
assumed</t>
        </r>
      </text>
    </comment>
    <comment ref="GX139" authorId="0" shapeId="0" xr:uid="{358BC987-6D7C-4F4F-96D8-91F96D09B928}">
      <text>
        <r>
          <rPr>
            <b/>
            <sz val="9"/>
            <color indexed="81"/>
            <rFont val="Tahoma"/>
            <family val="2"/>
          </rPr>
          <t>Gavin Mudd:</t>
        </r>
        <r>
          <rPr>
            <sz val="9"/>
            <color indexed="81"/>
            <rFont val="Tahoma"/>
            <family val="2"/>
          </rPr>
          <t xml:space="preserve">
assumes NSW Placer PGE prill split (USBoM 1924)</t>
        </r>
      </text>
    </comment>
    <comment ref="GY139" authorId="0" shapeId="0" xr:uid="{2516052B-B2AA-41E8-94EB-E45DA71A18C5}">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39" authorId="0" shapeId="0" xr:uid="{EBA94CE9-9EFC-40CA-9622-F7496AA0520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39" authorId="0" shapeId="0" xr:uid="{48F9A443-C001-4FF5-88A9-6C0AED25D141}">
      <text>
        <r>
          <rPr>
            <b/>
            <sz val="9"/>
            <color indexed="81"/>
            <rFont val="Tahoma"/>
            <family val="2"/>
          </rPr>
          <t>Gavin Mudd:</t>
        </r>
        <r>
          <rPr>
            <sz val="9"/>
            <color indexed="81"/>
            <rFont val="Tahoma"/>
            <family val="2"/>
          </rPr>
          <t xml:space="preserve">
assumes NSW Placer PGE prill split (USBoM 1924)</t>
        </r>
      </text>
    </comment>
    <comment ref="HH139" authorId="0" shapeId="0" xr:uid="{C964E3ED-5056-47E0-8923-3EC259A745B7}">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39" authorId="0" shapeId="0" xr:uid="{DBF412A1-1EDB-4A37-B1BA-6DB2BA54FEAA}">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39" authorId="0" shapeId="0" xr:uid="{C36DC7ED-D736-4565-9A6A-151819406303}">
      <text>
        <r>
          <rPr>
            <b/>
            <sz val="9"/>
            <color indexed="81"/>
            <rFont val="Tahoma"/>
            <family val="2"/>
          </rPr>
          <t>Gavin Mudd:</t>
        </r>
        <r>
          <rPr>
            <sz val="9"/>
            <color indexed="81"/>
            <rFont val="Tahoma"/>
            <family val="2"/>
          </rPr>
          <t xml:space="preserve">
assumes TAS Placer Osmiridium prill split (USBoM 1924)</t>
        </r>
      </text>
    </comment>
    <comment ref="HK139" authorId="0" shapeId="0" xr:uid="{9D55CB19-1263-4D0D-A8F7-115D4C4D36A9}">
      <text>
        <r>
          <rPr>
            <b/>
            <sz val="9"/>
            <color indexed="81"/>
            <rFont val="Tahoma"/>
            <family val="2"/>
          </rPr>
          <t>Gavin Mudd:</t>
        </r>
        <r>
          <rPr>
            <sz val="9"/>
            <color indexed="81"/>
            <rFont val="Tahoma"/>
            <family val="2"/>
          </rPr>
          <t xml:space="preserve">
assumes TAS Placer Osmiridium prill split (USBoM 1924)</t>
        </r>
      </text>
    </comment>
    <comment ref="GS140" authorId="0" shapeId="0" xr:uid="{2AF80D0D-2BD1-42EC-B39F-5BDE0E780B1A}">
      <text>
        <r>
          <rPr>
            <b/>
            <sz val="9"/>
            <color indexed="81"/>
            <rFont val="Tahoma"/>
            <family val="2"/>
          </rPr>
          <t>Gavin Mudd:</t>
        </r>
        <r>
          <rPr>
            <sz val="9"/>
            <color indexed="81"/>
            <rFont val="Tahoma"/>
            <family val="2"/>
          </rPr>
          <t xml:space="preserve">
assumed</t>
        </r>
      </text>
    </comment>
    <comment ref="GX140" authorId="0" shapeId="0" xr:uid="{FD7EFDB4-58C5-40EE-BBC7-00C6000437AD}">
      <text>
        <r>
          <rPr>
            <b/>
            <sz val="9"/>
            <color indexed="81"/>
            <rFont val="Tahoma"/>
            <family val="2"/>
          </rPr>
          <t>Gavin Mudd:</t>
        </r>
        <r>
          <rPr>
            <sz val="9"/>
            <color indexed="81"/>
            <rFont val="Tahoma"/>
            <family val="2"/>
          </rPr>
          <t xml:space="preserve">
assumes NSW Placer PGE prill split (USBoM 1924)</t>
        </r>
      </text>
    </comment>
    <comment ref="GY140" authorId="0" shapeId="0" xr:uid="{073E161F-155E-4607-ABFE-CCA41E8BF7DB}">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0" authorId="0" shapeId="0" xr:uid="{13D8D924-9895-489F-9E4E-38F2560CE6FB}">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0" authorId="0" shapeId="0" xr:uid="{B2D9A614-48D9-4FB2-BC03-4102083F510C}">
      <text>
        <r>
          <rPr>
            <b/>
            <sz val="9"/>
            <color indexed="81"/>
            <rFont val="Tahoma"/>
            <family val="2"/>
          </rPr>
          <t>Gavin Mudd:</t>
        </r>
        <r>
          <rPr>
            <sz val="9"/>
            <color indexed="81"/>
            <rFont val="Tahoma"/>
            <family val="2"/>
          </rPr>
          <t xml:space="preserve">
assumes NSW Placer PGE prill split (USBoM 1924)</t>
        </r>
      </text>
    </comment>
    <comment ref="HH140" authorId="0" shapeId="0" xr:uid="{DF93A3AF-DE64-4DE3-836D-69C2D3022C9F}">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0" authorId="0" shapeId="0" xr:uid="{FF2A8430-C1A2-4080-B093-1E43B4C1B10B}">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0" authorId="0" shapeId="0" xr:uid="{C64EAC8D-0B9C-4786-B4F1-7C8FCBD8F57B}">
      <text>
        <r>
          <rPr>
            <b/>
            <sz val="9"/>
            <color indexed="81"/>
            <rFont val="Tahoma"/>
            <family val="2"/>
          </rPr>
          <t>Gavin Mudd:</t>
        </r>
        <r>
          <rPr>
            <sz val="9"/>
            <color indexed="81"/>
            <rFont val="Tahoma"/>
            <family val="2"/>
          </rPr>
          <t xml:space="preserve">
assumes TAS Placer Osmiridium prill split (USBoM 1924)</t>
        </r>
      </text>
    </comment>
    <comment ref="HK140" authorId="0" shapeId="0" xr:uid="{6C5AEA7E-2318-44C5-B8F3-8E6B92102AB3}">
      <text>
        <r>
          <rPr>
            <b/>
            <sz val="9"/>
            <color indexed="81"/>
            <rFont val="Tahoma"/>
            <family val="2"/>
          </rPr>
          <t>Gavin Mudd:</t>
        </r>
        <r>
          <rPr>
            <sz val="9"/>
            <color indexed="81"/>
            <rFont val="Tahoma"/>
            <family val="2"/>
          </rPr>
          <t xml:space="preserve">
assumes TAS Placer Osmiridium prill split (USBoM 1924)</t>
        </r>
      </text>
    </comment>
    <comment ref="GS141" authorId="0" shapeId="0" xr:uid="{3A14EB68-931B-4A05-8CEE-4755C231A6E9}">
      <text>
        <r>
          <rPr>
            <b/>
            <sz val="9"/>
            <color indexed="81"/>
            <rFont val="Tahoma"/>
            <family val="2"/>
          </rPr>
          <t>Gavin Mudd:</t>
        </r>
        <r>
          <rPr>
            <sz val="9"/>
            <color indexed="81"/>
            <rFont val="Tahoma"/>
            <family val="2"/>
          </rPr>
          <t xml:space="preserve">
assumed</t>
        </r>
      </text>
    </comment>
    <comment ref="GX141" authorId="0" shapeId="0" xr:uid="{AFC5ADDD-B4BE-4689-9108-697FEA324DC6}">
      <text>
        <r>
          <rPr>
            <b/>
            <sz val="9"/>
            <color indexed="81"/>
            <rFont val="Tahoma"/>
            <family val="2"/>
          </rPr>
          <t>Gavin Mudd:</t>
        </r>
        <r>
          <rPr>
            <sz val="9"/>
            <color indexed="81"/>
            <rFont val="Tahoma"/>
            <family val="2"/>
          </rPr>
          <t xml:space="preserve">
assumes NSW Placer PGE prill split (USBoM 1924)</t>
        </r>
      </text>
    </comment>
    <comment ref="GY141" authorId="0" shapeId="0" xr:uid="{638B570B-73D8-4A6E-A911-FDACF1152CEC}">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1" authorId="0" shapeId="0" xr:uid="{F9AD2658-A86B-4EFC-A665-8ED5660188C2}">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1" authorId="0" shapeId="0" xr:uid="{D32C559E-B080-45FD-921F-E932457A4A10}">
      <text>
        <r>
          <rPr>
            <b/>
            <sz val="9"/>
            <color indexed="81"/>
            <rFont val="Tahoma"/>
            <family val="2"/>
          </rPr>
          <t>Gavin Mudd:</t>
        </r>
        <r>
          <rPr>
            <sz val="9"/>
            <color indexed="81"/>
            <rFont val="Tahoma"/>
            <family val="2"/>
          </rPr>
          <t xml:space="preserve">
assumes NSW Placer PGE prill split (USBoM 1924)</t>
        </r>
      </text>
    </comment>
    <comment ref="HH141" authorId="0" shapeId="0" xr:uid="{1721C03F-6861-4456-BE1D-37BE72C2F8B2}">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1" authorId="0" shapeId="0" xr:uid="{3504D906-18BB-44C3-9A77-F7482C0227DB}">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1" authorId="0" shapeId="0" xr:uid="{990B668D-E367-4A87-90AB-79759CC14A09}">
      <text>
        <r>
          <rPr>
            <b/>
            <sz val="9"/>
            <color indexed="81"/>
            <rFont val="Tahoma"/>
            <family val="2"/>
          </rPr>
          <t>Gavin Mudd:</t>
        </r>
        <r>
          <rPr>
            <sz val="9"/>
            <color indexed="81"/>
            <rFont val="Tahoma"/>
            <family val="2"/>
          </rPr>
          <t xml:space="preserve">
assumes TAS Placer Osmiridium prill split (USBoM 1924)</t>
        </r>
      </text>
    </comment>
    <comment ref="HK141" authorId="0" shapeId="0" xr:uid="{9DF22412-7177-44C5-868A-5BA3726D29E2}">
      <text>
        <r>
          <rPr>
            <b/>
            <sz val="9"/>
            <color indexed="81"/>
            <rFont val="Tahoma"/>
            <family val="2"/>
          </rPr>
          <t>Gavin Mudd:</t>
        </r>
        <r>
          <rPr>
            <sz val="9"/>
            <color indexed="81"/>
            <rFont val="Tahoma"/>
            <family val="2"/>
          </rPr>
          <t xml:space="preserve">
assumes TAS Placer Osmiridium prill split (USBoM 1924)</t>
        </r>
      </text>
    </comment>
    <comment ref="GS142" authorId="0" shapeId="0" xr:uid="{5808A11D-8C11-4B86-808E-EB90C8D56918}">
      <text>
        <r>
          <rPr>
            <b/>
            <sz val="9"/>
            <color indexed="81"/>
            <rFont val="Tahoma"/>
            <family val="2"/>
          </rPr>
          <t>Gavin Mudd:</t>
        </r>
        <r>
          <rPr>
            <sz val="9"/>
            <color indexed="81"/>
            <rFont val="Tahoma"/>
            <family val="2"/>
          </rPr>
          <t xml:space="preserve">
assumed</t>
        </r>
      </text>
    </comment>
    <comment ref="GX142" authorId="0" shapeId="0" xr:uid="{1D8A380D-D876-496A-92C5-BAA5ABCFE17A}">
      <text>
        <r>
          <rPr>
            <b/>
            <sz val="9"/>
            <color indexed="81"/>
            <rFont val="Tahoma"/>
            <family val="2"/>
          </rPr>
          <t>Gavin Mudd:</t>
        </r>
        <r>
          <rPr>
            <sz val="9"/>
            <color indexed="81"/>
            <rFont val="Tahoma"/>
            <family val="2"/>
          </rPr>
          <t xml:space="preserve">
assumes NSW Placer PGE prill split (USBoM 1924)</t>
        </r>
      </text>
    </comment>
    <comment ref="GY142" authorId="0" shapeId="0" xr:uid="{BC85E750-A109-4E0A-80FF-5CA8AEC27C1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2" authorId="0" shapeId="0" xr:uid="{4EC566B9-649D-4A1E-B397-883D3634184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2" authorId="0" shapeId="0" xr:uid="{D6F3A187-99EB-4F97-96FB-07B832A693F4}">
      <text>
        <r>
          <rPr>
            <b/>
            <sz val="9"/>
            <color indexed="81"/>
            <rFont val="Tahoma"/>
            <family val="2"/>
          </rPr>
          <t>Gavin Mudd:</t>
        </r>
        <r>
          <rPr>
            <sz val="9"/>
            <color indexed="81"/>
            <rFont val="Tahoma"/>
            <family val="2"/>
          </rPr>
          <t xml:space="preserve">
assumes NSW Placer PGE prill split (USBoM 1924)</t>
        </r>
      </text>
    </comment>
    <comment ref="HH142" authorId="0" shapeId="0" xr:uid="{38BDEB99-05B4-4E4F-A521-261724426B5D}">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2" authorId="0" shapeId="0" xr:uid="{FFC0D0E5-97E7-4F61-B5C2-0C88D623B2B3}">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2" authorId="0" shapeId="0" xr:uid="{175095B7-BC52-4FAB-8643-6ABC9EDF1C92}">
      <text>
        <r>
          <rPr>
            <b/>
            <sz val="9"/>
            <color indexed="81"/>
            <rFont val="Tahoma"/>
            <family val="2"/>
          </rPr>
          <t>Gavin Mudd:</t>
        </r>
        <r>
          <rPr>
            <sz val="9"/>
            <color indexed="81"/>
            <rFont val="Tahoma"/>
            <family val="2"/>
          </rPr>
          <t xml:space="preserve">
assumes TAS Placer Osmiridium prill split (USBoM 1924)</t>
        </r>
      </text>
    </comment>
    <comment ref="HK142" authorId="0" shapeId="0" xr:uid="{248FD4BC-4139-4656-A94A-59D2DF205566}">
      <text>
        <r>
          <rPr>
            <b/>
            <sz val="9"/>
            <color indexed="81"/>
            <rFont val="Tahoma"/>
            <family val="2"/>
          </rPr>
          <t>Gavin Mudd:</t>
        </r>
        <r>
          <rPr>
            <sz val="9"/>
            <color indexed="81"/>
            <rFont val="Tahoma"/>
            <family val="2"/>
          </rPr>
          <t xml:space="preserve">
assumes TAS Placer Osmiridium prill split (USBoM 1924)</t>
        </r>
      </text>
    </comment>
    <comment ref="GS143" authorId="0" shapeId="0" xr:uid="{B952054D-790C-49E6-85ED-73548C9E598E}">
      <text>
        <r>
          <rPr>
            <b/>
            <sz val="9"/>
            <color indexed="81"/>
            <rFont val="Tahoma"/>
            <family val="2"/>
          </rPr>
          <t>Gavin Mudd:</t>
        </r>
        <r>
          <rPr>
            <sz val="9"/>
            <color indexed="81"/>
            <rFont val="Tahoma"/>
            <family val="2"/>
          </rPr>
          <t xml:space="preserve">
assumed</t>
        </r>
      </text>
    </comment>
    <comment ref="GX143" authorId="0" shapeId="0" xr:uid="{679505D4-7152-4699-B441-BE95567E5F02}">
      <text>
        <r>
          <rPr>
            <b/>
            <sz val="9"/>
            <color indexed="81"/>
            <rFont val="Tahoma"/>
            <family val="2"/>
          </rPr>
          <t>Gavin Mudd:</t>
        </r>
        <r>
          <rPr>
            <sz val="9"/>
            <color indexed="81"/>
            <rFont val="Tahoma"/>
            <family val="2"/>
          </rPr>
          <t xml:space="preserve">
assumes NSW Placer PGE prill split (USBoM 1924)</t>
        </r>
      </text>
    </comment>
    <comment ref="GY143" authorId="0" shapeId="0" xr:uid="{031F7E8B-2BA9-46C5-846E-49F32E60F7E9}">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3" authorId="0" shapeId="0" xr:uid="{9BC01F3B-61A6-4B5E-B49F-62C4C83E04FC}">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3" authorId="0" shapeId="0" xr:uid="{031BA387-AF60-4F96-ADE9-A5260D341A69}">
      <text>
        <r>
          <rPr>
            <b/>
            <sz val="9"/>
            <color indexed="81"/>
            <rFont val="Tahoma"/>
            <family val="2"/>
          </rPr>
          <t>Gavin Mudd:</t>
        </r>
        <r>
          <rPr>
            <sz val="9"/>
            <color indexed="81"/>
            <rFont val="Tahoma"/>
            <family val="2"/>
          </rPr>
          <t xml:space="preserve">
assumes NSW Placer PGE prill split (USBoM 1924)</t>
        </r>
      </text>
    </comment>
    <comment ref="HH143" authorId="0" shapeId="0" xr:uid="{D4A3DC18-FCFD-4147-9EC1-5BDB64C0AFE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3" authorId="0" shapeId="0" xr:uid="{02AF3F09-A131-44E7-8A1C-DA203A33EF6A}">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3" authorId="0" shapeId="0" xr:uid="{D3EEDEFF-5E4A-4912-A36A-994DC367BC91}">
      <text>
        <r>
          <rPr>
            <b/>
            <sz val="9"/>
            <color indexed="81"/>
            <rFont val="Tahoma"/>
            <family val="2"/>
          </rPr>
          <t>Gavin Mudd:</t>
        </r>
        <r>
          <rPr>
            <sz val="9"/>
            <color indexed="81"/>
            <rFont val="Tahoma"/>
            <family val="2"/>
          </rPr>
          <t xml:space="preserve">
assumes TAS Placer Osmiridium prill split (USBoM 1924)</t>
        </r>
      </text>
    </comment>
    <comment ref="HK143" authorId="0" shapeId="0" xr:uid="{6777DC58-A145-4D4D-B323-6B990F9506E9}">
      <text>
        <r>
          <rPr>
            <b/>
            <sz val="9"/>
            <color indexed="81"/>
            <rFont val="Tahoma"/>
            <family val="2"/>
          </rPr>
          <t>Gavin Mudd:</t>
        </r>
        <r>
          <rPr>
            <sz val="9"/>
            <color indexed="81"/>
            <rFont val="Tahoma"/>
            <family val="2"/>
          </rPr>
          <t xml:space="preserve">
assumes TAS Placer Osmiridium prill split (USBoM 1924)</t>
        </r>
      </text>
    </comment>
    <comment ref="EN144" authorId="0" shapeId="0" xr:uid="{1E717453-F740-4708-9448-0D1C5C594592}">
      <text>
        <r>
          <rPr>
            <b/>
            <sz val="9"/>
            <color indexed="81"/>
            <rFont val="Tahoma"/>
            <family val="2"/>
          </rPr>
          <t>Gavin Mudd:</t>
        </r>
        <r>
          <rPr>
            <sz val="9"/>
            <color indexed="81"/>
            <rFont val="Tahoma"/>
            <family val="2"/>
          </rPr>
          <t xml:space="preserve">
assumes 20% of value for uranium, 80% for radium salts</t>
        </r>
      </text>
    </comment>
    <comment ref="GS144" authorId="0" shapeId="0" xr:uid="{BC5EFCF9-230D-46BC-B9D7-87C69D5E2F56}">
      <text>
        <r>
          <rPr>
            <b/>
            <sz val="9"/>
            <color indexed="81"/>
            <rFont val="Tahoma"/>
            <family val="2"/>
          </rPr>
          <t>Gavin Mudd:</t>
        </r>
        <r>
          <rPr>
            <sz val="9"/>
            <color indexed="81"/>
            <rFont val="Tahoma"/>
            <family val="2"/>
          </rPr>
          <t xml:space="preserve">
assumed</t>
        </r>
      </text>
    </comment>
    <comment ref="GX144" authorId="0" shapeId="0" xr:uid="{9478698A-E5A1-4148-A88B-0AA75E3CE48A}">
      <text>
        <r>
          <rPr>
            <b/>
            <sz val="9"/>
            <color indexed="81"/>
            <rFont val="Tahoma"/>
            <family val="2"/>
          </rPr>
          <t>Gavin Mudd:</t>
        </r>
        <r>
          <rPr>
            <sz val="9"/>
            <color indexed="81"/>
            <rFont val="Tahoma"/>
            <family val="2"/>
          </rPr>
          <t xml:space="preserve">
assumes NSW Placer PGE prill split (USBoM 1924)</t>
        </r>
      </text>
    </comment>
    <comment ref="GY144" authorId="0" shapeId="0" xr:uid="{24DE7EEE-ED17-4C9E-A065-61E9E1F414C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4" authorId="0" shapeId="0" xr:uid="{60316C86-65CF-420A-B28B-D149474DE575}">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4" authorId="0" shapeId="0" xr:uid="{C91BC801-D0B7-41DE-A87A-204648C64DE0}">
      <text>
        <r>
          <rPr>
            <b/>
            <sz val="9"/>
            <color indexed="81"/>
            <rFont val="Tahoma"/>
            <family val="2"/>
          </rPr>
          <t>Gavin Mudd:</t>
        </r>
        <r>
          <rPr>
            <sz val="9"/>
            <color indexed="81"/>
            <rFont val="Tahoma"/>
            <family val="2"/>
          </rPr>
          <t xml:space="preserve">
assumes NSW Placer PGE prill split (USBoM 1924)</t>
        </r>
      </text>
    </comment>
    <comment ref="HH144" authorId="0" shapeId="0" xr:uid="{1A340552-D945-47FD-A865-ABB91617F2A4}">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4" authorId="0" shapeId="0" xr:uid="{E804EAF2-FE1A-414D-BA92-C8B651BBECF0}">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4" authorId="0" shapeId="0" xr:uid="{A3078003-7244-4345-930C-0BF1D8709554}">
      <text>
        <r>
          <rPr>
            <b/>
            <sz val="9"/>
            <color indexed="81"/>
            <rFont val="Tahoma"/>
            <family val="2"/>
          </rPr>
          <t>Gavin Mudd:</t>
        </r>
        <r>
          <rPr>
            <sz val="9"/>
            <color indexed="81"/>
            <rFont val="Tahoma"/>
            <family val="2"/>
          </rPr>
          <t xml:space="preserve">
assumes TAS Placer Osmiridium prill split (USBoM 1924)</t>
        </r>
      </text>
    </comment>
    <comment ref="HK144" authorId="0" shapeId="0" xr:uid="{DB1B29DF-E479-47EA-BE86-1024766BB932}">
      <text>
        <r>
          <rPr>
            <b/>
            <sz val="9"/>
            <color indexed="81"/>
            <rFont val="Tahoma"/>
            <family val="2"/>
          </rPr>
          <t>Gavin Mudd:</t>
        </r>
        <r>
          <rPr>
            <sz val="9"/>
            <color indexed="81"/>
            <rFont val="Tahoma"/>
            <family val="2"/>
          </rPr>
          <t xml:space="preserve">
assumes TAS Placer Osmiridium prill split (USBoM 1924)</t>
        </r>
      </text>
    </comment>
    <comment ref="GS145" authorId="0" shapeId="0" xr:uid="{5704705F-E0C4-432E-8DBC-BE5A9FA55783}">
      <text>
        <r>
          <rPr>
            <b/>
            <sz val="9"/>
            <color indexed="81"/>
            <rFont val="Tahoma"/>
            <family val="2"/>
          </rPr>
          <t>Gavin Mudd:</t>
        </r>
        <r>
          <rPr>
            <sz val="9"/>
            <color indexed="81"/>
            <rFont val="Tahoma"/>
            <family val="2"/>
          </rPr>
          <t xml:space="preserve">
assumed</t>
        </r>
      </text>
    </comment>
    <comment ref="GX145" authorId="0" shapeId="0" xr:uid="{B22CBA3C-1F02-4856-9027-A0D5D3356A7B}">
      <text>
        <r>
          <rPr>
            <b/>
            <sz val="9"/>
            <color indexed="81"/>
            <rFont val="Tahoma"/>
            <family val="2"/>
          </rPr>
          <t>Gavin Mudd:</t>
        </r>
        <r>
          <rPr>
            <sz val="9"/>
            <color indexed="81"/>
            <rFont val="Tahoma"/>
            <family val="2"/>
          </rPr>
          <t xml:space="preserve">
assumes NSW Placer PGE prill split (USBoM 1924)</t>
        </r>
      </text>
    </comment>
    <comment ref="GY145" authorId="0" shapeId="0" xr:uid="{87C7A035-FB44-4AB4-906B-B728833972E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5" authorId="0" shapeId="0" xr:uid="{84790139-2AFA-4BF7-95ED-6D695E2BCC02}">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5" authorId="0" shapeId="0" xr:uid="{CC1E68E2-860A-42E3-8907-D66ED6F126CF}">
      <text>
        <r>
          <rPr>
            <b/>
            <sz val="9"/>
            <color indexed="81"/>
            <rFont val="Tahoma"/>
            <family val="2"/>
          </rPr>
          <t>Gavin Mudd:</t>
        </r>
        <r>
          <rPr>
            <sz val="9"/>
            <color indexed="81"/>
            <rFont val="Tahoma"/>
            <family val="2"/>
          </rPr>
          <t xml:space="preserve">
assumes NSW Placer PGE prill split (USBoM 1924)</t>
        </r>
      </text>
    </comment>
    <comment ref="HH145" authorId="0" shapeId="0" xr:uid="{E77BA57A-2FE0-405B-A23C-6AA715663F27}">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5" authorId="0" shapeId="0" xr:uid="{5D188B9C-90F8-4102-B733-E10E6D6FF0EE}">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5" authorId="0" shapeId="0" xr:uid="{E2ADB571-2BC5-418E-8826-C0DA61CD6130}">
      <text>
        <r>
          <rPr>
            <b/>
            <sz val="9"/>
            <color indexed="81"/>
            <rFont val="Tahoma"/>
            <family val="2"/>
          </rPr>
          <t>Gavin Mudd:</t>
        </r>
        <r>
          <rPr>
            <sz val="9"/>
            <color indexed="81"/>
            <rFont val="Tahoma"/>
            <family val="2"/>
          </rPr>
          <t xml:space="preserve">
assumes TAS Placer Osmiridium prill split (USBoM 1924)</t>
        </r>
      </text>
    </comment>
    <comment ref="HK145" authorId="0" shapeId="0" xr:uid="{77C39EBB-40F9-48AC-8DCE-E10AE2A857A2}">
      <text>
        <r>
          <rPr>
            <b/>
            <sz val="9"/>
            <color indexed="81"/>
            <rFont val="Tahoma"/>
            <family val="2"/>
          </rPr>
          <t>Gavin Mudd:</t>
        </r>
        <r>
          <rPr>
            <sz val="9"/>
            <color indexed="81"/>
            <rFont val="Tahoma"/>
            <family val="2"/>
          </rPr>
          <t xml:space="preserve">
assumes TAS Placer Osmiridium prill split (USBoM 1924)</t>
        </r>
      </text>
    </comment>
    <comment ref="GS146" authorId="0" shapeId="0" xr:uid="{C87F4EFD-5740-4592-B2D9-A5AA97945ABF}">
      <text>
        <r>
          <rPr>
            <b/>
            <sz val="9"/>
            <color indexed="81"/>
            <rFont val="Tahoma"/>
            <family val="2"/>
          </rPr>
          <t>Gavin Mudd:</t>
        </r>
        <r>
          <rPr>
            <sz val="9"/>
            <color indexed="81"/>
            <rFont val="Tahoma"/>
            <family val="2"/>
          </rPr>
          <t xml:space="preserve">
assumed</t>
        </r>
      </text>
    </comment>
    <comment ref="GX146" authorId="0" shapeId="0" xr:uid="{69F4E0F6-87F8-43C8-AA13-E97C3BD4B4AA}">
      <text>
        <r>
          <rPr>
            <b/>
            <sz val="9"/>
            <color indexed="81"/>
            <rFont val="Tahoma"/>
            <family val="2"/>
          </rPr>
          <t>Gavin Mudd:</t>
        </r>
        <r>
          <rPr>
            <sz val="9"/>
            <color indexed="81"/>
            <rFont val="Tahoma"/>
            <family val="2"/>
          </rPr>
          <t xml:space="preserve">
assumes NSW Placer PGE prill split (USBoM 1924)</t>
        </r>
      </text>
    </comment>
    <comment ref="GY146" authorId="0" shapeId="0" xr:uid="{55A6259D-B47D-4869-BA8C-02C95F161D42}">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6" authorId="0" shapeId="0" xr:uid="{E3EE14DB-77C8-4085-8F5A-F1277DEDB9DA}">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6" authorId="0" shapeId="0" xr:uid="{304DFF18-45EA-4763-A343-0BB1DB6FD3A8}">
      <text>
        <r>
          <rPr>
            <b/>
            <sz val="9"/>
            <color indexed="81"/>
            <rFont val="Tahoma"/>
            <family val="2"/>
          </rPr>
          <t>Gavin Mudd:</t>
        </r>
        <r>
          <rPr>
            <sz val="9"/>
            <color indexed="81"/>
            <rFont val="Tahoma"/>
            <family val="2"/>
          </rPr>
          <t xml:space="preserve">
assumes NSW Placer PGE prill split (USBoM 1924)</t>
        </r>
      </text>
    </comment>
    <comment ref="HH146" authorId="0" shapeId="0" xr:uid="{982E06DE-9D3C-4B2E-A131-28368939BCEA}">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6" authorId="0" shapeId="0" xr:uid="{4DAF65D8-DDDD-472F-B9AA-AAE18D10AD7D}">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6" authorId="0" shapeId="0" xr:uid="{E82B23D2-5317-4B5A-815B-C9F37D50AD85}">
      <text>
        <r>
          <rPr>
            <b/>
            <sz val="9"/>
            <color indexed="81"/>
            <rFont val="Tahoma"/>
            <family val="2"/>
          </rPr>
          <t>Gavin Mudd:</t>
        </r>
        <r>
          <rPr>
            <sz val="9"/>
            <color indexed="81"/>
            <rFont val="Tahoma"/>
            <family val="2"/>
          </rPr>
          <t xml:space="preserve">
assumes TAS Placer Osmiridium prill split (USBoM 1924)</t>
        </r>
      </text>
    </comment>
    <comment ref="HK146" authorId="0" shapeId="0" xr:uid="{66C4AA30-BD0F-43AE-9FD3-C91C3019242F}">
      <text>
        <r>
          <rPr>
            <b/>
            <sz val="9"/>
            <color indexed="81"/>
            <rFont val="Tahoma"/>
            <family val="2"/>
          </rPr>
          <t>Gavin Mudd:</t>
        </r>
        <r>
          <rPr>
            <sz val="9"/>
            <color indexed="81"/>
            <rFont val="Tahoma"/>
            <family val="2"/>
          </rPr>
          <t xml:space="preserve">
assumes TAS Placer Osmiridium prill split (USBoM 1924)</t>
        </r>
      </text>
    </comment>
    <comment ref="GS147" authorId="0" shapeId="0" xr:uid="{E29171F0-22E6-4C06-8398-211634253298}">
      <text>
        <r>
          <rPr>
            <b/>
            <sz val="9"/>
            <color indexed="81"/>
            <rFont val="Tahoma"/>
            <family val="2"/>
          </rPr>
          <t>Gavin Mudd:</t>
        </r>
        <r>
          <rPr>
            <sz val="9"/>
            <color indexed="81"/>
            <rFont val="Tahoma"/>
            <family val="2"/>
          </rPr>
          <t xml:space="preserve">
assumed</t>
        </r>
      </text>
    </comment>
    <comment ref="GX147" authorId="0" shapeId="0" xr:uid="{C7F1B6F1-48D4-4F2F-BCB6-28F126CAACCF}">
      <text>
        <r>
          <rPr>
            <b/>
            <sz val="9"/>
            <color indexed="81"/>
            <rFont val="Tahoma"/>
            <family val="2"/>
          </rPr>
          <t>Gavin Mudd:</t>
        </r>
        <r>
          <rPr>
            <sz val="9"/>
            <color indexed="81"/>
            <rFont val="Tahoma"/>
            <family val="2"/>
          </rPr>
          <t xml:space="preserve">
assumes NSW Placer PGE prill split (USBoM 1924)</t>
        </r>
      </text>
    </comment>
    <comment ref="GY147" authorId="0" shapeId="0" xr:uid="{68984A64-506B-4378-A744-CE2BE8E99399}">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7" authorId="0" shapeId="0" xr:uid="{796C859A-6D1D-49F7-AD7F-1E9EC7C9B8A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7" authorId="0" shapeId="0" xr:uid="{6D207C02-4DF6-4370-8AB6-3B4C8BBBF1D1}">
      <text>
        <r>
          <rPr>
            <b/>
            <sz val="9"/>
            <color indexed="81"/>
            <rFont val="Tahoma"/>
            <family val="2"/>
          </rPr>
          <t>Gavin Mudd:</t>
        </r>
        <r>
          <rPr>
            <sz val="9"/>
            <color indexed="81"/>
            <rFont val="Tahoma"/>
            <family val="2"/>
          </rPr>
          <t xml:space="preserve">
assumes NSW Placer PGE prill split (USBoM 1924)</t>
        </r>
      </text>
    </comment>
    <comment ref="HH147" authorId="0" shapeId="0" xr:uid="{D3B0EDB9-3C4E-4049-BD5B-2A821567A016}">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7" authorId="0" shapeId="0" xr:uid="{CD6FEEE0-89AA-4E2D-B424-01EBB29348B0}">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7" authorId="0" shapeId="0" xr:uid="{F259B97F-8B73-48F8-B7B6-0568EA72E2CB}">
      <text>
        <r>
          <rPr>
            <b/>
            <sz val="9"/>
            <color indexed="81"/>
            <rFont val="Tahoma"/>
            <family val="2"/>
          </rPr>
          <t>Gavin Mudd:</t>
        </r>
        <r>
          <rPr>
            <sz val="9"/>
            <color indexed="81"/>
            <rFont val="Tahoma"/>
            <family val="2"/>
          </rPr>
          <t xml:space="preserve">
assumes TAS Placer Osmiridium prill split (USBoM 1924)</t>
        </r>
      </text>
    </comment>
    <comment ref="HK147" authorId="0" shapeId="0" xr:uid="{5779521A-D5F0-46A0-8F8A-D1FCF9751DEE}">
      <text>
        <r>
          <rPr>
            <b/>
            <sz val="9"/>
            <color indexed="81"/>
            <rFont val="Tahoma"/>
            <family val="2"/>
          </rPr>
          <t>Gavin Mudd:</t>
        </r>
        <r>
          <rPr>
            <sz val="9"/>
            <color indexed="81"/>
            <rFont val="Tahoma"/>
            <family val="2"/>
          </rPr>
          <t xml:space="preserve">
assumes TAS Placer Osmiridium prill split (USBoM 1924)</t>
        </r>
      </text>
    </comment>
    <comment ref="GS148" authorId="0" shapeId="0" xr:uid="{BD626414-A72F-4CC8-864F-EED748A9188D}">
      <text>
        <r>
          <rPr>
            <b/>
            <sz val="9"/>
            <color indexed="81"/>
            <rFont val="Tahoma"/>
            <family val="2"/>
          </rPr>
          <t>Gavin Mudd:</t>
        </r>
        <r>
          <rPr>
            <sz val="9"/>
            <color indexed="81"/>
            <rFont val="Tahoma"/>
            <family val="2"/>
          </rPr>
          <t xml:space="preserve">
assumed</t>
        </r>
      </text>
    </comment>
    <comment ref="GX148" authorId="0" shapeId="0" xr:uid="{5B934D29-E98D-4329-8AE0-BD83043FCF93}">
      <text>
        <r>
          <rPr>
            <b/>
            <sz val="9"/>
            <color indexed="81"/>
            <rFont val="Tahoma"/>
            <family val="2"/>
          </rPr>
          <t>Gavin Mudd:</t>
        </r>
        <r>
          <rPr>
            <sz val="9"/>
            <color indexed="81"/>
            <rFont val="Tahoma"/>
            <family val="2"/>
          </rPr>
          <t xml:space="preserve">
assumes NSW Placer PGE prill split (USBoM 1924)</t>
        </r>
      </text>
    </comment>
    <comment ref="GY148" authorId="0" shapeId="0" xr:uid="{AED85C85-2152-4953-9692-019566943D5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8" authorId="0" shapeId="0" xr:uid="{955ACF4C-8395-438C-9272-0973DB80654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8" authorId="0" shapeId="0" xr:uid="{45A961AC-61FB-4946-AE36-655C96CA287A}">
      <text>
        <r>
          <rPr>
            <b/>
            <sz val="9"/>
            <color indexed="81"/>
            <rFont val="Tahoma"/>
            <family val="2"/>
          </rPr>
          <t>Gavin Mudd:</t>
        </r>
        <r>
          <rPr>
            <sz val="9"/>
            <color indexed="81"/>
            <rFont val="Tahoma"/>
            <family val="2"/>
          </rPr>
          <t xml:space="preserve">
assumes NSW Placer PGE prill split (USBoM 1924)</t>
        </r>
      </text>
    </comment>
    <comment ref="HH148" authorId="0" shapeId="0" xr:uid="{19AD8FC8-4DEB-445D-A048-765DB2CC60C9}">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8" authorId="0" shapeId="0" xr:uid="{AE7131FC-EAFE-4C24-8F08-266A0F45C672}">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8" authorId="0" shapeId="0" xr:uid="{1EEE4D48-0897-420E-A2A4-F661D082385B}">
      <text>
        <r>
          <rPr>
            <b/>
            <sz val="9"/>
            <color indexed="81"/>
            <rFont val="Tahoma"/>
            <family val="2"/>
          </rPr>
          <t>Gavin Mudd:</t>
        </r>
        <r>
          <rPr>
            <sz val="9"/>
            <color indexed="81"/>
            <rFont val="Tahoma"/>
            <family val="2"/>
          </rPr>
          <t xml:space="preserve">
assumes TAS Placer Osmiridium prill split (USBoM 1924)</t>
        </r>
      </text>
    </comment>
    <comment ref="HK148" authorId="0" shapeId="0" xr:uid="{BAC98EEC-619A-4A4D-84A2-89BDB46C79E8}">
      <text>
        <r>
          <rPr>
            <b/>
            <sz val="9"/>
            <color indexed="81"/>
            <rFont val="Tahoma"/>
            <family val="2"/>
          </rPr>
          <t>Gavin Mudd:</t>
        </r>
        <r>
          <rPr>
            <sz val="9"/>
            <color indexed="81"/>
            <rFont val="Tahoma"/>
            <family val="2"/>
          </rPr>
          <t xml:space="preserve">
assumes TAS Placer Osmiridium prill split (USBoM 1924)</t>
        </r>
      </text>
    </comment>
    <comment ref="GS149" authorId="0" shapeId="0" xr:uid="{13ABBEA2-487B-4F92-ABE1-BF219BD61D8C}">
      <text>
        <r>
          <rPr>
            <b/>
            <sz val="9"/>
            <color indexed="81"/>
            <rFont val="Tahoma"/>
            <family val="2"/>
          </rPr>
          <t>Gavin Mudd:</t>
        </r>
        <r>
          <rPr>
            <sz val="9"/>
            <color indexed="81"/>
            <rFont val="Tahoma"/>
            <family val="2"/>
          </rPr>
          <t xml:space="preserve">
assumed</t>
        </r>
      </text>
    </comment>
    <comment ref="GX149" authorId="0" shapeId="0" xr:uid="{AC68A7FE-CA9E-44EA-A7C6-3A075B38FD34}">
      <text>
        <r>
          <rPr>
            <b/>
            <sz val="9"/>
            <color indexed="81"/>
            <rFont val="Tahoma"/>
            <family val="2"/>
          </rPr>
          <t>Gavin Mudd:</t>
        </r>
        <r>
          <rPr>
            <sz val="9"/>
            <color indexed="81"/>
            <rFont val="Tahoma"/>
            <family val="2"/>
          </rPr>
          <t xml:space="preserve">
assumes NSW Placer PGE prill split (USBoM 1924)</t>
        </r>
      </text>
    </comment>
    <comment ref="GY149" authorId="0" shapeId="0" xr:uid="{0C3EEBB8-83FE-40FF-8E7A-A5177695453F}">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49" authorId="0" shapeId="0" xr:uid="{11D73AEB-1505-4A04-BA68-2237E765E7E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49" authorId="0" shapeId="0" xr:uid="{E1680878-9ED0-48AA-ADFF-6431E2B6D6A8}">
      <text>
        <r>
          <rPr>
            <b/>
            <sz val="9"/>
            <color indexed="81"/>
            <rFont val="Tahoma"/>
            <family val="2"/>
          </rPr>
          <t>Gavin Mudd:</t>
        </r>
        <r>
          <rPr>
            <sz val="9"/>
            <color indexed="81"/>
            <rFont val="Tahoma"/>
            <family val="2"/>
          </rPr>
          <t xml:space="preserve">
assumes NSW Placer PGE prill split (USBoM 1924)</t>
        </r>
      </text>
    </comment>
    <comment ref="HH149" authorId="0" shapeId="0" xr:uid="{8EA17299-B19C-4D6D-9477-1CD5A4D35669}">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49" authorId="0" shapeId="0" xr:uid="{5C681B2D-6015-4548-B6AA-B1B6F434F88E}">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49" authorId="0" shapeId="0" xr:uid="{06B26A8D-4F03-40F5-9000-F32584434077}">
      <text>
        <r>
          <rPr>
            <b/>
            <sz val="9"/>
            <color indexed="81"/>
            <rFont val="Tahoma"/>
            <family val="2"/>
          </rPr>
          <t>Gavin Mudd:</t>
        </r>
        <r>
          <rPr>
            <sz val="9"/>
            <color indexed="81"/>
            <rFont val="Tahoma"/>
            <family val="2"/>
          </rPr>
          <t xml:space="preserve">
assumes TAS Placer Osmiridium prill split (USBoM 1924)</t>
        </r>
      </text>
    </comment>
    <comment ref="HK149" authorId="0" shapeId="0" xr:uid="{A6C8D8AD-C47E-4311-AD08-2F54619D6748}">
      <text>
        <r>
          <rPr>
            <b/>
            <sz val="9"/>
            <color indexed="81"/>
            <rFont val="Tahoma"/>
            <family val="2"/>
          </rPr>
          <t>Gavin Mudd:</t>
        </r>
        <r>
          <rPr>
            <sz val="9"/>
            <color indexed="81"/>
            <rFont val="Tahoma"/>
            <family val="2"/>
          </rPr>
          <t xml:space="preserve">
assumes TAS Placer Osmiridium prill split (USBoM 1924)</t>
        </r>
      </text>
    </comment>
    <comment ref="GX150" authorId="0" shapeId="0" xr:uid="{E68C8AC4-AEF7-4766-AA03-97AC96771272}">
      <text>
        <r>
          <rPr>
            <b/>
            <sz val="9"/>
            <color indexed="81"/>
            <rFont val="Tahoma"/>
            <family val="2"/>
          </rPr>
          <t>Gavin Mudd:</t>
        </r>
        <r>
          <rPr>
            <sz val="9"/>
            <color indexed="81"/>
            <rFont val="Tahoma"/>
            <family val="2"/>
          </rPr>
          <t xml:space="preserve">
assumes NSW Placer PGE prill split (USBoM 1924)</t>
        </r>
      </text>
    </comment>
    <comment ref="GY150" authorId="0" shapeId="0" xr:uid="{E54FF597-E9EB-4E45-B9E6-9F337088EF5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0" authorId="0" shapeId="0" xr:uid="{BE20E034-7F98-47DE-B44A-F15AAF37C593}">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0" authorId="0" shapeId="0" xr:uid="{5678C0DC-6C2E-4087-A743-3333586EB7AF}">
      <text>
        <r>
          <rPr>
            <b/>
            <sz val="9"/>
            <color indexed="81"/>
            <rFont val="Tahoma"/>
            <family val="2"/>
          </rPr>
          <t>Gavin Mudd:</t>
        </r>
        <r>
          <rPr>
            <sz val="9"/>
            <color indexed="81"/>
            <rFont val="Tahoma"/>
            <family val="2"/>
          </rPr>
          <t xml:space="preserve">
assumes NSW Placer PGE prill split (USBoM 1924)</t>
        </r>
      </text>
    </comment>
    <comment ref="HH150" authorId="0" shapeId="0" xr:uid="{0768404E-8E98-420F-AD26-C384CC5E0959}">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0" authorId="0" shapeId="0" xr:uid="{5C53C42C-E778-4CB5-911C-E5EC408F1B06}">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0" authorId="0" shapeId="0" xr:uid="{56121BC5-C538-4C7D-B05C-7E2DFF191CFC}">
      <text>
        <r>
          <rPr>
            <b/>
            <sz val="9"/>
            <color indexed="81"/>
            <rFont val="Tahoma"/>
            <family val="2"/>
          </rPr>
          <t>Gavin Mudd:</t>
        </r>
        <r>
          <rPr>
            <sz val="9"/>
            <color indexed="81"/>
            <rFont val="Tahoma"/>
            <family val="2"/>
          </rPr>
          <t xml:space="preserve">
assumes TAS Placer Osmiridium prill split (USBoM 1924)</t>
        </r>
      </text>
    </comment>
    <comment ref="HK150" authorId="0" shapeId="0" xr:uid="{0A2FCE45-9538-4B23-B9B2-D1CAEF48C5F5}">
      <text>
        <r>
          <rPr>
            <b/>
            <sz val="9"/>
            <color indexed="81"/>
            <rFont val="Tahoma"/>
            <family val="2"/>
          </rPr>
          <t>Gavin Mudd:</t>
        </r>
        <r>
          <rPr>
            <sz val="9"/>
            <color indexed="81"/>
            <rFont val="Tahoma"/>
            <family val="2"/>
          </rPr>
          <t xml:space="preserve">
assumes TAS Placer Osmiridium prill split (USBoM 1924)</t>
        </r>
      </text>
    </comment>
    <comment ref="GS151" authorId="0" shapeId="0" xr:uid="{9D6577AD-EF05-4B07-AB91-72AC46929F32}">
      <text>
        <r>
          <rPr>
            <b/>
            <sz val="9"/>
            <color indexed="81"/>
            <rFont val="Tahoma"/>
            <family val="2"/>
          </rPr>
          <t>Gavin Mudd:</t>
        </r>
        <r>
          <rPr>
            <sz val="9"/>
            <color indexed="81"/>
            <rFont val="Tahoma"/>
            <family val="2"/>
          </rPr>
          <t xml:space="preserve">
assumed</t>
        </r>
      </text>
    </comment>
    <comment ref="GX151" authorId="0" shapeId="0" xr:uid="{B2A25FEB-CC05-4455-8978-4D401294BD20}">
      <text>
        <r>
          <rPr>
            <b/>
            <sz val="9"/>
            <color indexed="81"/>
            <rFont val="Tahoma"/>
            <family val="2"/>
          </rPr>
          <t>Gavin Mudd:</t>
        </r>
        <r>
          <rPr>
            <sz val="9"/>
            <color indexed="81"/>
            <rFont val="Tahoma"/>
            <family val="2"/>
          </rPr>
          <t xml:space="preserve">
assumes NSW Placer PGE prill split (USBoM 1924)</t>
        </r>
      </text>
    </comment>
    <comment ref="GY151" authorId="0" shapeId="0" xr:uid="{6B21ACB7-6AF1-49A4-995E-8FF5D349B19E}">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1" authorId="0" shapeId="0" xr:uid="{B57AEEFF-44FC-4DB8-BB9F-89017973B8DC}">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1" authorId="0" shapeId="0" xr:uid="{1A24D083-A5FF-4DC9-9CEC-FA118E7DCEE2}">
      <text>
        <r>
          <rPr>
            <b/>
            <sz val="9"/>
            <color indexed="81"/>
            <rFont val="Tahoma"/>
            <family val="2"/>
          </rPr>
          <t>Gavin Mudd:</t>
        </r>
        <r>
          <rPr>
            <sz val="9"/>
            <color indexed="81"/>
            <rFont val="Tahoma"/>
            <family val="2"/>
          </rPr>
          <t xml:space="preserve">
assumes NSW Placer PGE prill split (USBoM 1924)</t>
        </r>
      </text>
    </comment>
    <comment ref="HH151" authorId="0" shapeId="0" xr:uid="{ECE495B5-43DA-4E50-92D6-6D5FAA10A447}">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1" authorId="0" shapeId="0" xr:uid="{6CAA85B5-7F5C-4D21-B0F2-07634950577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1" authorId="0" shapeId="0" xr:uid="{0D2C65CC-1628-44E2-B93C-534D43D905EC}">
      <text>
        <r>
          <rPr>
            <b/>
            <sz val="9"/>
            <color indexed="81"/>
            <rFont val="Tahoma"/>
            <family val="2"/>
          </rPr>
          <t>Gavin Mudd:</t>
        </r>
        <r>
          <rPr>
            <sz val="9"/>
            <color indexed="81"/>
            <rFont val="Tahoma"/>
            <family val="2"/>
          </rPr>
          <t xml:space="preserve">
assumes TAS Placer Osmiridium prill split (USBoM 1924)</t>
        </r>
      </text>
    </comment>
    <comment ref="HK151" authorId="0" shapeId="0" xr:uid="{7162FC8C-6A08-4AB8-8D75-358E42D367CE}">
      <text>
        <r>
          <rPr>
            <b/>
            <sz val="9"/>
            <color indexed="81"/>
            <rFont val="Tahoma"/>
            <family val="2"/>
          </rPr>
          <t>Gavin Mudd:</t>
        </r>
        <r>
          <rPr>
            <sz val="9"/>
            <color indexed="81"/>
            <rFont val="Tahoma"/>
            <family val="2"/>
          </rPr>
          <t xml:space="preserve">
assumes TAS Placer Osmiridium prill split (USBoM 1924)</t>
        </r>
      </text>
    </comment>
    <comment ref="GS152" authorId="0" shapeId="0" xr:uid="{F87F2D8E-B11E-45C6-9664-D3857FEF0BFF}">
      <text>
        <r>
          <rPr>
            <b/>
            <sz val="9"/>
            <color indexed="81"/>
            <rFont val="Tahoma"/>
            <family val="2"/>
          </rPr>
          <t>Gavin Mudd:</t>
        </r>
        <r>
          <rPr>
            <sz val="9"/>
            <color indexed="81"/>
            <rFont val="Tahoma"/>
            <family val="2"/>
          </rPr>
          <t xml:space="preserve">
assumed</t>
        </r>
      </text>
    </comment>
    <comment ref="GX152" authorId="0" shapeId="0" xr:uid="{AC71069C-47BB-40E8-B3BC-77C72D48E1A0}">
      <text>
        <r>
          <rPr>
            <b/>
            <sz val="9"/>
            <color indexed="81"/>
            <rFont val="Tahoma"/>
            <family val="2"/>
          </rPr>
          <t>Gavin Mudd:</t>
        </r>
        <r>
          <rPr>
            <sz val="9"/>
            <color indexed="81"/>
            <rFont val="Tahoma"/>
            <family val="2"/>
          </rPr>
          <t xml:space="preserve">
assumes NSW Placer PGE prill split (USBoM 1924)</t>
        </r>
      </text>
    </comment>
    <comment ref="GY152" authorId="0" shapeId="0" xr:uid="{B25D1918-740D-48BD-9A29-6419815AC82F}">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2" authorId="0" shapeId="0" xr:uid="{DB1284DB-2E4B-4F69-BF88-0F71111451FD}">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2" authorId="0" shapeId="0" xr:uid="{868FBBC7-4361-43EE-8D94-9DBB206305BB}">
      <text>
        <r>
          <rPr>
            <b/>
            <sz val="9"/>
            <color indexed="81"/>
            <rFont val="Tahoma"/>
            <family val="2"/>
          </rPr>
          <t>Gavin Mudd:</t>
        </r>
        <r>
          <rPr>
            <sz val="9"/>
            <color indexed="81"/>
            <rFont val="Tahoma"/>
            <family val="2"/>
          </rPr>
          <t xml:space="preserve">
assumes NSW Placer PGE prill split (USBoM 1924)</t>
        </r>
      </text>
    </comment>
    <comment ref="HH152" authorId="0" shapeId="0" xr:uid="{8D72AF0B-9F54-41E2-ACC2-740AB04B8C2F}">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2" authorId="0" shapeId="0" xr:uid="{78484CA0-8ECB-485F-8BB6-6BC567D61F8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2" authorId="0" shapeId="0" xr:uid="{7CEB7015-FBFF-4546-9FD1-2E5D3ED0611E}">
      <text>
        <r>
          <rPr>
            <b/>
            <sz val="9"/>
            <color indexed="81"/>
            <rFont val="Tahoma"/>
            <family val="2"/>
          </rPr>
          <t>Gavin Mudd:</t>
        </r>
        <r>
          <rPr>
            <sz val="9"/>
            <color indexed="81"/>
            <rFont val="Tahoma"/>
            <family val="2"/>
          </rPr>
          <t xml:space="preserve">
assumes TAS Placer Osmiridium prill split (USBoM 1924)</t>
        </r>
      </text>
    </comment>
    <comment ref="HK152" authorId="0" shapeId="0" xr:uid="{B6AF39DC-B6A6-46F9-B732-F70FF44F241A}">
      <text>
        <r>
          <rPr>
            <b/>
            <sz val="9"/>
            <color indexed="81"/>
            <rFont val="Tahoma"/>
            <family val="2"/>
          </rPr>
          <t>Gavin Mudd:</t>
        </r>
        <r>
          <rPr>
            <sz val="9"/>
            <color indexed="81"/>
            <rFont val="Tahoma"/>
            <family val="2"/>
          </rPr>
          <t xml:space="preserve">
assumes TAS Placer Osmiridium prill split (USBoM 1924)</t>
        </r>
      </text>
    </comment>
    <comment ref="GS153" authorId="0" shapeId="0" xr:uid="{CA9C412B-593F-4798-9F04-DA8117FF2C50}">
      <text>
        <r>
          <rPr>
            <b/>
            <sz val="9"/>
            <color indexed="81"/>
            <rFont val="Tahoma"/>
            <family val="2"/>
          </rPr>
          <t>Gavin Mudd:</t>
        </r>
        <r>
          <rPr>
            <sz val="9"/>
            <color indexed="81"/>
            <rFont val="Tahoma"/>
            <family val="2"/>
          </rPr>
          <t xml:space="preserve">
assumed</t>
        </r>
      </text>
    </comment>
    <comment ref="GX153" authorId="0" shapeId="0" xr:uid="{08BA6ED6-1A85-49DA-AB93-77C89E0F6BD4}">
      <text>
        <r>
          <rPr>
            <b/>
            <sz val="9"/>
            <color indexed="81"/>
            <rFont val="Tahoma"/>
            <family val="2"/>
          </rPr>
          <t>Gavin Mudd:</t>
        </r>
        <r>
          <rPr>
            <sz val="9"/>
            <color indexed="81"/>
            <rFont val="Tahoma"/>
            <family val="2"/>
          </rPr>
          <t xml:space="preserve">
assumes NSW Placer PGE prill split (USBoM 1924)</t>
        </r>
      </text>
    </comment>
    <comment ref="GY153" authorId="0" shapeId="0" xr:uid="{3C825144-BC27-4DC7-A871-0336C9124AD1}">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3" authorId="0" shapeId="0" xr:uid="{2766A1E8-CD9F-4538-A2FD-FA4CCECD6D5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3" authorId="0" shapeId="0" xr:uid="{8E8505B8-0F7C-4E5D-B8B8-F34AB52EB661}">
      <text>
        <r>
          <rPr>
            <b/>
            <sz val="9"/>
            <color indexed="81"/>
            <rFont val="Tahoma"/>
            <family val="2"/>
          </rPr>
          <t>Gavin Mudd:</t>
        </r>
        <r>
          <rPr>
            <sz val="9"/>
            <color indexed="81"/>
            <rFont val="Tahoma"/>
            <family val="2"/>
          </rPr>
          <t xml:space="preserve">
assumes NSW Placer PGE prill split (USBoM 1924)</t>
        </r>
      </text>
    </comment>
    <comment ref="HH153" authorId="0" shapeId="0" xr:uid="{9F8DA48C-9445-4444-9B68-2E0516C29CFF}">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3" authorId="0" shapeId="0" xr:uid="{A55E75FA-594A-40AF-A4A5-74D910470980}">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3" authorId="0" shapeId="0" xr:uid="{D615E30E-FA17-4DF6-AC53-22C28207EF85}">
      <text>
        <r>
          <rPr>
            <b/>
            <sz val="9"/>
            <color indexed="81"/>
            <rFont val="Tahoma"/>
            <family val="2"/>
          </rPr>
          <t>Gavin Mudd:</t>
        </r>
        <r>
          <rPr>
            <sz val="9"/>
            <color indexed="81"/>
            <rFont val="Tahoma"/>
            <family val="2"/>
          </rPr>
          <t xml:space="preserve">
assumes TAS Placer Osmiridium prill split (USBoM 1924)</t>
        </r>
      </text>
    </comment>
    <comment ref="HK153" authorId="0" shapeId="0" xr:uid="{5E58418A-D8AB-43B5-83FE-CAF597783B6A}">
      <text>
        <r>
          <rPr>
            <b/>
            <sz val="9"/>
            <color indexed="81"/>
            <rFont val="Tahoma"/>
            <family val="2"/>
          </rPr>
          <t>Gavin Mudd:</t>
        </r>
        <r>
          <rPr>
            <sz val="9"/>
            <color indexed="81"/>
            <rFont val="Tahoma"/>
            <family val="2"/>
          </rPr>
          <t xml:space="preserve">
assumes TAS Placer Osmiridium prill split (USBoM 1924)</t>
        </r>
      </text>
    </comment>
    <comment ref="GX154" authorId="0" shapeId="0" xr:uid="{3E4253D1-F43B-4B67-8848-4E943BA7C27A}">
      <text>
        <r>
          <rPr>
            <b/>
            <sz val="9"/>
            <color indexed="81"/>
            <rFont val="Tahoma"/>
            <family val="2"/>
          </rPr>
          <t>Gavin Mudd:</t>
        </r>
        <r>
          <rPr>
            <sz val="9"/>
            <color indexed="81"/>
            <rFont val="Tahoma"/>
            <family val="2"/>
          </rPr>
          <t xml:space="preserve">
assumes NSW Placer PGE prill split (USBoM 1924)</t>
        </r>
      </text>
    </comment>
    <comment ref="GY154" authorId="0" shapeId="0" xr:uid="{AC6F0A00-0DC6-4084-853E-A810C65EF987}">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4" authorId="0" shapeId="0" xr:uid="{0DE9A076-CE22-4778-9A41-EDB339D13FC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4" authorId="0" shapeId="0" xr:uid="{41FA4E44-0DD2-464F-91EA-067A8EF2B354}">
      <text>
        <r>
          <rPr>
            <b/>
            <sz val="9"/>
            <color indexed="81"/>
            <rFont val="Tahoma"/>
            <family val="2"/>
          </rPr>
          <t>Gavin Mudd:</t>
        </r>
        <r>
          <rPr>
            <sz val="9"/>
            <color indexed="81"/>
            <rFont val="Tahoma"/>
            <family val="2"/>
          </rPr>
          <t xml:space="preserve">
assumes NSW Placer PGE prill split (USBoM 1924)</t>
        </r>
      </text>
    </comment>
    <comment ref="HH154" authorId="0" shapeId="0" xr:uid="{5F1D476A-FC53-43F5-B6A3-B6855393F18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4" authorId="0" shapeId="0" xr:uid="{8CD128DE-35EE-4CA3-9EC3-926A609E19B8}">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4" authorId="0" shapeId="0" xr:uid="{95636902-F94D-40EC-A9C3-A5C9C2FBE422}">
      <text>
        <r>
          <rPr>
            <b/>
            <sz val="9"/>
            <color indexed="81"/>
            <rFont val="Tahoma"/>
            <family val="2"/>
          </rPr>
          <t>Gavin Mudd:</t>
        </r>
        <r>
          <rPr>
            <sz val="9"/>
            <color indexed="81"/>
            <rFont val="Tahoma"/>
            <family val="2"/>
          </rPr>
          <t xml:space="preserve">
assumes TAS Placer Osmiridium prill split (USBoM 1924)</t>
        </r>
      </text>
    </comment>
    <comment ref="HK154" authorId="0" shapeId="0" xr:uid="{945501D5-6BFC-4CAB-817A-A4EFDE1233BE}">
      <text>
        <r>
          <rPr>
            <b/>
            <sz val="9"/>
            <color indexed="81"/>
            <rFont val="Tahoma"/>
            <family val="2"/>
          </rPr>
          <t>Gavin Mudd:</t>
        </r>
        <r>
          <rPr>
            <sz val="9"/>
            <color indexed="81"/>
            <rFont val="Tahoma"/>
            <family val="2"/>
          </rPr>
          <t xml:space="preserve">
assumes TAS Placer Osmiridium prill split (USBoM 1924)</t>
        </r>
      </text>
    </comment>
    <comment ref="GX155" authorId="0" shapeId="0" xr:uid="{81CBD277-4327-472D-A469-4D00B5110FFE}">
      <text>
        <r>
          <rPr>
            <b/>
            <sz val="9"/>
            <color indexed="81"/>
            <rFont val="Tahoma"/>
            <family val="2"/>
          </rPr>
          <t>Gavin Mudd:</t>
        </r>
        <r>
          <rPr>
            <sz val="9"/>
            <color indexed="81"/>
            <rFont val="Tahoma"/>
            <family val="2"/>
          </rPr>
          <t xml:space="preserve">
assumes NSW Placer PGE prill split (USBoM 1924)</t>
        </r>
      </text>
    </comment>
    <comment ref="GY155" authorId="0" shapeId="0" xr:uid="{D3B6579E-6575-450A-92AB-8E26ED68D6B3}">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5" authorId="0" shapeId="0" xr:uid="{D199F81B-87C2-410B-93B1-99E0DB1AC6DD}">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5" authorId="0" shapeId="0" xr:uid="{037923E2-D679-4247-81F3-50106DF9C480}">
      <text>
        <r>
          <rPr>
            <b/>
            <sz val="9"/>
            <color indexed="81"/>
            <rFont val="Tahoma"/>
            <family val="2"/>
          </rPr>
          <t>Gavin Mudd:</t>
        </r>
        <r>
          <rPr>
            <sz val="9"/>
            <color indexed="81"/>
            <rFont val="Tahoma"/>
            <family val="2"/>
          </rPr>
          <t xml:space="preserve">
assumes NSW Placer PGE prill split (USBoM 1924)</t>
        </r>
      </text>
    </comment>
    <comment ref="HH155" authorId="0" shapeId="0" xr:uid="{693499A1-D1DF-4B72-9600-FEC7D95B30DE}">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5" authorId="0" shapeId="0" xr:uid="{566B5106-31D7-4331-900D-2E2B7973B23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5" authorId="0" shapeId="0" xr:uid="{221E3621-D08D-4404-AB54-4A669F1500E6}">
      <text>
        <r>
          <rPr>
            <b/>
            <sz val="9"/>
            <color indexed="81"/>
            <rFont val="Tahoma"/>
            <family val="2"/>
          </rPr>
          <t>Gavin Mudd:</t>
        </r>
        <r>
          <rPr>
            <sz val="9"/>
            <color indexed="81"/>
            <rFont val="Tahoma"/>
            <family val="2"/>
          </rPr>
          <t xml:space="preserve">
assumes TAS Placer Osmiridium prill split (USBoM 1924)</t>
        </r>
      </text>
    </comment>
    <comment ref="HK155" authorId="0" shapeId="0" xr:uid="{F8EA16F6-F38C-4DAF-B34D-26AF1A641887}">
      <text>
        <r>
          <rPr>
            <b/>
            <sz val="9"/>
            <color indexed="81"/>
            <rFont val="Tahoma"/>
            <family val="2"/>
          </rPr>
          <t>Gavin Mudd:</t>
        </r>
        <r>
          <rPr>
            <sz val="9"/>
            <color indexed="81"/>
            <rFont val="Tahoma"/>
            <family val="2"/>
          </rPr>
          <t xml:space="preserve">
assumes TAS Placer Osmiridium prill split (USBoM 1924)</t>
        </r>
      </text>
    </comment>
    <comment ref="GX156" authorId="0" shapeId="0" xr:uid="{5E9E4964-7BB3-4146-B28F-2520171C4C66}">
      <text>
        <r>
          <rPr>
            <b/>
            <sz val="9"/>
            <color indexed="81"/>
            <rFont val="Tahoma"/>
            <family val="2"/>
          </rPr>
          <t>Gavin Mudd:</t>
        </r>
        <r>
          <rPr>
            <sz val="9"/>
            <color indexed="81"/>
            <rFont val="Tahoma"/>
            <family val="2"/>
          </rPr>
          <t xml:space="preserve">
assumes NSW Placer PGE prill split (USBoM 1924)</t>
        </r>
      </text>
    </comment>
    <comment ref="GY156" authorId="0" shapeId="0" xr:uid="{B96D0F60-F11C-4B6E-A4A9-2BAEFA80EB6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6" authorId="0" shapeId="0" xr:uid="{618EE070-0A2A-4299-A55A-67AFBD034C20}">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6" authorId="0" shapeId="0" xr:uid="{E7A62A7A-357F-4894-AA6E-087CEC63B491}">
      <text>
        <r>
          <rPr>
            <b/>
            <sz val="9"/>
            <color indexed="81"/>
            <rFont val="Tahoma"/>
            <family val="2"/>
          </rPr>
          <t>Gavin Mudd:</t>
        </r>
        <r>
          <rPr>
            <sz val="9"/>
            <color indexed="81"/>
            <rFont val="Tahoma"/>
            <family val="2"/>
          </rPr>
          <t xml:space="preserve">
assumes NSW Placer PGE prill split (USBoM 1924)</t>
        </r>
      </text>
    </comment>
    <comment ref="HH156" authorId="0" shapeId="0" xr:uid="{838562EB-F323-4A06-B0CF-4F4FDA87008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6" authorId="0" shapeId="0" xr:uid="{5AE28EA8-90D1-418D-A51C-445FFA2E4604}">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6" authorId="0" shapeId="0" xr:uid="{41BDC5A3-060D-4CB1-8508-3BB33F0C40D0}">
      <text>
        <r>
          <rPr>
            <b/>
            <sz val="9"/>
            <color indexed="81"/>
            <rFont val="Tahoma"/>
            <family val="2"/>
          </rPr>
          <t>Gavin Mudd:</t>
        </r>
        <r>
          <rPr>
            <sz val="9"/>
            <color indexed="81"/>
            <rFont val="Tahoma"/>
            <family val="2"/>
          </rPr>
          <t xml:space="preserve">
assumes TAS Placer Osmiridium prill split (USBoM 1924)</t>
        </r>
      </text>
    </comment>
    <comment ref="HK156" authorId="0" shapeId="0" xr:uid="{A6DC4E58-A2C4-489B-A941-7C303124FB29}">
      <text>
        <r>
          <rPr>
            <b/>
            <sz val="9"/>
            <color indexed="81"/>
            <rFont val="Tahoma"/>
            <family val="2"/>
          </rPr>
          <t>Gavin Mudd:</t>
        </r>
        <r>
          <rPr>
            <sz val="9"/>
            <color indexed="81"/>
            <rFont val="Tahoma"/>
            <family val="2"/>
          </rPr>
          <t xml:space="preserve">
assumes TAS Placer Osmiridium prill split (USBoM 1924)</t>
        </r>
      </text>
    </comment>
    <comment ref="GX157" authorId="0" shapeId="0" xr:uid="{89A660E2-C6A8-4B31-A20C-5C3A96407D86}">
      <text>
        <r>
          <rPr>
            <b/>
            <sz val="9"/>
            <color indexed="81"/>
            <rFont val="Tahoma"/>
            <family val="2"/>
          </rPr>
          <t>Gavin Mudd:</t>
        </r>
        <r>
          <rPr>
            <sz val="9"/>
            <color indexed="81"/>
            <rFont val="Tahoma"/>
            <family val="2"/>
          </rPr>
          <t xml:space="preserve">
assumes NSW Placer PGE prill split (USBoM 1924)</t>
        </r>
      </text>
    </comment>
    <comment ref="GY157" authorId="0" shapeId="0" xr:uid="{1652A48E-8C17-4AA2-846C-44CBD5A33CF6}">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57" authorId="0" shapeId="0" xr:uid="{E5F6B8F4-0CE2-4AD2-9D68-45E8BC61EEEC}">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57" authorId="0" shapeId="0" xr:uid="{A10ACA09-F3CC-407B-A4E2-2D8266A517D7}">
      <text>
        <r>
          <rPr>
            <b/>
            <sz val="9"/>
            <color indexed="81"/>
            <rFont val="Tahoma"/>
            <family val="2"/>
          </rPr>
          <t>Gavin Mudd:</t>
        </r>
        <r>
          <rPr>
            <sz val="9"/>
            <color indexed="81"/>
            <rFont val="Tahoma"/>
            <family val="2"/>
          </rPr>
          <t xml:space="preserve">
assumes NSW Placer PGE prill split (USBoM 1924)</t>
        </r>
      </text>
    </comment>
    <comment ref="HH157" authorId="0" shapeId="0" xr:uid="{4213789D-F183-44FF-8003-E89BF2E3188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7" authorId="0" shapeId="0" xr:uid="{8D2104B6-826D-457E-A5F9-5E7B85C7E4D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7" authorId="0" shapeId="0" xr:uid="{65BE0B64-0222-4698-AE04-F1638606659B}">
      <text>
        <r>
          <rPr>
            <b/>
            <sz val="9"/>
            <color indexed="81"/>
            <rFont val="Tahoma"/>
            <family val="2"/>
          </rPr>
          <t>Gavin Mudd:</t>
        </r>
        <r>
          <rPr>
            <sz val="9"/>
            <color indexed="81"/>
            <rFont val="Tahoma"/>
            <family val="2"/>
          </rPr>
          <t xml:space="preserve">
assumes TAS Placer Osmiridium prill split (USBoM 1924)</t>
        </r>
      </text>
    </comment>
    <comment ref="HK157" authorId="0" shapeId="0" xr:uid="{F77C9BD2-0B5C-4D1F-96DA-863B6335F5BB}">
      <text>
        <r>
          <rPr>
            <b/>
            <sz val="9"/>
            <color indexed="81"/>
            <rFont val="Tahoma"/>
            <family val="2"/>
          </rPr>
          <t>Gavin Mudd:</t>
        </r>
        <r>
          <rPr>
            <sz val="9"/>
            <color indexed="81"/>
            <rFont val="Tahoma"/>
            <family val="2"/>
          </rPr>
          <t xml:space="preserve">
assumes TAS Placer Osmiridium prill split (USBoM 1924)</t>
        </r>
      </text>
    </comment>
    <comment ref="HH158" authorId="0" shapeId="0" xr:uid="{68A673DA-72B5-4834-8618-C5F2391FF1C4}">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8" authorId="0" shapeId="0" xr:uid="{BF28F165-88C4-4B2A-9517-1714411641E8}">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8" authorId="0" shapeId="0" xr:uid="{8FD87C57-F22E-480A-A84A-3D8375185B0B}">
      <text>
        <r>
          <rPr>
            <b/>
            <sz val="9"/>
            <color indexed="81"/>
            <rFont val="Tahoma"/>
            <family val="2"/>
          </rPr>
          <t>Gavin Mudd:</t>
        </r>
        <r>
          <rPr>
            <sz val="9"/>
            <color indexed="81"/>
            <rFont val="Tahoma"/>
            <family val="2"/>
          </rPr>
          <t xml:space="preserve">
assumes TAS Placer Osmiridium prill split (USBoM 1924)</t>
        </r>
      </text>
    </comment>
    <comment ref="HK158" authorId="0" shapeId="0" xr:uid="{95D109C6-1E37-4916-BC92-A4130431C11F}">
      <text>
        <r>
          <rPr>
            <b/>
            <sz val="9"/>
            <color indexed="81"/>
            <rFont val="Tahoma"/>
            <family val="2"/>
          </rPr>
          <t>Gavin Mudd:</t>
        </r>
        <r>
          <rPr>
            <sz val="9"/>
            <color indexed="81"/>
            <rFont val="Tahoma"/>
            <family val="2"/>
          </rPr>
          <t xml:space="preserve">
assumes TAS Placer Osmiridium prill split (USBoM 1924)</t>
        </r>
      </text>
    </comment>
    <comment ref="GS159" authorId="0" shapeId="0" xr:uid="{01F4E78D-989A-4B73-982E-53F0982C9949}">
      <text>
        <r>
          <rPr>
            <b/>
            <sz val="9"/>
            <color indexed="81"/>
            <rFont val="Tahoma"/>
            <family val="2"/>
          </rPr>
          <t>Gavin Mudd:</t>
        </r>
        <r>
          <rPr>
            <sz val="9"/>
            <color indexed="81"/>
            <rFont val="Tahoma"/>
            <family val="2"/>
          </rPr>
          <t xml:space="preserve">
assumed</t>
        </r>
      </text>
    </comment>
    <comment ref="HH159" authorId="0" shapeId="0" xr:uid="{993DEC98-5634-4F2E-AB96-EB3BF23951C0}">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59" authorId="0" shapeId="0" xr:uid="{11FBF702-316A-4643-80AF-FFF62A913F6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59" authorId="0" shapeId="0" xr:uid="{6B018661-C9E8-4089-85FF-F69773D15487}">
      <text>
        <r>
          <rPr>
            <b/>
            <sz val="9"/>
            <color indexed="81"/>
            <rFont val="Tahoma"/>
            <family val="2"/>
          </rPr>
          <t>Gavin Mudd:</t>
        </r>
        <r>
          <rPr>
            <sz val="9"/>
            <color indexed="81"/>
            <rFont val="Tahoma"/>
            <family val="2"/>
          </rPr>
          <t xml:space="preserve">
assumes TAS Placer Osmiridium prill split (USBoM 1924)</t>
        </r>
      </text>
    </comment>
    <comment ref="HK159" authorId="0" shapeId="0" xr:uid="{08B7D8F0-D3B1-4D2B-86D0-85360DD03D15}">
      <text>
        <r>
          <rPr>
            <b/>
            <sz val="9"/>
            <color indexed="81"/>
            <rFont val="Tahoma"/>
            <family val="2"/>
          </rPr>
          <t>Gavin Mudd:</t>
        </r>
        <r>
          <rPr>
            <sz val="9"/>
            <color indexed="81"/>
            <rFont val="Tahoma"/>
            <family val="2"/>
          </rPr>
          <t xml:space="preserve">
assumes TAS Placer Osmiridium prill split (USBoM 1924)</t>
        </r>
      </text>
    </comment>
    <comment ref="HH160" authorId="0" shapeId="0" xr:uid="{7EF01240-A86B-425A-995D-D1A42B585920}">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0" authorId="0" shapeId="0" xr:uid="{A871D92D-7368-4F80-B3F2-A51EDD20DE2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0" authorId="0" shapeId="0" xr:uid="{E5678220-2847-47F5-BD62-BECCC47022B0}">
      <text>
        <r>
          <rPr>
            <b/>
            <sz val="9"/>
            <color indexed="81"/>
            <rFont val="Tahoma"/>
            <family val="2"/>
          </rPr>
          <t>Gavin Mudd:</t>
        </r>
        <r>
          <rPr>
            <sz val="9"/>
            <color indexed="81"/>
            <rFont val="Tahoma"/>
            <family val="2"/>
          </rPr>
          <t xml:space="preserve">
assumes TAS Placer Osmiridium prill split (USBoM 1924)</t>
        </r>
      </text>
    </comment>
    <comment ref="HK160" authorId="0" shapeId="0" xr:uid="{02896AEE-6679-45E6-88D1-D1ED148DADE9}">
      <text>
        <r>
          <rPr>
            <b/>
            <sz val="9"/>
            <color indexed="81"/>
            <rFont val="Tahoma"/>
            <family val="2"/>
          </rPr>
          <t>Gavin Mudd:</t>
        </r>
        <r>
          <rPr>
            <sz val="9"/>
            <color indexed="81"/>
            <rFont val="Tahoma"/>
            <family val="2"/>
          </rPr>
          <t xml:space="preserve">
assumes TAS Placer Osmiridium prill split (USBoM 1924)</t>
        </r>
      </text>
    </comment>
    <comment ref="IA160" authorId="0" shapeId="0" xr:uid="{BD4503E1-C031-4987-836A-F8C724A3C62A}">
      <text>
        <r>
          <rPr>
            <b/>
            <sz val="9"/>
            <color indexed="81"/>
            <rFont val="Tahoma"/>
            <family val="2"/>
          </rPr>
          <t>Gavin Mudd:</t>
        </r>
        <r>
          <rPr>
            <sz val="9"/>
            <color indexed="81"/>
            <rFont val="Tahoma"/>
            <family val="2"/>
          </rPr>
          <t xml:space="preserve">
derived from NSW monazite value</t>
        </r>
      </text>
    </comment>
    <comment ref="HH161" authorId="0" shapeId="0" xr:uid="{BE8CBE20-7353-49BB-9685-FE090F48A51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1" authorId="0" shapeId="0" xr:uid="{28E68BFF-EDBA-4E24-BBDD-E8CD3E97A78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1" authorId="0" shapeId="0" xr:uid="{BCD890F5-6D87-4F6E-A849-4FA2A40FAE85}">
      <text>
        <r>
          <rPr>
            <b/>
            <sz val="9"/>
            <color indexed="81"/>
            <rFont val="Tahoma"/>
            <family val="2"/>
          </rPr>
          <t>Gavin Mudd:</t>
        </r>
        <r>
          <rPr>
            <sz val="9"/>
            <color indexed="81"/>
            <rFont val="Tahoma"/>
            <family val="2"/>
          </rPr>
          <t xml:space="preserve">
assumes TAS Placer Osmiridium prill split (USBoM 1924)</t>
        </r>
      </text>
    </comment>
    <comment ref="HK161" authorId="0" shapeId="0" xr:uid="{9DE48F0A-ACE3-458B-90B3-173060CF341E}">
      <text>
        <r>
          <rPr>
            <b/>
            <sz val="9"/>
            <color indexed="81"/>
            <rFont val="Tahoma"/>
            <family val="2"/>
          </rPr>
          <t>Gavin Mudd:</t>
        </r>
        <r>
          <rPr>
            <sz val="9"/>
            <color indexed="81"/>
            <rFont val="Tahoma"/>
            <family val="2"/>
          </rPr>
          <t xml:space="preserve">
assumes TAS Placer Osmiridium prill split (USBoM 1924)</t>
        </r>
      </text>
    </comment>
    <comment ref="IA161" authorId="0" shapeId="0" xr:uid="{165D011D-1B1F-47CA-AE5A-AC4280449441}">
      <text>
        <r>
          <rPr>
            <b/>
            <sz val="9"/>
            <color indexed="81"/>
            <rFont val="Tahoma"/>
            <family val="2"/>
          </rPr>
          <t>Gavin Mudd:</t>
        </r>
        <r>
          <rPr>
            <sz val="9"/>
            <color indexed="81"/>
            <rFont val="Tahoma"/>
            <family val="2"/>
          </rPr>
          <t xml:space="preserve">
derived from NSW monazite value</t>
        </r>
      </text>
    </comment>
    <comment ref="GX162" authorId="0" shapeId="0" xr:uid="{9A31CF47-222B-43CD-B000-C43F4DB85A86}">
      <text>
        <r>
          <rPr>
            <b/>
            <sz val="9"/>
            <color indexed="81"/>
            <rFont val="Tahoma"/>
            <family val="2"/>
          </rPr>
          <t>Gavin Mudd:</t>
        </r>
        <r>
          <rPr>
            <sz val="9"/>
            <color indexed="81"/>
            <rFont val="Tahoma"/>
            <family val="2"/>
          </rPr>
          <t xml:space="preserve">
assumes NSW Placer PGE prill split (USBoM 1924)</t>
        </r>
      </text>
    </comment>
    <comment ref="GY162" authorId="0" shapeId="0" xr:uid="{714F9194-D3ED-47D6-A688-9F97A2FB6AD5}">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2" authorId="0" shapeId="0" xr:uid="{EA5815CA-8D96-4A10-954D-6BB64E43EC46}">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2" authorId="0" shapeId="0" xr:uid="{01EB7F04-911F-4E60-BBA9-845CDC1E1FF2}">
      <text>
        <r>
          <rPr>
            <b/>
            <sz val="9"/>
            <color indexed="81"/>
            <rFont val="Tahoma"/>
            <family val="2"/>
          </rPr>
          <t>Gavin Mudd:</t>
        </r>
        <r>
          <rPr>
            <sz val="9"/>
            <color indexed="81"/>
            <rFont val="Tahoma"/>
            <family val="2"/>
          </rPr>
          <t xml:space="preserve">
assumes NSW Placer PGE prill split (USBoM 1924)</t>
        </r>
      </text>
    </comment>
    <comment ref="HH162" authorId="0" shapeId="0" xr:uid="{DDDE56A6-502D-47D2-99AE-ECB8582D50F9}">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2" authorId="0" shapeId="0" xr:uid="{63FE24B7-15F7-4F53-8F34-2343E356DA26}">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2" authorId="0" shapeId="0" xr:uid="{15127A74-D051-497A-85C0-D792C7E14A40}">
      <text>
        <r>
          <rPr>
            <b/>
            <sz val="9"/>
            <color indexed="81"/>
            <rFont val="Tahoma"/>
            <family val="2"/>
          </rPr>
          <t>Gavin Mudd:</t>
        </r>
        <r>
          <rPr>
            <sz val="9"/>
            <color indexed="81"/>
            <rFont val="Tahoma"/>
            <family val="2"/>
          </rPr>
          <t xml:space="preserve">
assumes TAS Placer Osmiridium prill split (USBoM 1924)</t>
        </r>
      </text>
    </comment>
    <comment ref="HK162" authorId="0" shapeId="0" xr:uid="{7772AE42-99AF-4B5F-8661-3738F622160B}">
      <text>
        <r>
          <rPr>
            <b/>
            <sz val="9"/>
            <color indexed="81"/>
            <rFont val="Tahoma"/>
            <family val="2"/>
          </rPr>
          <t>Gavin Mudd:</t>
        </r>
        <r>
          <rPr>
            <sz val="9"/>
            <color indexed="81"/>
            <rFont val="Tahoma"/>
            <family val="2"/>
          </rPr>
          <t xml:space="preserve">
assumes TAS Placer Osmiridium prill split (USBoM 1924)</t>
        </r>
      </text>
    </comment>
    <comment ref="IA162" authorId="0" shapeId="0" xr:uid="{C069C438-5E5B-4322-BC21-00DD34442B16}">
      <text>
        <r>
          <rPr>
            <b/>
            <sz val="9"/>
            <color indexed="81"/>
            <rFont val="Tahoma"/>
            <family val="2"/>
          </rPr>
          <t>Gavin Mudd:</t>
        </r>
        <r>
          <rPr>
            <sz val="9"/>
            <color indexed="81"/>
            <rFont val="Tahoma"/>
            <family val="2"/>
          </rPr>
          <t xml:space="preserve">
derived from NSW monazite value</t>
        </r>
      </text>
    </comment>
    <comment ref="GS163" authorId="0" shapeId="0" xr:uid="{072C32C6-C125-42EC-8D5C-6632406A4918}">
      <text>
        <r>
          <rPr>
            <b/>
            <sz val="9"/>
            <color indexed="81"/>
            <rFont val="Tahoma"/>
            <family val="2"/>
          </rPr>
          <t>Gavin Mudd:</t>
        </r>
        <r>
          <rPr>
            <sz val="9"/>
            <color indexed="81"/>
            <rFont val="Tahoma"/>
            <family val="2"/>
          </rPr>
          <t xml:space="preserve">
assumed</t>
        </r>
      </text>
    </comment>
    <comment ref="GX163" authorId="0" shapeId="0" xr:uid="{7255DEC1-A317-4216-AEBC-7A274696C6A7}">
      <text>
        <r>
          <rPr>
            <b/>
            <sz val="9"/>
            <color indexed="81"/>
            <rFont val="Tahoma"/>
            <family val="2"/>
          </rPr>
          <t>Gavin Mudd:</t>
        </r>
        <r>
          <rPr>
            <sz val="9"/>
            <color indexed="81"/>
            <rFont val="Tahoma"/>
            <family val="2"/>
          </rPr>
          <t xml:space="preserve">
assumes NSW Placer PGE prill split (USBoM 1924)</t>
        </r>
      </text>
    </comment>
    <comment ref="GY163" authorId="0" shapeId="0" xr:uid="{9CEC8985-9896-483A-A6AF-CE392719CF97}">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3" authorId="0" shapeId="0" xr:uid="{6F33F718-344D-4457-8093-5C631BF77163}">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3" authorId="0" shapeId="0" xr:uid="{4224D5D3-F001-4713-B386-3C840BADCFF8}">
      <text>
        <r>
          <rPr>
            <b/>
            <sz val="9"/>
            <color indexed="81"/>
            <rFont val="Tahoma"/>
            <family val="2"/>
          </rPr>
          <t>Gavin Mudd:</t>
        </r>
        <r>
          <rPr>
            <sz val="9"/>
            <color indexed="81"/>
            <rFont val="Tahoma"/>
            <family val="2"/>
          </rPr>
          <t xml:space="preserve">
assumes NSW Placer PGE prill split (USBoM 1924)</t>
        </r>
      </text>
    </comment>
    <comment ref="HH163" authorId="0" shapeId="0" xr:uid="{F1967446-96F8-4ABD-96E5-B8167F1F68B7}">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3" authorId="0" shapeId="0" xr:uid="{29EEEDD4-1097-4258-993B-1FEC96BB0885}">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3" authorId="0" shapeId="0" xr:uid="{5CAB9E82-70BB-41D0-8984-934EF7A1208F}">
      <text>
        <r>
          <rPr>
            <b/>
            <sz val="9"/>
            <color indexed="81"/>
            <rFont val="Tahoma"/>
            <family val="2"/>
          </rPr>
          <t>Gavin Mudd:</t>
        </r>
        <r>
          <rPr>
            <sz val="9"/>
            <color indexed="81"/>
            <rFont val="Tahoma"/>
            <family val="2"/>
          </rPr>
          <t xml:space="preserve">
assumes TAS Placer Osmiridium prill split (USBoM 1924)</t>
        </r>
      </text>
    </comment>
    <comment ref="HK163" authorId="0" shapeId="0" xr:uid="{C8958A1D-1CCA-4DFC-A380-E7BC7276FBC9}">
      <text>
        <r>
          <rPr>
            <b/>
            <sz val="9"/>
            <color indexed="81"/>
            <rFont val="Tahoma"/>
            <family val="2"/>
          </rPr>
          <t>Gavin Mudd:</t>
        </r>
        <r>
          <rPr>
            <sz val="9"/>
            <color indexed="81"/>
            <rFont val="Tahoma"/>
            <family val="2"/>
          </rPr>
          <t xml:space="preserve">
assumes TAS Placer Osmiridium prill split (USBoM 1924)</t>
        </r>
      </text>
    </comment>
    <comment ref="IA163" authorId="0" shapeId="0" xr:uid="{BE96F91E-399F-4D16-A56E-560E63585457}">
      <text>
        <r>
          <rPr>
            <b/>
            <sz val="9"/>
            <color indexed="81"/>
            <rFont val="Tahoma"/>
            <family val="2"/>
          </rPr>
          <t>Gavin Mudd:</t>
        </r>
        <r>
          <rPr>
            <sz val="9"/>
            <color indexed="81"/>
            <rFont val="Tahoma"/>
            <family val="2"/>
          </rPr>
          <t xml:space="preserve">
derived from NSW monazite value</t>
        </r>
      </text>
    </comment>
    <comment ref="GS164" authorId="0" shapeId="0" xr:uid="{6716C259-1494-4156-B9A1-DF3F8A4A3BCA}">
      <text>
        <r>
          <rPr>
            <b/>
            <sz val="9"/>
            <color indexed="81"/>
            <rFont val="Tahoma"/>
            <family val="2"/>
          </rPr>
          <t>Gavin Mudd:</t>
        </r>
        <r>
          <rPr>
            <sz val="9"/>
            <color indexed="81"/>
            <rFont val="Tahoma"/>
            <family val="2"/>
          </rPr>
          <t xml:space="preserve">
assumed</t>
        </r>
      </text>
    </comment>
    <comment ref="HH164" authorId="0" shapeId="0" xr:uid="{53706A90-6A83-4ADE-8D5E-8D37148E7BF2}">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4" authorId="0" shapeId="0" xr:uid="{CB17AC69-7224-452D-A413-5D1140F63502}">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4" authorId="0" shapeId="0" xr:uid="{D5B90902-B0FF-417C-8EAA-CDAC37095D01}">
      <text>
        <r>
          <rPr>
            <b/>
            <sz val="9"/>
            <color indexed="81"/>
            <rFont val="Tahoma"/>
            <family val="2"/>
          </rPr>
          <t>Gavin Mudd:</t>
        </r>
        <r>
          <rPr>
            <sz val="9"/>
            <color indexed="81"/>
            <rFont val="Tahoma"/>
            <family val="2"/>
          </rPr>
          <t xml:space="preserve">
assumes TAS Placer Osmiridium prill split (USBoM 1924)</t>
        </r>
      </text>
    </comment>
    <comment ref="HK164" authorId="0" shapeId="0" xr:uid="{B9FA4229-443E-44AE-BFD1-C8F63D822C7F}">
      <text>
        <r>
          <rPr>
            <b/>
            <sz val="9"/>
            <color indexed="81"/>
            <rFont val="Tahoma"/>
            <family val="2"/>
          </rPr>
          <t>Gavin Mudd:</t>
        </r>
        <r>
          <rPr>
            <sz val="9"/>
            <color indexed="81"/>
            <rFont val="Tahoma"/>
            <family val="2"/>
          </rPr>
          <t xml:space="preserve">
assumes TAS Placer Osmiridium prill split (USBoM 1924)</t>
        </r>
      </text>
    </comment>
    <comment ref="IA164" authorId="0" shapeId="0" xr:uid="{32EC220B-A605-4759-9319-C651BA536F6E}">
      <text>
        <r>
          <rPr>
            <b/>
            <sz val="9"/>
            <color indexed="81"/>
            <rFont val="Tahoma"/>
            <family val="2"/>
          </rPr>
          <t>Gavin Mudd:</t>
        </r>
        <r>
          <rPr>
            <sz val="9"/>
            <color indexed="81"/>
            <rFont val="Tahoma"/>
            <family val="2"/>
          </rPr>
          <t xml:space="preserve">
derived from NSW monazite value</t>
        </r>
      </text>
    </comment>
    <comment ref="GS165" authorId="0" shapeId="0" xr:uid="{5CB1526E-CD1D-4275-ABE1-042DD24CBC3E}">
      <text>
        <r>
          <rPr>
            <b/>
            <sz val="9"/>
            <color indexed="81"/>
            <rFont val="Tahoma"/>
            <family val="2"/>
          </rPr>
          <t>Gavin Mudd:</t>
        </r>
        <r>
          <rPr>
            <sz val="9"/>
            <color indexed="81"/>
            <rFont val="Tahoma"/>
            <family val="2"/>
          </rPr>
          <t xml:space="preserve">
assumed</t>
        </r>
      </text>
    </comment>
    <comment ref="HH165" authorId="0" shapeId="0" xr:uid="{F2ADBB2A-CC3D-4528-98B5-DA97F91666BF}">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5" authorId="0" shapeId="0" xr:uid="{BD9D26E4-B8CD-4F52-817B-32641A5A0F08}">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5" authorId="0" shapeId="0" xr:uid="{3EC405B1-1560-4000-9BFB-22E1323BD197}">
      <text>
        <r>
          <rPr>
            <b/>
            <sz val="9"/>
            <color indexed="81"/>
            <rFont val="Tahoma"/>
            <family val="2"/>
          </rPr>
          <t>Gavin Mudd:</t>
        </r>
        <r>
          <rPr>
            <sz val="9"/>
            <color indexed="81"/>
            <rFont val="Tahoma"/>
            <family val="2"/>
          </rPr>
          <t xml:space="preserve">
assumes TAS Placer Osmiridium prill split (USBoM 1924)</t>
        </r>
      </text>
    </comment>
    <comment ref="HK165" authorId="0" shapeId="0" xr:uid="{8339DEAC-F7BF-4099-B19F-A47837D0C9E4}">
      <text>
        <r>
          <rPr>
            <b/>
            <sz val="9"/>
            <color indexed="81"/>
            <rFont val="Tahoma"/>
            <family val="2"/>
          </rPr>
          <t>Gavin Mudd:</t>
        </r>
        <r>
          <rPr>
            <sz val="9"/>
            <color indexed="81"/>
            <rFont val="Tahoma"/>
            <family val="2"/>
          </rPr>
          <t xml:space="preserve">
assumes TAS Placer Osmiridium prill split (USBoM 1924)</t>
        </r>
      </text>
    </comment>
    <comment ref="IA165" authorId="0" shapeId="0" xr:uid="{6A216B4B-8C32-415F-8EE3-15FA7F2148E9}">
      <text>
        <r>
          <rPr>
            <b/>
            <sz val="9"/>
            <color indexed="81"/>
            <rFont val="Tahoma"/>
            <family val="2"/>
          </rPr>
          <t>Gavin Mudd:</t>
        </r>
        <r>
          <rPr>
            <sz val="9"/>
            <color indexed="81"/>
            <rFont val="Tahoma"/>
            <family val="2"/>
          </rPr>
          <t xml:space="preserve">
derived from NSW monazite value</t>
        </r>
      </text>
    </comment>
    <comment ref="GS166" authorId="0" shapeId="0" xr:uid="{2C2F885C-3481-4791-B422-C22BF191A304}">
      <text>
        <r>
          <rPr>
            <b/>
            <sz val="9"/>
            <color indexed="81"/>
            <rFont val="Tahoma"/>
            <family val="2"/>
          </rPr>
          <t>Gavin Mudd:</t>
        </r>
        <r>
          <rPr>
            <sz val="9"/>
            <color indexed="81"/>
            <rFont val="Tahoma"/>
            <family val="2"/>
          </rPr>
          <t xml:space="preserve">
assumed</t>
        </r>
      </text>
    </comment>
    <comment ref="GX166" authorId="0" shapeId="0" xr:uid="{0B9E37D8-0135-4760-8DBD-1D1F2995344C}">
      <text>
        <r>
          <rPr>
            <b/>
            <sz val="9"/>
            <color indexed="81"/>
            <rFont val="Tahoma"/>
            <family val="2"/>
          </rPr>
          <t>Gavin Mudd:</t>
        </r>
        <r>
          <rPr>
            <sz val="9"/>
            <color indexed="81"/>
            <rFont val="Tahoma"/>
            <family val="2"/>
          </rPr>
          <t xml:space="preserve">
assumes NSW Placer PGE prill split (USBoM 1924)</t>
        </r>
      </text>
    </comment>
    <comment ref="GY166" authorId="0" shapeId="0" xr:uid="{6C30B227-D7DE-4269-9766-725B0ECC5CB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6" authorId="0" shapeId="0" xr:uid="{58DFC2D8-5AD7-449E-B84D-7CE7C61DFD35}">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6" authorId="0" shapeId="0" xr:uid="{1F52BB93-C39A-4455-821C-9E844943135B}">
      <text>
        <r>
          <rPr>
            <b/>
            <sz val="9"/>
            <color indexed="81"/>
            <rFont val="Tahoma"/>
            <family val="2"/>
          </rPr>
          <t>Gavin Mudd:</t>
        </r>
        <r>
          <rPr>
            <sz val="9"/>
            <color indexed="81"/>
            <rFont val="Tahoma"/>
            <family val="2"/>
          </rPr>
          <t xml:space="preserve">
assumes NSW Placer PGE prill split (USBoM 1924)</t>
        </r>
      </text>
    </comment>
    <comment ref="HH166" authorId="0" shapeId="0" xr:uid="{5813BD9F-E25B-4E3D-BDC0-0859C07434D8}">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6" authorId="0" shapeId="0" xr:uid="{E6F8BD92-E579-48D4-8D8B-1579A04D39C2}">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6" authorId="0" shapeId="0" xr:uid="{4AAF6163-FFB6-4BA7-ABA1-87A06CD346BB}">
      <text>
        <r>
          <rPr>
            <b/>
            <sz val="9"/>
            <color indexed="81"/>
            <rFont val="Tahoma"/>
            <family val="2"/>
          </rPr>
          <t>Gavin Mudd:</t>
        </r>
        <r>
          <rPr>
            <sz val="9"/>
            <color indexed="81"/>
            <rFont val="Tahoma"/>
            <family val="2"/>
          </rPr>
          <t xml:space="preserve">
assumes TAS Placer Osmiridium prill split (USBoM 1924)</t>
        </r>
      </text>
    </comment>
    <comment ref="HK166" authorId="0" shapeId="0" xr:uid="{6BE40037-0722-43EE-A1D0-BE4DA78FCB2F}">
      <text>
        <r>
          <rPr>
            <b/>
            <sz val="9"/>
            <color indexed="81"/>
            <rFont val="Tahoma"/>
            <family val="2"/>
          </rPr>
          <t>Gavin Mudd:</t>
        </r>
        <r>
          <rPr>
            <sz val="9"/>
            <color indexed="81"/>
            <rFont val="Tahoma"/>
            <family val="2"/>
          </rPr>
          <t xml:space="preserve">
assumes TAS Placer Osmiridium prill split (USBoM 1924)</t>
        </r>
      </text>
    </comment>
    <comment ref="IA166" authorId="0" shapeId="0" xr:uid="{963714D7-E4D7-48D2-8B7F-AA87E18D3659}">
      <text>
        <r>
          <rPr>
            <b/>
            <sz val="9"/>
            <color indexed="81"/>
            <rFont val="Tahoma"/>
            <family val="2"/>
          </rPr>
          <t>Gavin Mudd:</t>
        </r>
        <r>
          <rPr>
            <sz val="9"/>
            <color indexed="81"/>
            <rFont val="Tahoma"/>
            <family val="2"/>
          </rPr>
          <t xml:space="preserve">
derived from NSW monazite value</t>
        </r>
      </text>
    </comment>
    <comment ref="GS167" authorId="0" shapeId="0" xr:uid="{8AEA9B03-B4BC-4AD4-B48F-2BE0C0AAB64E}">
      <text>
        <r>
          <rPr>
            <b/>
            <sz val="9"/>
            <color indexed="81"/>
            <rFont val="Tahoma"/>
            <family val="2"/>
          </rPr>
          <t>Gavin Mudd:</t>
        </r>
        <r>
          <rPr>
            <sz val="9"/>
            <color indexed="81"/>
            <rFont val="Tahoma"/>
            <family val="2"/>
          </rPr>
          <t xml:space="preserve">
assumed</t>
        </r>
      </text>
    </comment>
    <comment ref="GX167" authorId="0" shapeId="0" xr:uid="{B9D5272D-735F-4B6A-BB1E-29A16EA1B0A1}">
      <text>
        <r>
          <rPr>
            <b/>
            <sz val="9"/>
            <color indexed="81"/>
            <rFont val="Tahoma"/>
            <family val="2"/>
          </rPr>
          <t>Gavin Mudd:</t>
        </r>
        <r>
          <rPr>
            <sz val="9"/>
            <color indexed="81"/>
            <rFont val="Tahoma"/>
            <family val="2"/>
          </rPr>
          <t xml:space="preserve">
assumes NSW Placer PGE prill split (USBoM 1924)</t>
        </r>
      </text>
    </comment>
    <comment ref="GY167" authorId="0" shapeId="0" xr:uid="{2B2B4F3C-F01B-445A-99DA-41B3D2EEAA7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7" authorId="0" shapeId="0" xr:uid="{25245134-1CBC-4224-8407-A8C261F9EAFD}">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7" authorId="0" shapeId="0" xr:uid="{5B23F69A-DF3A-47D1-A5DF-E3A470A7C911}">
      <text>
        <r>
          <rPr>
            <b/>
            <sz val="9"/>
            <color indexed="81"/>
            <rFont val="Tahoma"/>
            <family val="2"/>
          </rPr>
          <t>Gavin Mudd:</t>
        </r>
        <r>
          <rPr>
            <sz val="9"/>
            <color indexed="81"/>
            <rFont val="Tahoma"/>
            <family val="2"/>
          </rPr>
          <t xml:space="preserve">
assumes NSW Placer PGE prill split (USBoM 1924)</t>
        </r>
      </text>
    </comment>
    <comment ref="HH167" authorId="0" shapeId="0" xr:uid="{2B07FDF8-7E76-4476-AEB8-5510D0F300E1}">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7" authorId="0" shapeId="0" xr:uid="{DFA085E5-D529-403D-9754-B3BB8E2AA8F6}">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7" authorId="0" shapeId="0" xr:uid="{6D20F032-0915-4FBA-83A2-445C6CAE977D}">
      <text>
        <r>
          <rPr>
            <b/>
            <sz val="9"/>
            <color indexed="81"/>
            <rFont val="Tahoma"/>
            <family val="2"/>
          </rPr>
          <t>Gavin Mudd:</t>
        </r>
        <r>
          <rPr>
            <sz val="9"/>
            <color indexed="81"/>
            <rFont val="Tahoma"/>
            <family val="2"/>
          </rPr>
          <t xml:space="preserve">
assumes TAS Placer Osmiridium prill split (USBoM 1924)</t>
        </r>
      </text>
    </comment>
    <comment ref="HK167" authorId="0" shapeId="0" xr:uid="{82EAC9C7-ADF5-40F4-A343-3B6298CA1F6F}">
      <text>
        <r>
          <rPr>
            <b/>
            <sz val="9"/>
            <color indexed="81"/>
            <rFont val="Tahoma"/>
            <family val="2"/>
          </rPr>
          <t>Gavin Mudd:</t>
        </r>
        <r>
          <rPr>
            <sz val="9"/>
            <color indexed="81"/>
            <rFont val="Tahoma"/>
            <family val="2"/>
          </rPr>
          <t xml:space="preserve">
assumes TAS Placer Osmiridium prill split (USBoM 1924)</t>
        </r>
      </text>
    </comment>
    <comment ref="IA167" authorId="0" shapeId="0" xr:uid="{462D9B1F-0F61-40EC-9598-5C499652B850}">
      <text>
        <r>
          <rPr>
            <b/>
            <sz val="9"/>
            <color indexed="81"/>
            <rFont val="Tahoma"/>
            <family val="2"/>
          </rPr>
          <t>Gavin Mudd:</t>
        </r>
        <r>
          <rPr>
            <sz val="9"/>
            <color indexed="81"/>
            <rFont val="Tahoma"/>
            <family val="2"/>
          </rPr>
          <t xml:space="preserve">
derived from NSW monazite value</t>
        </r>
      </text>
    </comment>
    <comment ref="GS168" authorId="0" shapeId="0" xr:uid="{D036CF60-6CB9-4092-9652-0DB887D137AC}">
      <text>
        <r>
          <rPr>
            <b/>
            <sz val="9"/>
            <color indexed="81"/>
            <rFont val="Tahoma"/>
            <family val="2"/>
          </rPr>
          <t>Gavin Mudd:</t>
        </r>
        <r>
          <rPr>
            <sz val="9"/>
            <color indexed="81"/>
            <rFont val="Tahoma"/>
            <family val="2"/>
          </rPr>
          <t xml:space="preserve">
assumed</t>
        </r>
      </text>
    </comment>
    <comment ref="GX168" authorId="0" shapeId="0" xr:uid="{675C0802-C944-471A-8AD1-E1C210AC96A1}">
      <text>
        <r>
          <rPr>
            <b/>
            <sz val="9"/>
            <color indexed="81"/>
            <rFont val="Tahoma"/>
            <family val="2"/>
          </rPr>
          <t>Gavin Mudd:</t>
        </r>
        <r>
          <rPr>
            <sz val="9"/>
            <color indexed="81"/>
            <rFont val="Tahoma"/>
            <family val="2"/>
          </rPr>
          <t xml:space="preserve">
assumes NSW Placer PGE prill split (USBoM 1924)</t>
        </r>
      </text>
    </comment>
    <comment ref="GY168" authorId="0" shapeId="0" xr:uid="{E86A4A01-C0B7-466D-A17A-8E3E6680F816}">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8" authorId="0" shapeId="0" xr:uid="{59225825-C645-406A-BB23-5BE50EC78DBE}">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8" authorId="0" shapeId="0" xr:uid="{A7CF3D70-9238-4FF2-BD3B-95279B6A8314}">
      <text>
        <r>
          <rPr>
            <b/>
            <sz val="9"/>
            <color indexed="81"/>
            <rFont val="Tahoma"/>
            <family val="2"/>
          </rPr>
          <t>Gavin Mudd:</t>
        </r>
        <r>
          <rPr>
            <sz val="9"/>
            <color indexed="81"/>
            <rFont val="Tahoma"/>
            <family val="2"/>
          </rPr>
          <t xml:space="preserve">
assumes NSW Placer PGE prill split (USBoM 1924)</t>
        </r>
      </text>
    </comment>
    <comment ref="HH168" authorId="0" shapeId="0" xr:uid="{E8352A52-818E-4058-880E-EA02ED5D435F}">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8" authorId="0" shapeId="0" xr:uid="{107A63E7-94F8-45F9-B530-643AA29122CC}">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8" authorId="0" shapeId="0" xr:uid="{40A50E67-F1C0-4C86-A040-BEAE10FC6FAC}">
      <text>
        <r>
          <rPr>
            <b/>
            <sz val="9"/>
            <color indexed="81"/>
            <rFont val="Tahoma"/>
            <family val="2"/>
          </rPr>
          <t>Gavin Mudd:</t>
        </r>
        <r>
          <rPr>
            <sz val="9"/>
            <color indexed="81"/>
            <rFont val="Tahoma"/>
            <family val="2"/>
          </rPr>
          <t xml:space="preserve">
assumes TAS Placer Osmiridium prill split (USBoM 1924)</t>
        </r>
      </text>
    </comment>
    <comment ref="HK168" authorId="0" shapeId="0" xr:uid="{5A1EF2AB-E5C4-4DE6-A64B-91804E8510FC}">
      <text>
        <r>
          <rPr>
            <b/>
            <sz val="9"/>
            <color indexed="81"/>
            <rFont val="Tahoma"/>
            <family val="2"/>
          </rPr>
          <t>Gavin Mudd:</t>
        </r>
        <r>
          <rPr>
            <sz val="9"/>
            <color indexed="81"/>
            <rFont val="Tahoma"/>
            <family val="2"/>
          </rPr>
          <t xml:space="preserve">
assumes TAS Placer Osmiridium prill split (USBoM 1924)</t>
        </r>
      </text>
    </comment>
    <comment ref="IA168" authorId="0" shapeId="0" xr:uid="{D34DAF6C-3B4F-415E-BA6C-38AF320CA2D1}">
      <text>
        <r>
          <rPr>
            <b/>
            <sz val="9"/>
            <color indexed="81"/>
            <rFont val="Tahoma"/>
            <family val="2"/>
          </rPr>
          <t>Gavin Mudd:</t>
        </r>
        <r>
          <rPr>
            <sz val="9"/>
            <color indexed="81"/>
            <rFont val="Tahoma"/>
            <family val="2"/>
          </rPr>
          <t xml:space="preserve">
derived from NSW monazite value</t>
        </r>
      </text>
    </comment>
    <comment ref="GS169" authorId="0" shapeId="0" xr:uid="{45FFC535-3BAA-40CE-8CD1-58E2DEB31706}">
      <text>
        <r>
          <rPr>
            <b/>
            <sz val="9"/>
            <color indexed="81"/>
            <rFont val="Tahoma"/>
            <family val="2"/>
          </rPr>
          <t>Gavin Mudd:</t>
        </r>
        <r>
          <rPr>
            <sz val="9"/>
            <color indexed="81"/>
            <rFont val="Tahoma"/>
            <family val="2"/>
          </rPr>
          <t xml:space="preserve">
assumed</t>
        </r>
      </text>
    </comment>
    <comment ref="GX169" authorId="0" shapeId="0" xr:uid="{96EA7554-0592-4C9D-838E-D1BC00FF9A48}">
      <text>
        <r>
          <rPr>
            <b/>
            <sz val="9"/>
            <color indexed="81"/>
            <rFont val="Tahoma"/>
            <family val="2"/>
          </rPr>
          <t>Gavin Mudd:</t>
        </r>
        <r>
          <rPr>
            <sz val="9"/>
            <color indexed="81"/>
            <rFont val="Tahoma"/>
            <family val="2"/>
          </rPr>
          <t xml:space="preserve">
assumes NSW Placer PGE prill split (USBoM 1924)</t>
        </r>
      </text>
    </comment>
    <comment ref="GY169" authorId="0" shapeId="0" xr:uid="{9256A3BD-9EE2-47D7-84E8-1B1F2F45585C}">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69" authorId="0" shapeId="0" xr:uid="{F33871E7-1875-4692-899F-BA610290AF1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69" authorId="0" shapeId="0" xr:uid="{A88A82BD-F1A0-4E2B-A299-1CFFA1B09781}">
      <text>
        <r>
          <rPr>
            <b/>
            <sz val="9"/>
            <color indexed="81"/>
            <rFont val="Tahoma"/>
            <family val="2"/>
          </rPr>
          <t>Gavin Mudd:</t>
        </r>
        <r>
          <rPr>
            <sz val="9"/>
            <color indexed="81"/>
            <rFont val="Tahoma"/>
            <family val="2"/>
          </rPr>
          <t xml:space="preserve">
assumes NSW Placer PGE prill split (USBoM 1924)</t>
        </r>
      </text>
    </comment>
    <comment ref="HH169" authorId="0" shapeId="0" xr:uid="{BF914E2B-3F83-4D3A-92A5-CA7C1461E5C5}">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69" authorId="0" shapeId="0" xr:uid="{3C6AFBF5-8B3F-4E1B-944C-1FBD01FE176A}">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69" authorId="0" shapeId="0" xr:uid="{A2948244-776F-4303-8AA7-9544C1A2A63D}">
      <text>
        <r>
          <rPr>
            <b/>
            <sz val="9"/>
            <color indexed="81"/>
            <rFont val="Tahoma"/>
            <family val="2"/>
          </rPr>
          <t>Gavin Mudd:</t>
        </r>
        <r>
          <rPr>
            <sz val="9"/>
            <color indexed="81"/>
            <rFont val="Tahoma"/>
            <family val="2"/>
          </rPr>
          <t xml:space="preserve">
assumes TAS Placer Osmiridium prill split (USBoM 1924)</t>
        </r>
      </text>
    </comment>
    <comment ref="HK169" authorId="0" shapeId="0" xr:uid="{7E401F23-4AAF-4E67-A35B-27E4F01102B9}">
      <text>
        <r>
          <rPr>
            <b/>
            <sz val="9"/>
            <color indexed="81"/>
            <rFont val="Tahoma"/>
            <family val="2"/>
          </rPr>
          <t>Gavin Mudd:</t>
        </r>
        <r>
          <rPr>
            <sz val="9"/>
            <color indexed="81"/>
            <rFont val="Tahoma"/>
            <family val="2"/>
          </rPr>
          <t xml:space="preserve">
assumes TAS Placer Osmiridium prill split (USBoM 1924)</t>
        </r>
      </text>
    </comment>
    <comment ref="IA169" authorId="0" shapeId="0" xr:uid="{555E02E3-93A0-4555-AACA-F27F86ED57A9}">
      <text>
        <r>
          <rPr>
            <b/>
            <sz val="9"/>
            <color indexed="81"/>
            <rFont val="Tahoma"/>
            <family val="2"/>
          </rPr>
          <t>Gavin Mudd:</t>
        </r>
        <r>
          <rPr>
            <sz val="9"/>
            <color indexed="81"/>
            <rFont val="Tahoma"/>
            <family val="2"/>
          </rPr>
          <t xml:space="preserve">
derived from NSW monazite value</t>
        </r>
      </text>
    </comment>
    <comment ref="GS170" authorId="0" shapeId="0" xr:uid="{20353909-B8BF-43F7-8A3C-8F069246D55E}">
      <text>
        <r>
          <rPr>
            <b/>
            <sz val="9"/>
            <color indexed="81"/>
            <rFont val="Tahoma"/>
            <family val="2"/>
          </rPr>
          <t>Gavin Mudd:</t>
        </r>
        <r>
          <rPr>
            <sz val="9"/>
            <color indexed="81"/>
            <rFont val="Tahoma"/>
            <family val="2"/>
          </rPr>
          <t xml:space="preserve">
assumed</t>
        </r>
      </text>
    </comment>
    <comment ref="GX170" authorId="0" shapeId="0" xr:uid="{3D47FF39-9E01-41D5-B86D-AC6659F27672}">
      <text>
        <r>
          <rPr>
            <b/>
            <sz val="9"/>
            <color indexed="81"/>
            <rFont val="Tahoma"/>
            <family val="2"/>
          </rPr>
          <t>Gavin Mudd:</t>
        </r>
        <r>
          <rPr>
            <sz val="9"/>
            <color indexed="81"/>
            <rFont val="Tahoma"/>
            <family val="2"/>
          </rPr>
          <t xml:space="preserve">
assumes NSW Placer PGE prill split (USBoM 1924)</t>
        </r>
      </text>
    </comment>
    <comment ref="GY170" authorId="0" shapeId="0" xr:uid="{532D0E07-3370-4126-A8D2-3F81A9D6B9A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0" authorId="0" shapeId="0" xr:uid="{AD83934B-B07C-4BAD-8540-3E6AC2DD9DE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0" authorId="0" shapeId="0" xr:uid="{275FC63D-C68D-45B6-ACE4-699B0829D2C5}">
      <text>
        <r>
          <rPr>
            <b/>
            <sz val="9"/>
            <color indexed="81"/>
            <rFont val="Tahoma"/>
            <family val="2"/>
          </rPr>
          <t>Gavin Mudd:</t>
        </r>
        <r>
          <rPr>
            <sz val="9"/>
            <color indexed="81"/>
            <rFont val="Tahoma"/>
            <family val="2"/>
          </rPr>
          <t xml:space="preserve">
assumes NSW Placer PGE prill split (USBoM 1924)</t>
        </r>
      </text>
    </comment>
    <comment ref="HH170" authorId="0" shapeId="0" xr:uid="{B05F0AD2-C89E-46D6-839D-8414C3579EA1}">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70" authorId="0" shapeId="0" xr:uid="{1026C9F6-54DE-4C71-ABB6-683A795FA76B}">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70" authorId="0" shapeId="0" xr:uid="{742B1214-F781-4986-9D9E-BACAFCC5AA28}">
      <text>
        <r>
          <rPr>
            <b/>
            <sz val="9"/>
            <color indexed="81"/>
            <rFont val="Tahoma"/>
            <family val="2"/>
          </rPr>
          <t>Gavin Mudd:</t>
        </r>
        <r>
          <rPr>
            <sz val="9"/>
            <color indexed="81"/>
            <rFont val="Tahoma"/>
            <family val="2"/>
          </rPr>
          <t xml:space="preserve">
assumes TAS Placer Osmiridium prill split (USBoM 1924)</t>
        </r>
      </text>
    </comment>
    <comment ref="HK170" authorId="0" shapeId="0" xr:uid="{883C2645-1E96-4CAF-B272-39C9308314CE}">
      <text>
        <r>
          <rPr>
            <b/>
            <sz val="9"/>
            <color indexed="81"/>
            <rFont val="Tahoma"/>
            <family val="2"/>
          </rPr>
          <t>Gavin Mudd:</t>
        </r>
        <r>
          <rPr>
            <sz val="9"/>
            <color indexed="81"/>
            <rFont val="Tahoma"/>
            <family val="2"/>
          </rPr>
          <t xml:space="preserve">
assumes TAS Placer Osmiridium prill split (USBoM 1924)</t>
        </r>
      </text>
    </comment>
    <comment ref="IA170" authorId="0" shapeId="0" xr:uid="{E35301EF-D9FE-47E8-A75C-508F9CE910F8}">
      <text>
        <r>
          <rPr>
            <b/>
            <sz val="9"/>
            <color indexed="81"/>
            <rFont val="Tahoma"/>
            <family val="2"/>
          </rPr>
          <t>Gavin Mudd:</t>
        </r>
        <r>
          <rPr>
            <sz val="9"/>
            <color indexed="81"/>
            <rFont val="Tahoma"/>
            <family val="2"/>
          </rPr>
          <t xml:space="preserve">
derived from NSW monazite value</t>
        </r>
      </text>
    </comment>
    <comment ref="GS171" authorId="0" shapeId="0" xr:uid="{B0BB65EE-4867-4B43-BC15-0D01C94D4E85}">
      <text>
        <r>
          <rPr>
            <b/>
            <sz val="9"/>
            <color indexed="81"/>
            <rFont val="Tahoma"/>
            <family val="2"/>
          </rPr>
          <t>Gavin Mudd:</t>
        </r>
        <r>
          <rPr>
            <sz val="9"/>
            <color indexed="81"/>
            <rFont val="Tahoma"/>
            <family val="2"/>
          </rPr>
          <t xml:space="preserve">
assumed</t>
        </r>
      </text>
    </comment>
    <comment ref="HH171" authorId="0" shapeId="0" xr:uid="{3A39053D-21F4-4978-B733-B731F4D2E631}">
      <text>
        <r>
          <rPr>
            <b/>
            <sz val="9"/>
            <color indexed="81"/>
            <rFont val="Tahoma"/>
            <family val="2"/>
          </rPr>
          <t>Gavin Mudd:</t>
        </r>
        <r>
          <rPr>
            <sz val="9"/>
            <color indexed="81"/>
            <rFont val="Tahoma"/>
            <family val="2"/>
          </rPr>
          <t xml:space="preserve">
assumes TAS Placer Osmiridium prill split (USBoM 1924); assumes Rh:Ru ratio is 1:9 (i.e. Rh/Rh+Ru = 10%)</t>
        </r>
      </text>
    </comment>
    <comment ref="HI171" authorId="0" shapeId="0" xr:uid="{B6718213-BFDB-4397-AB0D-421E67D14247}">
      <text>
        <r>
          <rPr>
            <b/>
            <sz val="9"/>
            <color indexed="81"/>
            <rFont val="Tahoma"/>
            <family val="2"/>
          </rPr>
          <t>Gavin Mudd:</t>
        </r>
        <r>
          <rPr>
            <sz val="9"/>
            <color indexed="81"/>
            <rFont val="Tahoma"/>
            <family val="2"/>
          </rPr>
          <t xml:space="preserve">
assumes TAS Placer Osmiridium prill split (USBoM 1924); assumes Rh:Ru ratio is 1:9 (i.e. Ru/Rh+Ru = 90%)</t>
        </r>
      </text>
    </comment>
    <comment ref="HJ171" authorId="0" shapeId="0" xr:uid="{27FB5044-E6A1-4884-BB3B-CE0D562C8A7C}">
      <text>
        <r>
          <rPr>
            <b/>
            <sz val="9"/>
            <color indexed="81"/>
            <rFont val="Tahoma"/>
            <family val="2"/>
          </rPr>
          <t>Gavin Mudd:</t>
        </r>
        <r>
          <rPr>
            <sz val="9"/>
            <color indexed="81"/>
            <rFont val="Tahoma"/>
            <family val="2"/>
          </rPr>
          <t xml:space="preserve">
assumes TAS Placer Osmiridium prill split (USBoM 1924)</t>
        </r>
      </text>
    </comment>
    <comment ref="HK171" authorId="0" shapeId="0" xr:uid="{E1EB515E-356A-4A3E-A409-B54685449697}">
      <text>
        <r>
          <rPr>
            <b/>
            <sz val="9"/>
            <color indexed="81"/>
            <rFont val="Tahoma"/>
            <family val="2"/>
          </rPr>
          <t>Gavin Mudd:</t>
        </r>
        <r>
          <rPr>
            <sz val="9"/>
            <color indexed="81"/>
            <rFont val="Tahoma"/>
            <family val="2"/>
          </rPr>
          <t xml:space="preserve">
assumes TAS Placer Osmiridium prill split (USBoM 1924)</t>
        </r>
      </text>
    </comment>
    <comment ref="IA171" authorId="0" shapeId="0" xr:uid="{B8AEDCD7-D77A-4ED4-A1BF-81C0B7D85E4B}">
      <text>
        <r>
          <rPr>
            <b/>
            <sz val="9"/>
            <color indexed="81"/>
            <rFont val="Tahoma"/>
            <family val="2"/>
          </rPr>
          <t>Gavin Mudd:</t>
        </r>
        <r>
          <rPr>
            <sz val="9"/>
            <color indexed="81"/>
            <rFont val="Tahoma"/>
            <family val="2"/>
          </rPr>
          <t xml:space="preserve">
derived from WA monazite value</t>
        </r>
      </text>
    </comment>
    <comment ref="GX172" authorId="0" shapeId="0" xr:uid="{B104F1E8-68F6-4A31-8F66-52C6A1693D20}">
      <text>
        <r>
          <rPr>
            <b/>
            <sz val="9"/>
            <color indexed="81"/>
            <rFont val="Tahoma"/>
            <family val="2"/>
          </rPr>
          <t>Gavin Mudd:</t>
        </r>
        <r>
          <rPr>
            <sz val="9"/>
            <color indexed="81"/>
            <rFont val="Tahoma"/>
            <family val="2"/>
          </rPr>
          <t xml:space="preserve">
assumes NSW Placer PGE prill split (USBoM 1924)</t>
        </r>
      </text>
    </comment>
    <comment ref="GY172" authorId="0" shapeId="0" xr:uid="{EB639825-2F6C-46BB-844B-34D9DF331917}">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2" authorId="0" shapeId="0" xr:uid="{3BFDAE96-DA70-44D8-98D2-69156AB7FED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2" authorId="0" shapeId="0" xr:uid="{5FB78D81-41C2-419F-8B49-24FBDFFA377D}">
      <text>
        <r>
          <rPr>
            <b/>
            <sz val="9"/>
            <color indexed="81"/>
            <rFont val="Tahoma"/>
            <family val="2"/>
          </rPr>
          <t>Gavin Mudd:</t>
        </r>
        <r>
          <rPr>
            <sz val="9"/>
            <color indexed="81"/>
            <rFont val="Tahoma"/>
            <family val="2"/>
          </rPr>
          <t xml:space="preserve">
assumes NSW Placer PGE prill split (USBoM 1924)</t>
        </r>
      </text>
    </comment>
    <comment ref="IA172" authorId="0" shapeId="0" xr:uid="{31C3F984-FBDB-43B5-8138-36BBCA801089}">
      <text>
        <r>
          <rPr>
            <b/>
            <sz val="9"/>
            <color indexed="81"/>
            <rFont val="Tahoma"/>
            <family val="2"/>
          </rPr>
          <t>Gavin Mudd:</t>
        </r>
        <r>
          <rPr>
            <sz val="9"/>
            <color indexed="81"/>
            <rFont val="Tahoma"/>
            <family val="2"/>
          </rPr>
          <t xml:space="preserve">
derived from WA monazite value</t>
        </r>
      </text>
    </comment>
    <comment ref="GX173" authorId="0" shapeId="0" xr:uid="{50E4C86A-C963-428A-AAA0-0188126912B0}">
      <text>
        <r>
          <rPr>
            <b/>
            <sz val="9"/>
            <color indexed="81"/>
            <rFont val="Tahoma"/>
            <family val="2"/>
          </rPr>
          <t>Gavin Mudd:</t>
        </r>
        <r>
          <rPr>
            <sz val="9"/>
            <color indexed="81"/>
            <rFont val="Tahoma"/>
            <family val="2"/>
          </rPr>
          <t xml:space="preserve">
assumes NSW Placer PGE prill split (USBoM 1924)</t>
        </r>
      </text>
    </comment>
    <comment ref="GY173" authorId="0" shapeId="0" xr:uid="{73E8FAB6-7673-48C8-A874-9C8ABEFF556D}">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3" authorId="0" shapeId="0" xr:uid="{C55045AF-4786-442B-866A-C35075E51B23}">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3" authorId="0" shapeId="0" xr:uid="{1BD68E17-911F-456C-983D-26C505E143A6}">
      <text>
        <r>
          <rPr>
            <b/>
            <sz val="9"/>
            <color indexed="81"/>
            <rFont val="Tahoma"/>
            <family val="2"/>
          </rPr>
          <t>Gavin Mudd:</t>
        </r>
        <r>
          <rPr>
            <sz val="9"/>
            <color indexed="81"/>
            <rFont val="Tahoma"/>
            <family val="2"/>
          </rPr>
          <t xml:space="preserve">
assumes NSW Placer PGE prill split (USBoM 1924)</t>
        </r>
      </text>
    </comment>
    <comment ref="IA173" authorId="0" shapeId="0" xr:uid="{3713D892-11A1-4D9E-9542-12536862C3BC}">
      <text>
        <r>
          <rPr>
            <b/>
            <sz val="9"/>
            <color indexed="81"/>
            <rFont val="Tahoma"/>
            <family val="2"/>
          </rPr>
          <t>Gavin Mudd:</t>
        </r>
        <r>
          <rPr>
            <sz val="9"/>
            <color indexed="81"/>
            <rFont val="Tahoma"/>
            <family val="2"/>
          </rPr>
          <t xml:space="preserve">
derived from WA monazite value</t>
        </r>
      </text>
    </comment>
    <comment ref="AH174" authorId="0" shapeId="0" xr:uid="{44DA3743-2185-4E15-A109-8EC22ACF9EB8}">
      <text>
        <r>
          <rPr>
            <b/>
            <sz val="9"/>
            <color indexed="81"/>
            <rFont val="Tahoma"/>
            <family val="2"/>
          </rPr>
          <t>Gavin Mudd:</t>
        </r>
        <r>
          <rPr>
            <sz val="9"/>
            <color indexed="81"/>
            <rFont val="Tahoma"/>
            <family val="2"/>
          </rPr>
          <t xml:space="preserve">
assumed</t>
        </r>
      </text>
    </comment>
    <comment ref="GX174" authorId="0" shapeId="0" xr:uid="{F04B3BA8-F1C2-4AA2-88FE-64EAA0D62D4C}">
      <text>
        <r>
          <rPr>
            <b/>
            <sz val="9"/>
            <color indexed="81"/>
            <rFont val="Tahoma"/>
            <family val="2"/>
          </rPr>
          <t>Gavin Mudd:</t>
        </r>
        <r>
          <rPr>
            <sz val="9"/>
            <color indexed="81"/>
            <rFont val="Tahoma"/>
            <family val="2"/>
          </rPr>
          <t xml:space="preserve">
assumes NSW Placer PGE prill split (USBoM 1924)</t>
        </r>
      </text>
    </comment>
    <comment ref="GY174" authorId="0" shapeId="0" xr:uid="{4CC8D87E-0EDD-44EF-AD2A-D9877ECB445F}">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4" authorId="0" shapeId="0" xr:uid="{52477ECC-FC25-43A0-8920-E4CE33BDDE0F}">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4" authorId="0" shapeId="0" xr:uid="{8804D078-522B-434A-9E47-1AEBACF53884}">
      <text>
        <r>
          <rPr>
            <b/>
            <sz val="9"/>
            <color indexed="81"/>
            <rFont val="Tahoma"/>
            <family val="2"/>
          </rPr>
          <t>Gavin Mudd:</t>
        </r>
        <r>
          <rPr>
            <sz val="9"/>
            <color indexed="81"/>
            <rFont val="Tahoma"/>
            <family val="2"/>
          </rPr>
          <t xml:space="preserve">
assumes NSW Placer PGE prill split (USBoM 1924)</t>
        </r>
      </text>
    </comment>
    <comment ref="IA174" authorId="0" shapeId="0" xr:uid="{2326A8B2-948C-4B8F-9B22-F127560C421B}">
      <text>
        <r>
          <rPr>
            <b/>
            <sz val="9"/>
            <color indexed="81"/>
            <rFont val="Tahoma"/>
            <family val="2"/>
          </rPr>
          <t>Gavin Mudd:</t>
        </r>
        <r>
          <rPr>
            <sz val="9"/>
            <color indexed="81"/>
            <rFont val="Tahoma"/>
            <family val="2"/>
          </rPr>
          <t xml:space="preserve">
derived from WA monazite value</t>
        </r>
      </text>
    </comment>
    <comment ref="GX175" authorId="0" shapeId="0" xr:uid="{56FDDFCF-1C8E-4B3F-8DEE-2B74F9F6AF10}">
      <text>
        <r>
          <rPr>
            <b/>
            <sz val="9"/>
            <color indexed="81"/>
            <rFont val="Tahoma"/>
            <family val="2"/>
          </rPr>
          <t>Gavin Mudd:</t>
        </r>
        <r>
          <rPr>
            <sz val="9"/>
            <color indexed="81"/>
            <rFont val="Tahoma"/>
            <family val="2"/>
          </rPr>
          <t xml:space="preserve">
assumes NSW Placer PGE prill split (USBoM 1924)</t>
        </r>
      </text>
    </comment>
    <comment ref="GY175" authorId="0" shapeId="0" xr:uid="{AA3D707D-7D6C-4371-A715-5C9F40ED1D70}">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5" authorId="0" shapeId="0" xr:uid="{2E8FF765-F621-4FD8-9F0C-8E8F173AB098}">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5" authorId="0" shapeId="0" xr:uid="{63521F24-838E-4D51-B392-CAF2DCEE1BA1}">
      <text>
        <r>
          <rPr>
            <b/>
            <sz val="9"/>
            <color indexed="81"/>
            <rFont val="Tahoma"/>
            <family val="2"/>
          </rPr>
          <t>Gavin Mudd:</t>
        </r>
        <r>
          <rPr>
            <sz val="9"/>
            <color indexed="81"/>
            <rFont val="Tahoma"/>
            <family val="2"/>
          </rPr>
          <t xml:space="preserve">
assumes NSW Placer PGE prill split (USBoM 1924)</t>
        </r>
      </text>
    </comment>
    <comment ref="IA175" authorId="0" shapeId="0" xr:uid="{E27563BE-AFF4-4DD0-85DF-8E442E51C7BC}">
      <text>
        <r>
          <rPr>
            <b/>
            <sz val="9"/>
            <color indexed="81"/>
            <rFont val="Tahoma"/>
            <family val="2"/>
          </rPr>
          <t>Gavin Mudd:</t>
        </r>
        <r>
          <rPr>
            <sz val="9"/>
            <color indexed="81"/>
            <rFont val="Tahoma"/>
            <family val="2"/>
          </rPr>
          <t xml:space="preserve">
derived from WA monazite value</t>
        </r>
      </text>
    </comment>
    <comment ref="AH176" authorId="0" shapeId="0" xr:uid="{53B5E381-2B04-4731-8EA0-F32B10FD4EB8}">
      <text>
        <r>
          <rPr>
            <b/>
            <sz val="9"/>
            <color indexed="81"/>
            <rFont val="Tahoma"/>
            <family val="2"/>
          </rPr>
          <t>Gavin Mudd:</t>
        </r>
        <r>
          <rPr>
            <sz val="9"/>
            <color indexed="81"/>
            <rFont val="Tahoma"/>
            <family val="2"/>
          </rPr>
          <t xml:space="preserve">
assumed</t>
        </r>
      </text>
    </comment>
    <comment ref="IA176" authorId="0" shapeId="0" xr:uid="{69EFB446-CD31-4C61-8D60-B81246338D38}">
      <text>
        <r>
          <rPr>
            <b/>
            <sz val="9"/>
            <color indexed="81"/>
            <rFont val="Tahoma"/>
            <family val="2"/>
          </rPr>
          <t>Gavin Mudd:</t>
        </r>
        <r>
          <rPr>
            <sz val="9"/>
            <color indexed="81"/>
            <rFont val="Tahoma"/>
            <family val="2"/>
          </rPr>
          <t xml:space="preserve">
derived from WA monazite value</t>
        </r>
      </text>
    </comment>
    <comment ref="IA177" authorId="0" shapeId="0" xr:uid="{A15D2E09-3720-42D4-8C58-AFB1B18BA520}">
      <text>
        <r>
          <rPr>
            <b/>
            <sz val="9"/>
            <color indexed="81"/>
            <rFont val="Tahoma"/>
            <family val="2"/>
          </rPr>
          <t>Gavin Mudd:</t>
        </r>
        <r>
          <rPr>
            <sz val="9"/>
            <color indexed="81"/>
            <rFont val="Tahoma"/>
            <family val="2"/>
          </rPr>
          <t xml:space="preserve">
derived from WA monazite value</t>
        </r>
      </text>
    </comment>
    <comment ref="GX178" authorId="0" shapeId="0" xr:uid="{9EEE6934-2F45-4F1A-8D1A-731E766A4126}">
      <text>
        <r>
          <rPr>
            <b/>
            <sz val="9"/>
            <color indexed="81"/>
            <rFont val="Tahoma"/>
            <family val="2"/>
          </rPr>
          <t>Gavin Mudd:</t>
        </r>
        <r>
          <rPr>
            <sz val="9"/>
            <color indexed="81"/>
            <rFont val="Tahoma"/>
            <family val="2"/>
          </rPr>
          <t xml:space="preserve">
assumes NSW Placer PGE prill split (USBoM 1924)</t>
        </r>
      </text>
    </comment>
    <comment ref="GY178" authorId="0" shapeId="0" xr:uid="{1DBB5E19-A54F-4FBF-9992-66703DD33AE4}">
      <text>
        <r>
          <rPr>
            <b/>
            <sz val="9"/>
            <color indexed="81"/>
            <rFont val="Tahoma"/>
            <family val="2"/>
          </rPr>
          <t>Gavin Mudd:</t>
        </r>
        <r>
          <rPr>
            <sz val="9"/>
            <color indexed="81"/>
            <rFont val="Tahoma"/>
            <family val="2"/>
          </rPr>
          <t xml:space="preserve">
assumes NSW Placer PGE prill split (USBoM 1924); assumes Rh:Ru ratio is 1:9 (i.e. Rh/Rh+Ru = 10%)</t>
        </r>
      </text>
    </comment>
    <comment ref="GZ178" authorId="0" shapeId="0" xr:uid="{3C46F725-61E8-4B97-BC05-CD0C5B51B3B7}">
      <text>
        <r>
          <rPr>
            <b/>
            <sz val="9"/>
            <color indexed="81"/>
            <rFont val="Tahoma"/>
            <family val="2"/>
          </rPr>
          <t>Gavin Mudd:</t>
        </r>
        <r>
          <rPr>
            <sz val="9"/>
            <color indexed="81"/>
            <rFont val="Tahoma"/>
            <family val="2"/>
          </rPr>
          <t xml:space="preserve">
assumes NSW Placer PGE prill split (USBoM 1924); assumes Rh:Ru ratio is 1:9 (i.e. Ru/Rh+Ru = 90%)</t>
        </r>
      </text>
    </comment>
    <comment ref="HA178" authorId="0" shapeId="0" xr:uid="{7C762CBA-0FAE-49D2-8EF1-4D16F9BFDF90}">
      <text>
        <r>
          <rPr>
            <b/>
            <sz val="9"/>
            <color indexed="81"/>
            <rFont val="Tahoma"/>
            <family val="2"/>
          </rPr>
          <t>Gavin Mudd:</t>
        </r>
        <r>
          <rPr>
            <sz val="9"/>
            <color indexed="81"/>
            <rFont val="Tahoma"/>
            <family val="2"/>
          </rPr>
          <t xml:space="preserve">
assumes NSW Placer PGE prill split (USBoM 1924)</t>
        </r>
      </text>
    </comment>
    <comment ref="IA178" authorId="0" shapeId="0" xr:uid="{2E5D2F3C-983D-422F-BE91-A9522C496BC3}">
      <text>
        <r>
          <rPr>
            <b/>
            <sz val="9"/>
            <color indexed="81"/>
            <rFont val="Tahoma"/>
            <family val="2"/>
          </rPr>
          <t>Gavin Mudd:</t>
        </r>
        <r>
          <rPr>
            <sz val="9"/>
            <color indexed="81"/>
            <rFont val="Tahoma"/>
            <family val="2"/>
          </rPr>
          <t xml:space="preserve">
derived from WA monazite value</t>
        </r>
      </text>
    </comment>
    <comment ref="IA179" authorId="0" shapeId="0" xr:uid="{C3DA8939-86DC-4B7B-AEB0-5060157F0560}">
      <text>
        <r>
          <rPr>
            <b/>
            <sz val="9"/>
            <color indexed="81"/>
            <rFont val="Tahoma"/>
            <family val="2"/>
          </rPr>
          <t>Gavin Mudd:</t>
        </r>
        <r>
          <rPr>
            <sz val="9"/>
            <color indexed="81"/>
            <rFont val="Tahoma"/>
            <family val="2"/>
          </rPr>
          <t xml:space="preserve">
derived from WA monazite value</t>
        </r>
      </text>
    </comment>
    <comment ref="IA180" authorId="0" shapeId="0" xr:uid="{FAB3A58D-A918-49EE-ACB0-37003C5D5516}">
      <text>
        <r>
          <rPr>
            <b/>
            <sz val="9"/>
            <color indexed="81"/>
            <rFont val="Tahoma"/>
            <family val="2"/>
          </rPr>
          <t>Gavin Mudd:</t>
        </r>
        <r>
          <rPr>
            <sz val="9"/>
            <color indexed="81"/>
            <rFont val="Tahoma"/>
            <family val="2"/>
          </rPr>
          <t xml:space="preserve">
derived from WA monazite value</t>
        </r>
      </text>
    </comment>
    <comment ref="IA181" authorId="0" shapeId="0" xr:uid="{1D313647-B372-4126-B1D2-AB605D4F6834}">
      <text>
        <r>
          <rPr>
            <b/>
            <sz val="9"/>
            <color indexed="81"/>
            <rFont val="Tahoma"/>
            <family val="2"/>
          </rPr>
          <t>Gavin Mudd:</t>
        </r>
        <r>
          <rPr>
            <sz val="9"/>
            <color indexed="81"/>
            <rFont val="Tahoma"/>
            <family val="2"/>
          </rPr>
          <t xml:space="preserve">
derived from WA monazite value</t>
        </r>
      </text>
    </comment>
    <comment ref="IA182" authorId="0" shapeId="0" xr:uid="{7A7BD28E-04FC-418E-B3BF-523F1AC52870}">
      <text>
        <r>
          <rPr>
            <b/>
            <sz val="9"/>
            <color indexed="81"/>
            <rFont val="Tahoma"/>
            <family val="2"/>
          </rPr>
          <t>Gavin Mudd:</t>
        </r>
        <r>
          <rPr>
            <sz val="9"/>
            <color indexed="81"/>
            <rFont val="Tahoma"/>
            <family val="2"/>
          </rPr>
          <t xml:space="preserve">
derived from WA monazite value</t>
        </r>
      </text>
    </comment>
    <comment ref="IA183" authorId="0" shapeId="0" xr:uid="{AA86C7BC-852C-4E1A-BCB1-01089E9FAC5E}">
      <text>
        <r>
          <rPr>
            <b/>
            <sz val="9"/>
            <color indexed="81"/>
            <rFont val="Tahoma"/>
            <family val="2"/>
          </rPr>
          <t>Gavin Mudd:</t>
        </r>
        <r>
          <rPr>
            <sz val="9"/>
            <color indexed="81"/>
            <rFont val="Tahoma"/>
            <family val="2"/>
          </rPr>
          <t xml:space="preserve">
derived from WA monazite value</t>
        </r>
      </text>
    </comment>
    <comment ref="IA184" authorId="0" shapeId="0" xr:uid="{DCB24EFE-C86A-4562-94D3-C4B96F7E55AD}">
      <text>
        <r>
          <rPr>
            <b/>
            <sz val="9"/>
            <color indexed="81"/>
            <rFont val="Tahoma"/>
            <family val="2"/>
          </rPr>
          <t>Gavin Mudd:</t>
        </r>
        <r>
          <rPr>
            <sz val="9"/>
            <color indexed="81"/>
            <rFont val="Tahoma"/>
            <family val="2"/>
          </rPr>
          <t xml:space="preserve">
derived from WA monazite value</t>
        </r>
      </text>
    </comment>
    <comment ref="IA185" authorId="0" shapeId="0" xr:uid="{51EA358C-21D6-49E0-8E74-212829E3995A}">
      <text>
        <r>
          <rPr>
            <b/>
            <sz val="9"/>
            <color indexed="81"/>
            <rFont val="Tahoma"/>
            <family val="2"/>
          </rPr>
          <t>Gavin Mudd:</t>
        </r>
        <r>
          <rPr>
            <sz val="9"/>
            <color indexed="81"/>
            <rFont val="Tahoma"/>
            <family val="2"/>
          </rPr>
          <t xml:space="preserve">
derived from WA monazite value</t>
        </r>
      </text>
    </comment>
    <comment ref="IA186" authorId="0" shapeId="0" xr:uid="{026075BB-ED03-4F50-B8D4-D97D0487E82F}">
      <text>
        <r>
          <rPr>
            <b/>
            <sz val="9"/>
            <color indexed="81"/>
            <rFont val="Tahoma"/>
            <family val="2"/>
          </rPr>
          <t>Gavin Mudd:</t>
        </r>
        <r>
          <rPr>
            <sz val="9"/>
            <color indexed="81"/>
            <rFont val="Tahoma"/>
            <family val="2"/>
          </rPr>
          <t xml:space="preserve">
derived from WA monazite value</t>
        </r>
      </text>
    </comment>
    <comment ref="IA187" authorId="0" shapeId="0" xr:uid="{B99DA7A7-5627-4E25-9BDA-A43EB516F722}">
      <text>
        <r>
          <rPr>
            <b/>
            <sz val="9"/>
            <color indexed="81"/>
            <rFont val="Tahoma"/>
            <family val="2"/>
          </rPr>
          <t>Gavin Mudd:</t>
        </r>
        <r>
          <rPr>
            <sz val="9"/>
            <color indexed="81"/>
            <rFont val="Tahoma"/>
            <family val="2"/>
          </rPr>
          <t xml:space="preserve">
derived from WA monazite value</t>
        </r>
      </text>
    </comment>
    <comment ref="EN188" authorId="0" shapeId="0" xr:uid="{D82D0D24-AB20-467F-9445-4F6C0558F03F}">
      <text>
        <r>
          <rPr>
            <b/>
            <sz val="9"/>
            <color indexed="81"/>
            <rFont val="Tahoma"/>
            <family val="2"/>
          </rPr>
          <t>Gavin Mudd:</t>
        </r>
        <r>
          <rPr>
            <sz val="9"/>
            <color indexed="81"/>
            <rFont val="Tahoma"/>
            <family val="2"/>
          </rPr>
          <t xml:space="preserve">
assumed</t>
        </r>
      </text>
    </comment>
    <comment ref="IA188" authorId="0" shapeId="0" xr:uid="{30B9968E-D50C-4921-BF3C-A4EA617C8F7C}">
      <text>
        <r>
          <rPr>
            <b/>
            <sz val="9"/>
            <color indexed="81"/>
            <rFont val="Tahoma"/>
            <family val="2"/>
          </rPr>
          <t>Gavin Mudd:</t>
        </r>
        <r>
          <rPr>
            <sz val="9"/>
            <color indexed="81"/>
            <rFont val="Tahoma"/>
            <family val="2"/>
          </rPr>
          <t xml:space="preserve">
derived from WA monazite value</t>
        </r>
      </text>
    </comment>
    <comment ref="IA189" authorId="0" shapeId="0" xr:uid="{6AF1520D-7EA8-4C6E-B12D-22D84876C653}">
      <text>
        <r>
          <rPr>
            <b/>
            <sz val="9"/>
            <color indexed="81"/>
            <rFont val="Tahoma"/>
            <family val="2"/>
          </rPr>
          <t>Gavin Mudd:</t>
        </r>
        <r>
          <rPr>
            <sz val="9"/>
            <color indexed="81"/>
            <rFont val="Tahoma"/>
            <family val="2"/>
          </rPr>
          <t xml:space="preserve">
derived from WA monazite value</t>
        </r>
      </text>
    </comment>
    <comment ref="IA190" authorId="0" shapeId="0" xr:uid="{3528D752-2606-4D9A-A3A4-525D866FC20B}">
      <text>
        <r>
          <rPr>
            <b/>
            <sz val="9"/>
            <color indexed="81"/>
            <rFont val="Tahoma"/>
            <family val="2"/>
          </rPr>
          <t>Gavin Mudd:</t>
        </r>
        <r>
          <rPr>
            <sz val="9"/>
            <color indexed="81"/>
            <rFont val="Tahoma"/>
            <family val="2"/>
          </rPr>
          <t xml:space="preserve">
derived from WA monazite value</t>
        </r>
      </text>
    </comment>
    <comment ref="IA191" authorId="0" shapeId="0" xr:uid="{2315CDF7-37B3-49A5-BEFA-4A739CE7C862}">
      <text>
        <r>
          <rPr>
            <b/>
            <sz val="9"/>
            <color indexed="81"/>
            <rFont val="Tahoma"/>
            <family val="2"/>
          </rPr>
          <t>Gavin Mudd:</t>
        </r>
        <r>
          <rPr>
            <sz val="9"/>
            <color indexed="81"/>
            <rFont val="Tahoma"/>
            <family val="2"/>
          </rPr>
          <t xml:space="preserve">
derived from WA monazite value</t>
        </r>
      </text>
    </comment>
    <comment ref="IA192" authorId="0" shapeId="0" xr:uid="{D9B2D8C9-2DC3-4049-B902-066AA9A0D118}">
      <text>
        <r>
          <rPr>
            <b/>
            <sz val="9"/>
            <color indexed="81"/>
            <rFont val="Tahoma"/>
            <family val="2"/>
          </rPr>
          <t>Gavin Mudd:</t>
        </r>
        <r>
          <rPr>
            <sz val="9"/>
            <color indexed="81"/>
            <rFont val="Tahoma"/>
            <family val="2"/>
          </rPr>
          <t xml:space="preserve">
derived from WA monazite value</t>
        </r>
      </text>
    </comment>
    <comment ref="IA193" authorId="0" shapeId="0" xr:uid="{A3EDF43A-B83B-48D5-B4B8-56251A41E311}">
      <text>
        <r>
          <rPr>
            <b/>
            <sz val="9"/>
            <color indexed="81"/>
            <rFont val="Tahoma"/>
            <family val="2"/>
          </rPr>
          <t>Gavin Mudd:</t>
        </r>
        <r>
          <rPr>
            <sz val="9"/>
            <color indexed="81"/>
            <rFont val="Tahoma"/>
            <family val="2"/>
          </rPr>
          <t xml:space="preserve">
derived from WA monazite value</t>
        </r>
      </text>
    </comment>
    <comment ref="EW194" authorId="0" shapeId="0" xr:uid="{6325E889-6B7E-414C-9A38-E5FF8F092DBA}">
      <text>
        <r>
          <rPr>
            <b/>
            <sz val="9"/>
            <color indexed="81"/>
            <rFont val="Tahoma"/>
            <family val="2"/>
          </rPr>
          <t>Gavin Mudd:</t>
        </r>
        <r>
          <rPr>
            <sz val="9"/>
            <color indexed="81"/>
            <rFont val="Tahoma"/>
            <family val="2"/>
          </rPr>
          <t xml:space="preserve">
based on Historical Statistics (Kelly et al, USGS) and exchange rates (ABARE / OCE etc)</t>
        </r>
      </text>
    </comment>
    <comment ref="IA194" authorId="0" shapeId="0" xr:uid="{3B756F3D-EA54-49CD-B074-DA0CE0010DEC}">
      <text>
        <r>
          <rPr>
            <b/>
            <sz val="9"/>
            <color indexed="81"/>
            <rFont val="Tahoma"/>
            <family val="2"/>
          </rPr>
          <t>Gavin Mudd:</t>
        </r>
        <r>
          <rPr>
            <sz val="9"/>
            <color indexed="81"/>
            <rFont val="Tahoma"/>
            <family val="2"/>
          </rPr>
          <t xml:space="preserve">
derived from WA monazite value</t>
        </r>
      </text>
    </comment>
    <comment ref="IA195" authorId="0" shapeId="0" xr:uid="{1722CC04-534C-4C5C-92C4-634752E22C84}">
      <text>
        <r>
          <rPr>
            <b/>
            <sz val="9"/>
            <color indexed="81"/>
            <rFont val="Tahoma"/>
            <family val="2"/>
          </rPr>
          <t>Gavin Mudd:</t>
        </r>
        <r>
          <rPr>
            <sz val="9"/>
            <color indexed="81"/>
            <rFont val="Tahoma"/>
            <family val="2"/>
          </rPr>
          <t xml:space="preserve">
derived from WA monazite value</t>
        </r>
      </text>
    </comment>
    <comment ref="IA196" authorId="0" shapeId="0" xr:uid="{C08279E5-B50F-4244-B8C5-73E159723D91}">
      <text>
        <r>
          <rPr>
            <b/>
            <sz val="9"/>
            <color indexed="81"/>
            <rFont val="Tahoma"/>
            <family val="2"/>
          </rPr>
          <t>Gavin Mudd:</t>
        </r>
        <r>
          <rPr>
            <sz val="9"/>
            <color indexed="81"/>
            <rFont val="Tahoma"/>
            <family val="2"/>
          </rPr>
          <t xml:space="preserve">
derived from WA monazite value</t>
        </r>
      </text>
    </comment>
    <comment ref="IA197" authorId="0" shapeId="0" xr:uid="{B94B833F-2208-4B3A-B60F-3A2F7BE4CCCC}">
      <text>
        <r>
          <rPr>
            <b/>
            <sz val="9"/>
            <color indexed="81"/>
            <rFont val="Tahoma"/>
            <family val="2"/>
          </rPr>
          <t>Gavin Mudd:</t>
        </r>
        <r>
          <rPr>
            <sz val="9"/>
            <color indexed="81"/>
            <rFont val="Tahoma"/>
            <family val="2"/>
          </rPr>
          <t xml:space="preserve">
derived from WA monazite value</t>
        </r>
      </text>
    </comment>
    <comment ref="GS198" authorId="0" shapeId="0" xr:uid="{0A9D701C-1E45-4588-B284-0B3B3758853C}">
      <text>
        <r>
          <rPr>
            <b/>
            <sz val="9"/>
            <color indexed="81"/>
            <rFont val="Tahoma"/>
            <family val="2"/>
          </rPr>
          <t>Gavin Mudd:</t>
        </r>
        <r>
          <rPr>
            <sz val="9"/>
            <color indexed="81"/>
            <rFont val="Tahoma"/>
            <family val="2"/>
          </rPr>
          <t xml:space="preserve">
assumed</t>
        </r>
      </text>
    </comment>
    <comment ref="IA198" authorId="0" shapeId="0" xr:uid="{E5737E3B-D545-4B8E-B167-BA2BDCB4FB83}">
      <text>
        <r>
          <rPr>
            <b/>
            <sz val="9"/>
            <color indexed="81"/>
            <rFont val="Tahoma"/>
            <family val="2"/>
          </rPr>
          <t>Gavin Mudd:</t>
        </r>
        <r>
          <rPr>
            <sz val="9"/>
            <color indexed="81"/>
            <rFont val="Tahoma"/>
            <family val="2"/>
          </rPr>
          <t xml:space="preserve">
derived from WA monazite value</t>
        </r>
      </text>
    </comment>
    <comment ref="GS199" authorId="0" shapeId="0" xr:uid="{A88702C2-0A0B-45CB-B16B-FD925014B258}">
      <text>
        <r>
          <rPr>
            <b/>
            <sz val="9"/>
            <color indexed="81"/>
            <rFont val="Tahoma"/>
            <family val="2"/>
          </rPr>
          <t>Gavin Mudd:</t>
        </r>
        <r>
          <rPr>
            <sz val="9"/>
            <color indexed="81"/>
            <rFont val="Tahoma"/>
            <family val="2"/>
          </rPr>
          <t xml:space="preserve">
assumed</t>
        </r>
      </text>
    </comment>
    <comment ref="IA199" authorId="0" shapeId="0" xr:uid="{E7489389-FA7E-490A-9DC8-0BC80E023631}">
      <text>
        <r>
          <rPr>
            <b/>
            <sz val="9"/>
            <color indexed="81"/>
            <rFont val="Tahoma"/>
            <family val="2"/>
          </rPr>
          <t>Gavin Mudd:</t>
        </r>
        <r>
          <rPr>
            <sz val="9"/>
            <color indexed="81"/>
            <rFont val="Tahoma"/>
            <family val="2"/>
          </rPr>
          <t xml:space="preserve">
derived from WA monazite value</t>
        </r>
      </text>
    </comment>
    <comment ref="IA200" authorId="0" shapeId="0" xr:uid="{74CDAD29-5956-436D-B763-80A8134122A8}">
      <text>
        <r>
          <rPr>
            <b/>
            <sz val="9"/>
            <color indexed="81"/>
            <rFont val="Tahoma"/>
            <family val="2"/>
          </rPr>
          <t>Gavin Mudd:</t>
        </r>
        <r>
          <rPr>
            <sz val="9"/>
            <color indexed="81"/>
            <rFont val="Tahoma"/>
            <family val="2"/>
          </rPr>
          <t xml:space="preserve">
derived from WA monazite value</t>
        </r>
      </text>
    </comment>
    <comment ref="IA201" authorId="0" shapeId="0" xr:uid="{B3FF33F0-0D99-414C-AF4D-D3CCDB01FC2E}">
      <text>
        <r>
          <rPr>
            <b/>
            <sz val="9"/>
            <color indexed="81"/>
            <rFont val="Tahoma"/>
            <family val="2"/>
          </rPr>
          <t>Gavin Mudd:</t>
        </r>
        <r>
          <rPr>
            <sz val="9"/>
            <color indexed="81"/>
            <rFont val="Tahoma"/>
            <family val="2"/>
          </rPr>
          <t xml:space="preserve">
derived from WA monazite value</t>
        </r>
      </text>
    </comment>
    <comment ref="CZ202" authorId="0" shapeId="0" xr:uid="{7D97BDC4-4F07-4CD2-A4C5-26245D4DF180}">
      <text>
        <r>
          <rPr>
            <b/>
            <sz val="9"/>
            <color indexed="81"/>
            <rFont val="Tahoma"/>
            <family val="2"/>
          </rPr>
          <t>Gavin Mudd:</t>
        </r>
        <r>
          <rPr>
            <sz val="9"/>
            <color indexed="81"/>
            <rFont val="Tahoma"/>
            <family val="2"/>
          </rPr>
          <t xml:space="preserve">
best estimate</t>
        </r>
      </text>
    </comment>
    <comment ref="IA202" authorId="0" shapeId="0" xr:uid="{409DB559-2883-4E3C-8FBD-82E03935B3E8}">
      <text>
        <r>
          <rPr>
            <b/>
            <sz val="9"/>
            <color indexed="81"/>
            <rFont val="Tahoma"/>
            <family val="2"/>
          </rPr>
          <t>Gavin Mudd:</t>
        </r>
        <r>
          <rPr>
            <sz val="9"/>
            <color indexed="81"/>
            <rFont val="Tahoma"/>
            <family val="2"/>
          </rPr>
          <t xml:space="preserve">
derived from WA monazite value</t>
        </r>
      </text>
    </comment>
    <comment ref="CZ203" authorId="0" shapeId="0" xr:uid="{F35F27EC-8EB0-407D-9056-4FF2A06A7265}">
      <text>
        <r>
          <rPr>
            <b/>
            <sz val="9"/>
            <color indexed="81"/>
            <rFont val="Tahoma"/>
            <family val="2"/>
          </rPr>
          <t>Gavin Mudd:</t>
        </r>
        <r>
          <rPr>
            <sz val="9"/>
            <color indexed="81"/>
            <rFont val="Tahoma"/>
            <family val="2"/>
          </rPr>
          <t xml:space="preserve">
best estimate</t>
        </r>
      </text>
    </comment>
    <comment ref="GS203" authorId="0" shapeId="0" xr:uid="{04A5C25E-AEF2-4D18-B51B-A6655472F158}">
      <text>
        <r>
          <rPr>
            <b/>
            <sz val="9"/>
            <color indexed="81"/>
            <rFont val="Tahoma"/>
            <family val="2"/>
          </rPr>
          <t>Gavin Mudd:</t>
        </r>
        <r>
          <rPr>
            <sz val="9"/>
            <color indexed="81"/>
            <rFont val="Tahoma"/>
            <family val="2"/>
          </rPr>
          <t xml:space="preserve">
assumed</t>
        </r>
      </text>
    </comment>
    <comment ref="IA203" authorId="0" shapeId="0" xr:uid="{0BDA2A31-DFCC-4CBE-A1ED-A1FDE5635D25}">
      <text>
        <r>
          <rPr>
            <b/>
            <sz val="9"/>
            <color indexed="81"/>
            <rFont val="Tahoma"/>
            <family val="2"/>
          </rPr>
          <t>Gavin Mudd:</t>
        </r>
        <r>
          <rPr>
            <sz val="9"/>
            <color indexed="81"/>
            <rFont val="Tahoma"/>
            <family val="2"/>
          </rPr>
          <t xml:space="preserve">
derived from WA monazite value</t>
        </r>
      </text>
    </comment>
    <comment ref="CZ204" authorId="0" shapeId="0" xr:uid="{1B91F9B5-7298-4956-BE57-3887330FD5E3}">
      <text>
        <r>
          <rPr>
            <b/>
            <sz val="9"/>
            <color indexed="81"/>
            <rFont val="Tahoma"/>
            <family val="2"/>
          </rPr>
          <t>Gavin Mudd:</t>
        </r>
        <r>
          <rPr>
            <sz val="9"/>
            <color indexed="81"/>
            <rFont val="Tahoma"/>
            <family val="2"/>
          </rPr>
          <t xml:space="preserve">
best estimate</t>
        </r>
      </text>
    </comment>
    <comment ref="GS204" authorId="0" shapeId="0" xr:uid="{4D5FCBFD-B947-4757-A3A6-85D7F8798B29}">
      <text>
        <r>
          <rPr>
            <b/>
            <sz val="9"/>
            <color indexed="81"/>
            <rFont val="Tahoma"/>
            <family val="2"/>
          </rPr>
          <t>Gavin Mudd:</t>
        </r>
        <r>
          <rPr>
            <sz val="9"/>
            <color indexed="81"/>
            <rFont val="Tahoma"/>
            <family val="2"/>
          </rPr>
          <t xml:space="preserve">
assumed</t>
        </r>
      </text>
    </comment>
    <comment ref="IA204" authorId="0" shapeId="0" xr:uid="{889A8BB4-9B0D-4CE2-85D6-44A5E27912E3}">
      <text>
        <r>
          <rPr>
            <b/>
            <sz val="9"/>
            <color indexed="81"/>
            <rFont val="Tahoma"/>
            <family val="2"/>
          </rPr>
          <t>Gavin Mudd:</t>
        </r>
        <r>
          <rPr>
            <sz val="9"/>
            <color indexed="81"/>
            <rFont val="Tahoma"/>
            <family val="2"/>
          </rPr>
          <t xml:space="preserve">
derived from WA monazite value</t>
        </r>
      </text>
    </comment>
    <comment ref="CZ205" authorId="0" shapeId="0" xr:uid="{C7B0F539-5027-4834-8299-D0C3A9ECAA05}">
      <text>
        <r>
          <rPr>
            <b/>
            <sz val="9"/>
            <color indexed="81"/>
            <rFont val="Tahoma"/>
            <family val="2"/>
          </rPr>
          <t>Gavin Mudd:</t>
        </r>
        <r>
          <rPr>
            <sz val="9"/>
            <color indexed="81"/>
            <rFont val="Tahoma"/>
            <family val="2"/>
          </rPr>
          <t xml:space="preserve">
best estimate</t>
        </r>
      </text>
    </comment>
    <comment ref="GS205" authorId="0" shapeId="0" xr:uid="{19661FA6-A85B-412E-BE1D-F6699E33147E}">
      <text>
        <r>
          <rPr>
            <b/>
            <sz val="9"/>
            <color indexed="81"/>
            <rFont val="Tahoma"/>
            <family val="2"/>
          </rPr>
          <t>Gavin Mudd:</t>
        </r>
        <r>
          <rPr>
            <sz val="9"/>
            <color indexed="81"/>
            <rFont val="Tahoma"/>
            <family val="2"/>
          </rPr>
          <t xml:space="preserve">
assumed</t>
        </r>
      </text>
    </comment>
    <comment ref="IA205" authorId="0" shapeId="0" xr:uid="{D28085A4-ECD9-416C-932B-DBF340E36377}">
      <text>
        <r>
          <rPr>
            <b/>
            <sz val="9"/>
            <color indexed="81"/>
            <rFont val="Tahoma"/>
            <family val="2"/>
          </rPr>
          <t>Gavin Mudd:</t>
        </r>
        <r>
          <rPr>
            <sz val="9"/>
            <color indexed="81"/>
            <rFont val="Tahoma"/>
            <family val="2"/>
          </rPr>
          <t xml:space="preserve">
derived from WA monazite value</t>
        </r>
      </text>
    </comment>
    <comment ref="CZ206" authorId="0" shapeId="0" xr:uid="{F90CA8EB-69FE-4683-B832-C1376CAF896B}">
      <text>
        <r>
          <rPr>
            <b/>
            <sz val="9"/>
            <color indexed="81"/>
            <rFont val="Tahoma"/>
            <family val="2"/>
          </rPr>
          <t>Gavin Mudd:</t>
        </r>
        <r>
          <rPr>
            <sz val="9"/>
            <color indexed="81"/>
            <rFont val="Tahoma"/>
            <family val="2"/>
          </rPr>
          <t xml:space="preserve">
best estimate</t>
        </r>
      </text>
    </comment>
    <comment ref="GS206" authorId="0" shapeId="0" xr:uid="{FEA09CD0-B672-4247-B996-BF076FB40732}">
      <text>
        <r>
          <rPr>
            <b/>
            <sz val="9"/>
            <color indexed="81"/>
            <rFont val="Tahoma"/>
            <family val="2"/>
          </rPr>
          <t>Gavin Mudd:</t>
        </r>
        <r>
          <rPr>
            <sz val="9"/>
            <color indexed="81"/>
            <rFont val="Tahoma"/>
            <family val="2"/>
          </rPr>
          <t xml:space="preserve">
assumed</t>
        </r>
      </text>
    </comment>
    <comment ref="IA206" authorId="0" shapeId="0" xr:uid="{DBD630E4-D713-40A9-A32B-981F68029399}">
      <text>
        <r>
          <rPr>
            <b/>
            <sz val="9"/>
            <color indexed="81"/>
            <rFont val="Tahoma"/>
            <family val="2"/>
          </rPr>
          <t>Gavin Mudd:</t>
        </r>
        <r>
          <rPr>
            <sz val="9"/>
            <color indexed="81"/>
            <rFont val="Tahoma"/>
            <family val="2"/>
          </rPr>
          <t xml:space="preserve">
derived from WA monazite value</t>
        </r>
      </text>
    </comment>
    <comment ref="CZ207" authorId="0" shapeId="0" xr:uid="{B7A5E72A-88EB-4A8A-9FAF-DD7D9C96FC83}">
      <text>
        <r>
          <rPr>
            <b/>
            <sz val="9"/>
            <color indexed="81"/>
            <rFont val="Tahoma"/>
            <family val="2"/>
          </rPr>
          <t>Gavin Mudd:</t>
        </r>
        <r>
          <rPr>
            <sz val="9"/>
            <color indexed="81"/>
            <rFont val="Tahoma"/>
            <family val="2"/>
          </rPr>
          <t xml:space="preserve">
best estimate</t>
        </r>
      </text>
    </comment>
    <comment ref="GS207" authorId="0" shapeId="0" xr:uid="{9B91FAF7-D423-4186-9CB3-0AF9AF353B7C}">
      <text>
        <r>
          <rPr>
            <b/>
            <sz val="9"/>
            <color indexed="81"/>
            <rFont val="Tahoma"/>
            <family val="2"/>
          </rPr>
          <t>Gavin Mudd:</t>
        </r>
        <r>
          <rPr>
            <sz val="9"/>
            <color indexed="81"/>
            <rFont val="Tahoma"/>
            <family val="2"/>
          </rPr>
          <t xml:space="preserve">
assumed</t>
        </r>
      </text>
    </comment>
    <comment ref="CZ208" authorId="0" shapeId="0" xr:uid="{D31B173E-7E13-40FA-8787-2B90EB22DAD3}">
      <text>
        <r>
          <rPr>
            <b/>
            <sz val="9"/>
            <color indexed="81"/>
            <rFont val="Tahoma"/>
            <family val="2"/>
          </rPr>
          <t>Gavin Mudd:</t>
        </r>
        <r>
          <rPr>
            <sz val="9"/>
            <color indexed="81"/>
            <rFont val="Tahoma"/>
            <family val="2"/>
          </rPr>
          <t xml:space="preserve">
best estimate</t>
        </r>
      </text>
    </comment>
    <comment ref="GS208" authorId="0" shapeId="0" xr:uid="{C5C4B49F-D6CB-44A5-A14D-010C3FC0EE38}">
      <text>
        <r>
          <rPr>
            <b/>
            <sz val="9"/>
            <color indexed="81"/>
            <rFont val="Tahoma"/>
            <family val="2"/>
          </rPr>
          <t>Gavin Mudd:</t>
        </r>
        <r>
          <rPr>
            <sz val="9"/>
            <color indexed="81"/>
            <rFont val="Tahoma"/>
            <family val="2"/>
          </rPr>
          <t xml:space="preserve">
assumed</t>
        </r>
      </text>
    </comment>
    <comment ref="CZ209" authorId="0" shapeId="0" xr:uid="{56EEB17B-FAD6-484C-886D-FB4B31791C05}">
      <text>
        <r>
          <rPr>
            <b/>
            <sz val="9"/>
            <color indexed="81"/>
            <rFont val="Tahoma"/>
            <family val="2"/>
          </rPr>
          <t>Gavin Mudd:</t>
        </r>
        <r>
          <rPr>
            <sz val="9"/>
            <color indexed="81"/>
            <rFont val="Tahoma"/>
            <family val="2"/>
          </rPr>
          <t xml:space="preserve">
best estimate</t>
        </r>
      </text>
    </comment>
    <comment ref="GS209" authorId="0" shapeId="0" xr:uid="{3B69225A-DFE1-4693-BBB3-8A2425A4401D}">
      <text>
        <r>
          <rPr>
            <b/>
            <sz val="9"/>
            <color indexed="81"/>
            <rFont val="Tahoma"/>
            <family val="2"/>
          </rPr>
          <t>Gavin Mudd:</t>
        </r>
        <r>
          <rPr>
            <sz val="9"/>
            <color indexed="81"/>
            <rFont val="Tahoma"/>
            <family val="2"/>
          </rPr>
          <t xml:space="preserve">
assumed</t>
        </r>
      </text>
    </comment>
    <comment ref="CZ210" authorId="0" shapeId="0" xr:uid="{D703ACD7-1646-409A-BEDC-3DC8812AAB25}">
      <text>
        <r>
          <rPr>
            <b/>
            <sz val="9"/>
            <color indexed="81"/>
            <rFont val="Tahoma"/>
            <family val="2"/>
          </rPr>
          <t>Gavin Mudd:</t>
        </r>
        <r>
          <rPr>
            <sz val="9"/>
            <color indexed="81"/>
            <rFont val="Tahoma"/>
            <family val="2"/>
          </rPr>
          <t xml:space="preserve">
best estimate</t>
        </r>
      </text>
    </comment>
    <comment ref="CZ211" authorId="0" shapeId="0" xr:uid="{7C83FDFD-5591-4B20-A0CE-F7D84F619DE1}">
      <text>
        <r>
          <rPr>
            <b/>
            <sz val="9"/>
            <color indexed="81"/>
            <rFont val="Tahoma"/>
            <family val="2"/>
          </rPr>
          <t>Gavin Mudd:</t>
        </r>
        <r>
          <rPr>
            <sz val="9"/>
            <color indexed="81"/>
            <rFont val="Tahoma"/>
            <family val="2"/>
          </rPr>
          <t xml:space="preserve">
best estimate</t>
        </r>
      </text>
    </comment>
    <comment ref="CZ212" authorId="0" shapeId="0" xr:uid="{98291E92-E912-431A-8913-8ACFB26C7333}">
      <text>
        <r>
          <rPr>
            <b/>
            <sz val="9"/>
            <color indexed="81"/>
            <rFont val="Tahoma"/>
            <family val="2"/>
          </rPr>
          <t>Gavin Mudd:</t>
        </r>
        <r>
          <rPr>
            <sz val="9"/>
            <color indexed="81"/>
            <rFont val="Tahoma"/>
            <family val="2"/>
          </rPr>
          <t xml:space="preserve">
best estimate</t>
        </r>
      </text>
    </comment>
    <comment ref="EW212" authorId="0" shapeId="0" xr:uid="{C9E10849-FF10-4068-980C-A4207F6E8D24}">
      <text>
        <r>
          <rPr>
            <b/>
            <sz val="9"/>
            <color indexed="81"/>
            <rFont val="Tahoma"/>
            <family val="2"/>
          </rPr>
          <t>Gavin Mudd:</t>
        </r>
        <r>
          <rPr>
            <sz val="9"/>
            <color indexed="81"/>
            <rFont val="Tahoma"/>
            <family val="2"/>
          </rPr>
          <t xml:space="preserve">
based on Historical Statistics (Kelly et al, USGS) and exchange rates (ABARE / OCE etc)</t>
        </r>
      </text>
    </comment>
    <comment ref="CZ213" authorId="0" shapeId="0" xr:uid="{5A5A9EFB-9AAF-473A-8BBF-B76A44BCE7B8}">
      <text>
        <r>
          <rPr>
            <b/>
            <sz val="9"/>
            <color indexed="81"/>
            <rFont val="Tahoma"/>
            <family val="2"/>
          </rPr>
          <t>Gavin Mudd:</t>
        </r>
        <r>
          <rPr>
            <sz val="9"/>
            <color indexed="81"/>
            <rFont val="Tahoma"/>
            <family val="2"/>
          </rPr>
          <t xml:space="preserve">
best estimate</t>
        </r>
      </text>
    </comment>
    <comment ref="EW213" authorId="0" shapeId="0" xr:uid="{0D59062A-A0C9-4B2C-814C-55E612E476F0}">
      <text>
        <r>
          <rPr>
            <b/>
            <sz val="9"/>
            <color indexed="81"/>
            <rFont val="Tahoma"/>
            <family val="2"/>
          </rPr>
          <t>Gavin Mudd:</t>
        </r>
        <r>
          <rPr>
            <sz val="9"/>
            <color indexed="81"/>
            <rFont val="Tahoma"/>
            <family val="2"/>
          </rPr>
          <t xml:space="preserve">
based on Historical Statistics (Kelly et al, USGS) and exchange rates (ABARE / OCE etc)</t>
        </r>
      </text>
    </comment>
    <comment ref="CZ214" authorId="0" shapeId="0" xr:uid="{CB086B58-CBC2-4803-AE42-07AB5524E181}">
      <text>
        <r>
          <rPr>
            <b/>
            <sz val="9"/>
            <color indexed="81"/>
            <rFont val="Tahoma"/>
            <family val="2"/>
          </rPr>
          <t>Gavin Mudd:</t>
        </r>
        <r>
          <rPr>
            <sz val="9"/>
            <color indexed="81"/>
            <rFont val="Tahoma"/>
            <family val="2"/>
          </rPr>
          <t xml:space="preserve">
best estimate</t>
        </r>
      </text>
    </comment>
    <comment ref="EW214" authorId="0" shapeId="0" xr:uid="{352F10AB-5178-42AB-93FE-51399E2A7CB5}">
      <text>
        <r>
          <rPr>
            <b/>
            <sz val="9"/>
            <color indexed="81"/>
            <rFont val="Tahoma"/>
            <family val="2"/>
          </rPr>
          <t>Gavin Mudd:</t>
        </r>
        <r>
          <rPr>
            <sz val="9"/>
            <color indexed="81"/>
            <rFont val="Tahoma"/>
            <family val="2"/>
          </rPr>
          <t xml:space="preserve">
based on Historical Statistics (Kelly et al, USGS) and exchange rates (ABARE / OCE etc)</t>
        </r>
      </text>
    </comment>
    <comment ref="IA214" authorId="0" shapeId="0" xr:uid="{282452C4-4A01-461E-AF99-62C1F5BB46ED}">
      <text>
        <r>
          <rPr>
            <b/>
            <sz val="9"/>
            <color indexed="81"/>
            <rFont val="Tahoma"/>
            <family val="2"/>
          </rPr>
          <t>Gavin Mudd:</t>
        </r>
        <r>
          <rPr>
            <sz val="9"/>
            <color indexed="81"/>
            <rFont val="Tahoma"/>
            <family val="2"/>
          </rPr>
          <t xml:space="preserve">
ABARE data</t>
        </r>
      </text>
    </comment>
    <comment ref="CZ215" authorId="0" shapeId="0" xr:uid="{BF10F69F-EDEE-48AB-B028-567C877A1A9D}">
      <text>
        <r>
          <rPr>
            <b/>
            <sz val="9"/>
            <color indexed="81"/>
            <rFont val="Tahoma"/>
            <family val="2"/>
          </rPr>
          <t>Gavin Mudd:</t>
        </r>
        <r>
          <rPr>
            <sz val="9"/>
            <color indexed="81"/>
            <rFont val="Tahoma"/>
            <family val="2"/>
          </rPr>
          <t xml:space="preserve">
best estimate</t>
        </r>
      </text>
    </comment>
    <comment ref="EW215" authorId="0" shapeId="0" xr:uid="{590E8DFB-BB99-4759-A629-885D8CE01A2C}">
      <text>
        <r>
          <rPr>
            <b/>
            <sz val="9"/>
            <color indexed="81"/>
            <rFont val="Tahoma"/>
            <family val="2"/>
          </rPr>
          <t>Gavin Mudd:</t>
        </r>
        <r>
          <rPr>
            <sz val="9"/>
            <color indexed="81"/>
            <rFont val="Tahoma"/>
            <family val="2"/>
          </rPr>
          <t xml:space="preserve">
based on Historical Statistics (Kelly et al, USGS) and exchange rates (ABARE / OCE etc)</t>
        </r>
      </text>
    </comment>
    <comment ref="CZ216" authorId="0" shapeId="0" xr:uid="{BC800F7C-872D-4D95-852F-73B0ABB5FDD7}">
      <text>
        <r>
          <rPr>
            <b/>
            <sz val="9"/>
            <color indexed="81"/>
            <rFont val="Tahoma"/>
            <family val="2"/>
          </rPr>
          <t>Gavin Mudd:</t>
        </r>
        <r>
          <rPr>
            <sz val="9"/>
            <color indexed="81"/>
            <rFont val="Tahoma"/>
            <family val="2"/>
          </rPr>
          <t xml:space="preserve">
best estimate</t>
        </r>
      </text>
    </comment>
    <comment ref="EW216" authorId="0" shapeId="0" xr:uid="{1DACF1CA-839D-4A1D-B841-C7603F6264C4}">
      <text>
        <r>
          <rPr>
            <b/>
            <sz val="9"/>
            <color indexed="81"/>
            <rFont val="Tahoma"/>
            <family val="2"/>
          </rPr>
          <t>Gavin Mudd:</t>
        </r>
        <r>
          <rPr>
            <sz val="9"/>
            <color indexed="81"/>
            <rFont val="Tahoma"/>
            <family val="2"/>
          </rPr>
          <t xml:space="preserve">
based on Historical Statistics (Kelly et al, USGS) and exchange rates (ABARE / OCE etc)</t>
        </r>
      </text>
    </comment>
    <comment ref="CZ217" authorId="0" shapeId="0" xr:uid="{023DBFF6-35AC-4D11-ACD8-B53D4148C00E}">
      <text>
        <r>
          <rPr>
            <b/>
            <sz val="9"/>
            <color indexed="81"/>
            <rFont val="Tahoma"/>
            <family val="2"/>
          </rPr>
          <t>Gavin Mudd:</t>
        </r>
        <r>
          <rPr>
            <sz val="9"/>
            <color indexed="81"/>
            <rFont val="Tahoma"/>
            <family val="2"/>
          </rPr>
          <t xml:space="preserve">
best estimate</t>
        </r>
      </text>
    </comment>
    <comment ref="CZ218" authorId="0" shapeId="0" xr:uid="{050D5D1F-7A42-49AB-BF49-EA38A2168AEE}">
      <text>
        <r>
          <rPr>
            <b/>
            <sz val="9"/>
            <color indexed="81"/>
            <rFont val="Tahoma"/>
            <family val="2"/>
          </rPr>
          <t>Gavin Mudd:</t>
        </r>
        <r>
          <rPr>
            <sz val="9"/>
            <color indexed="81"/>
            <rFont val="Tahoma"/>
            <family val="2"/>
          </rPr>
          <t xml:space="preserve">
best estimate</t>
        </r>
      </text>
    </comment>
    <comment ref="CZ219" authorId="0" shapeId="0" xr:uid="{88275C5E-1266-4724-8B89-8B69D5F31E55}">
      <text>
        <r>
          <rPr>
            <b/>
            <sz val="9"/>
            <color indexed="81"/>
            <rFont val="Tahoma"/>
            <family val="2"/>
          </rPr>
          <t>Gavin Mudd:</t>
        </r>
        <r>
          <rPr>
            <sz val="9"/>
            <color indexed="81"/>
            <rFont val="Tahoma"/>
            <family val="2"/>
          </rPr>
          <t xml:space="preserve">
best estimate</t>
        </r>
      </text>
    </comment>
    <comment ref="CZ220" authorId="0" shapeId="0" xr:uid="{F34D6C74-D498-4923-A4BA-6A29110D1C55}">
      <text>
        <r>
          <rPr>
            <b/>
            <sz val="9"/>
            <color indexed="81"/>
            <rFont val="Tahoma"/>
            <family val="2"/>
          </rPr>
          <t>Gavin Mudd:</t>
        </r>
        <r>
          <rPr>
            <sz val="9"/>
            <color indexed="81"/>
            <rFont val="Tahoma"/>
            <family val="2"/>
          </rPr>
          <t xml:space="preserve">
best estimate</t>
        </r>
      </text>
    </comment>
    <comment ref="CZ221" authorId="0" shapeId="0" xr:uid="{59BA96CA-E6AF-4E2C-A86B-92912DF6740A}">
      <text>
        <r>
          <rPr>
            <b/>
            <sz val="9"/>
            <color indexed="81"/>
            <rFont val="Tahoma"/>
            <family val="2"/>
          </rPr>
          <t>Gavin Mudd:</t>
        </r>
        <r>
          <rPr>
            <sz val="9"/>
            <color indexed="81"/>
            <rFont val="Tahoma"/>
            <family val="2"/>
          </rPr>
          <t xml:space="preserve">
best estimate</t>
        </r>
      </text>
    </comment>
    <comment ref="IN222" authorId="0" shapeId="0" xr:uid="{38D14818-9709-4DA6-BE67-D430AC9062EE}">
      <text>
        <r>
          <rPr>
            <b/>
            <sz val="9"/>
            <color indexed="81"/>
            <rFont val="Tahoma"/>
            <family val="2"/>
          </rPr>
          <t>Gavin Mudd:</t>
        </r>
        <r>
          <rPr>
            <sz val="9"/>
            <color indexed="81"/>
            <rFont val="Tahoma"/>
            <family val="2"/>
          </rPr>
          <t xml:space="preserve">
assumed</t>
        </r>
      </text>
    </comment>
    <comment ref="CZ223" authorId="0" shapeId="0" xr:uid="{FAC4E32B-01AA-49E0-B24F-7E6D0B0C9C28}">
      <text>
        <r>
          <rPr>
            <b/>
            <sz val="9"/>
            <color indexed="81"/>
            <rFont val="Tahoma"/>
            <family val="2"/>
          </rPr>
          <t>Gavin Mudd:</t>
        </r>
        <r>
          <rPr>
            <sz val="9"/>
            <color indexed="81"/>
            <rFont val="Tahoma"/>
            <family val="2"/>
          </rPr>
          <t xml:space="preserve">
best estimate</t>
        </r>
      </text>
    </comment>
    <comment ref="IN223" authorId="0" shapeId="0" xr:uid="{D611A778-641C-4B17-9A4F-6A451AC46876}">
      <text>
        <r>
          <rPr>
            <b/>
            <sz val="9"/>
            <color indexed="81"/>
            <rFont val="Tahoma"/>
            <family val="2"/>
          </rPr>
          <t>Gavin Mudd:</t>
        </r>
        <r>
          <rPr>
            <sz val="9"/>
            <color indexed="81"/>
            <rFont val="Tahoma"/>
            <family val="2"/>
          </rPr>
          <t xml:space="preserve">
assumed</t>
        </r>
      </text>
    </comment>
    <comment ref="CZ224" authorId="0" shapeId="0" xr:uid="{DC35CBB8-8AD8-472A-810E-CA4520637405}">
      <text>
        <r>
          <rPr>
            <b/>
            <sz val="9"/>
            <color indexed="81"/>
            <rFont val="Tahoma"/>
            <family val="2"/>
          </rPr>
          <t>Gavin Mudd:</t>
        </r>
        <r>
          <rPr>
            <sz val="9"/>
            <color indexed="81"/>
            <rFont val="Tahoma"/>
            <family val="2"/>
          </rPr>
          <t xml:space="preserve">
best estimate</t>
        </r>
      </text>
    </comment>
    <comment ref="EW224" authorId="0" shapeId="0" xr:uid="{B0ADB377-4C86-408F-B079-8E9F42F65989}">
      <text>
        <r>
          <rPr>
            <b/>
            <sz val="9"/>
            <color indexed="81"/>
            <rFont val="Tahoma"/>
            <family val="2"/>
          </rPr>
          <t>Gavin Mudd:</t>
        </r>
        <r>
          <rPr>
            <sz val="9"/>
            <color indexed="81"/>
            <rFont val="Tahoma"/>
            <family val="2"/>
          </rPr>
          <t xml:space="preserve">
based on Historical Statistics (Kelly et al, USGS) and exchange rates (ABARE / OCE etc)</t>
        </r>
      </text>
    </comment>
    <comment ref="IA224" authorId="0" shapeId="0" xr:uid="{0C00C5BF-7193-419B-B587-BA7376F9C29D}">
      <text>
        <r>
          <rPr>
            <b/>
            <sz val="9"/>
            <color indexed="81"/>
            <rFont val="Tahoma"/>
            <family val="2"/>
          </rPr>
          <t>Gavin Mudd:</t>
        </r>
        <r>
          <rPr>
            <sz val="9"/>
            <color indexed="81"/>
            <rFont val="Tahoma"/>
            <family val="2"/>
          </rPr>
          <t xml:space="preserve">
derived from sales data for Mount Weld's refined production</t>
        </r>
      </text>
    </comment>
    <comment ref="CZ225" authorId="0" shapeId="0" xr:uid="{B9504274-0263-420A-9272-425B2C31936E}">
      <text>
        <r>
          <rPr>
            <b/>
            <sz val="9"/>
            <color indexed="81"/>
            <rFont val="Tahoma"/>
            <family val="2"/>
          </rPr>
          <t>Gavin Mudd:</t>
        </r>
        <r>
          <rPr>
            <sz val="9"/>
            <color indexed="81"/>
            <rFont val="Tahoma"/>
            <family val="2"/>
          </rPr>
          <t xml:space="preserve">
best estimate</t>
        </r>
      </text>
    </comment>
    <comment ref="EW225" authorId="0" shapeId="0" xr:uid="{777A01CC-A1D9-4AC7-941F-D876838B6210}">
      <text>
        <r>
          <rPr>
            <b/>
            <sz val="9"/>
            <color indexed="81"/>
            <rFont val="Tahoma"/>
            <family val="2"/>
          </rPr>
          <t>Gavin Mudd:</t>
        </r>
        <r>
          <rPr>
            <sz val="9"/>
            <color indexed="81"/>
            <rFont val="Tahoma"/>
            <family val="2"/>
          </rPr>
          <t xml:space="preserve">
based on Historical Statistics (Kelly et al, USGS) and exchange rates (ABARE / OCE etc)</t>
        </r>
      </text>
    </comment>
    <comment ref="IA225" authorId="0" shapeId="0" xr:uid="{642502A1-7801-4522-89E7-95F568387853}">
      <text>
        <r>
          <rPr>
            <b/>
            <sz val="9"/>
            <color indexed="81"/>
            <rFont val="Tahoma"/>
            <family val="2"/>
          </rPr>
          <t>Gavin Mudd:</t>
        </r>
        <r>
          <rPr>
            <sz val="9"/>
            <color indexed="81"/>
            <rFont val="Tahoma"/>
            <family val="2"/>
          </rPr>
          <t xml:space="preserve">
derived from sales data for Mount Weld's refined production</t>
        </r>
      </text>
    </comment>
    <comment ref="CZ226" authorId="0" shapeId="0" xr:uid="{3DB2B0B8-7E39-4055-896C-5D530FEB6D37}">
      <text>
        <r>
          <rPr>
            <b/>
            <sz val="9"/>
            <color indexed="81"/>
            <rFont val="Tahoma"/>
            <family val="2"/>
          </rPr>
          <t>Gavin Mudd:</t>
        </r>
        <r>
          <rPr>
            <sz val="9"/>
            <color indexed="81"/>
            <rFont val="Tahoma"/>
            <family val="2"/>
          </rPr>
          <t xml:space="preserve">
best estimate</t>
        </r>
      </text>
    </comment>
    <comment ref="EW226" authorId="0" shapeId="0" xr:uid="{7B7207A8-FFB0-4D6B-8DB6-845167567ACF}">
      <text>
        <r>
          <rPr>
            <b/>
            <sz val="9"/>
            <color indexed="81"/>
            <rFont val="Tahoma"/>
            <family val="2"/>
          </rPr>
          <t>Gavin Mudd:</t>
        </r>
        <r>
          <rPr>
            <sz val="9"/>
            <color indexed="81"/>
            <rFont val="Tahoma"/>
            <family val="2"/>
          </rPr>
          <t xml:space="preserve">
based on Historical Statistics (Kelly et al, USGS) and exchange rates (ABARE / OCE etc)</t>
        </r>
      </text>
    </comment>
    <comment ref="IA226" authorId="0" shapeId="0" xr:uid="{51332031-D4C6-414F-B344-B0305D16C57F}">
      <text>
        <r>
          <rPr>
            <b/>
            <sz val="9"/>
            <color indexed="81"/>
            <rFont val="Tahoma"/>
            <family val="2"/>
          </rPr>
          <t>Gavin Mudd:</t>
        </r>
        <r>
          <rPr>
            <sz val="9"/>
            <color indexed="81"/>
            <rFont val="Tahoma"/>
            <family val="2"/>
          </rPr>
          <t xml:space="preserve">
derived from sales data for Mount Weld's refined production</t>
        </r>
      </text>
    </comment>
    <comment ref="CZ227" authorId="0" shapeId="0" xr:uid="{2A1277A3-EBD3-4AE7-A620-1913AD6E1D06}">
      <text>
        <r>
          <rPr>
            <b/>
            <sz val="9"/>
            <color indexed="81"/>
            <rFont val="Tahoma"/>
            <family val="2"/>
          </rPr>
          <t>Gavin Mudd:</t>
        </r>
        <r>
          <rPr>
            <sz val="9"/>
            <color indexed="81"/>
            <rFont val="Tahoma"/>
            <family val="2"/>
          </rPr>
          <t xml:space="preserve">
best estimate</t>
        </r>
      </text>
    </comment>
    <comment ref="IA227" authorId="0" shapeId="0" xr:uid="{E1E4B5E7-2A36-4E27-91E8-CA2F554E7532}">
      <text>
        <r>
          <rPr>
            <b/>
            <sz val="9"/>
            <color indexed="81"/>
            <rFont val="Tahoma"/>
            <family val="2"/>
          </rPr>
          <t>Gavin Mudd:</t>
        </r>
        <r>
          <rPr>
            <sz val="9"/>
            <color indexed="81"/>
            <rFont val="Tahoma"/>
            <family val="2"/>
          </rPr>
          <t xml:space="preserve">
derived from sales data for Mount Weld's refined production</t>
        </r>
      </text>
    </comment>
    <comment ref="CZ228" authorId="0" shapeId="0" xr:uid="{964EA497-80DE-4AB1-BBA0-9F337A1AF102}">
      <text>
        <r>
          <rPr>
            <b/>
            <sz val="9"/>
            <color indexed="81"/>
            <rFont val="Tahoma"/>
            <family val="2"/>
          </rPr>
          <t>Gavin Mudd:</t>
        </r>
        <r>
          <rPr>
            <sz val="9"/>
            <color indexed="81"/>
            <rFont val="Tahoma"/>
            <family val="2"/>
          </rPr>
          <t xml:space="preserve">
best estimate</t>
        </r>
      </text>
    </comment>
    <comment ref="IA228" authorId="0" shapeId="0" xr:uid="{3A8DBBA3-8817-4FFB-9EAD-782434666426}">
      <text>
        <r>
          <rPr>
            <b/>
            <sz val="9"/>
            <color indexed="81"/>
            <rFont val="Tahoma"/>
            <family val="2"/>
          </rPr>
          <t>Gavin Mudd:</t>
        </r>
        <r>
          <rPr>
            <sz val="9"/>
            <color indexed="81"/>
            <rFont val="Tahoma"/>
            <family val="2"/>
          </rPr>
          <t xml:space="preserve">
derived from sales data for Mount Weld's refined production</t>
        </r>
      </text>
    </comment>
    <comment ref="CZ229" authorId="0" shapeId="0" xr:uid="{EC166D7E-E048-4602-8A50-A885FABF0019}">
      <text>
        <r>
          <rPr>
            <b/>
            <sz val="9"/>
            <color indexed="81"/>
            <rFont val="Tahoma"/>
            <family val="2"/>
          </rPr>
          <t>Gavin Mudd:</t>
        </r>
        <r>
          <rPr>
            <sz val="9"/>
            <color indexed="81"/>
            <rFont val="Tahoma"/>
            <family val="2"/>
          </rPr>
          <t xml:space="preserve">
best estimate</t>
        </r>
      </text>
    </comment>
    <comment ref="IA229" authorId="0" shapeId="0" xr:uid="{80923B51-54BF-4638-8E0F-B8FB83301205}">
      <text>
        <r>
          <rPr>
            <b/>
            <sz val="9"/>
            <color indexed="81"/>
            <rFont val="Tahoma"/>
            <family val="2"/>
          </rPr>
          <t>Gavin Mudd:</t>
        </r>
        <r>
          <rPr>
            <sz val="9"/>
            <color indexed="81"/>
            <rFont val="Tahoma"/>
            <family val="2"/>
          </rPr>
          <t xml:space="preserve">
derived from sales data for Mount Weld's refined production</t>
        </r>
      </text>
    </comment>
    <comment ref="CZ230" authorId="0" shapeId="0" xr:uid="{C30E8004-8B5E-4151-93FD-C36D53764977}">
      <text>
        <r>
          <rPr>
            <b/>
            <sz val="9"/>
            <color indexed="81"/>
            <rFont val="Tahoma"/>
            <family val="2"/>
          </rPr>
          <t>Gavin Mudd:</t>
        </r>
        <r>
          <rPr>
            <sz val="9"/>
            <color indexed="81"/>
            <rFont val="Tahoma"/>
            <family val="2"/>
          </rPr>
          <t xml:space="preserve">
best estimate</t>
        </r>
      </text>
    </comment>
    <comment ref="IA230" authorId="0" shapeId="0" xr:uid="{78FA9208-F47D-4600-8543-5FBFE8DAF54E}">
      <text>
        <r>
          <rPr>
            <b/>
            <sz val="9"/>
            <color indexed="81"/>
            <rFont val="Tahoma"/>
            <family val="2"/>
          </rPr>
          <t>Gavin Mudd:</t>
        </r>
        <r>
          <rPr>
            <sz val="9"/>
            <color indexed="81"/>
            <rFont val="Tahoma"/>
            <family val="2"/>
          </rPr>
          <t xml:space="preserve">
derived from sales data for Mount Weld's refined production</t>
        </r>
      </text>
    </comment>
    <comment ref="CZ231" authorId="0" shapeId="0" xr:uid="{94CB2AF9-8560-4469-92CA-FE7F63EF5BC4}">
      <text>
        <r>
          <rPr>
            <b/>
            <sz val="9"/>
            <color indexed="81"/>
            <rFont val="Tahoma"/>
            <family val="2"/>
          </rPr>
          <t>Gavin Mudd:</t>
        </r>
        <r>
          <rPr>
            <sz val="9"/>
            <color indexed="81"/>
            <rFont val="Tahoma"/>
            <family val="2"/>
          </rPr>
          <t xml:space="preserve">
best estimate</t>
        </r>
      </text>
    </comment>
    <comment ref="IA231" authorId="0" shapeId="0" xr:uid="{8A63F331-C790-49E0-A702-880C16EFBE4C}">
      <text>
        <r>
          <rPr>
            <b/>
            <sz val="9"/>
            <color indexed="81"/>
            <rFont val="Tahoma"/>
            <family val="2"/>
          </rPr>
          <t>Gavin Mudd:</t>
        </r>
        <r>
          <rPr>
            <sz val="9"/>
            <color indexed="81"/>
            <rFont val="Tahoma"/>
            <family val="2"/>
          </rPr>
          <t xml:space="preserve">
derived from sales data for Mount Weld's refined production</t>
        </r>
      </text>
    </comment>
    <comment ref="CZ232" authorId="0" shapeId="0" xr:uid="{74624CA7-7EDD-44D5-9668-430F1AEB4EA2}">
      <text>
        <r>
          <rPr>
            <b/>
            <sz val="9"/>
            <color indexed="81"/>
            <rFont val="Tahoma"/>
            <family val="2"/>
          </rPr>
          <t>Gavin Mudd:</t>
        </r>
        <r>
          <rPr>
            <sz val="9"/>
            <color indexed="81"/>
            <rFont val="Tahoma"/>
            <family val="2"/>
          </rPr>
          <t xml:space="preserve">
best estimate</t>
        </r>
      </text>
    </comment>
    <comment ref="IA232" authorId="0" shapeId="0" xr:uid="{98C6AC36-F054-44C1-A55B-33716074700A}">
      <text>
        <r>
          <rPr>
            <b/>
            <sz val="9"/>
            <color indexed="81"/>
            <rFont val="Tahoma"/>
            <family val="2"/>
          </rPr>
          <t>Gavin Mudd:</t>
        </r>
        <r>
          <rPr>
            <sz val="9"/>
            <color indexed="81"/>
            <rFont val="Tahoma"/>
            <family val="2"/>
          </rPr>
          <t xml:space="preserve">
derived from sales data for Mount Weld's refined production</t>
        </r>
      </text>
    </comment>
    <comment ref="CZ233" authorId="0" shapeId="0" xr:uid="{E525A83E-81FF-43C0-9BBE-7B18DC2EDD6D}">
      <text>
        <r>
          <rPr>
            <b/>
            <sz val="9"/>
            <color indexed="81"/>
            <rFont val="Tahoma"/>
            <family val="2"/>
          </rPr>
          <t>Gavin Mudd:</t>
        </r>
        <r>
          <rPr>
            <sz val="9"/>
            <color indexed="81"/>
            <rFont val="Tahoma"/>
            <family val="2"/>
          </rPr>
          <t xml:space="preserve">
best estimate</t>
        </r>
      </text>
    </comment>
    <comment ref="IA233" authorId="0" shapeId="0" xr:uid="{AFF8FE4C-639E-4514-8873-764F9D9B8270}">
      <text>
        <r>
          <rPr>
            <b/>
            <sz val="9"/>
            <color indexed="81"/>
            <rFont val="Tahoma"/>
            <family val="2"/>
          </rPr>
          <t>Gavin Mudd:</t>
        </r>
        <r>
          <rPr>
            <sz val="9"/>
            <color indexed="81"/>
            <rFont val="Tahoma"/>
            <family val="2"/>
          </rPr>
          <t xml:space="preserve">
derived from sales data for Mount Weld's refined production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Gavin Mudd</author>
  </authors>
  <commentList>
    <comment ref="AZ7" authorId="0" shapeId="0" xr:uid="{7A4EA9AF-29EE-407C-B35B-F9BA584F3816}">
      <text>
        <r>
          <rPr>
            <b/>
            <sz val="9"/>
            <color indexed="81"/>
            <rFont val="Tahoma"/>
            <family val="2"/>
          </rPr>
          <t>Gavin Mudd:</t>
        </r>
        <r>
          <rPr>
            <sz val="9"/>
            <color indexed="81"/>
            <rFont val="Tahoma"/>
            <family val="2"/>
          </rPr>
          <t xml:space="preserve">
exports only</t>
        </r>
      </text>
    </comment>
    <comment ref="BA7" authorId="0" shapeId="0" xr:uid="{2C2D735E-6FB2-4B60-81FD-90A5507B411D}">
      <text>
        <r>
          <rPr>
            <b/>
            <sz val="9"/>
            <color indexed="81"/>
            <rFont val="Tahoma"/>
            <family val="2"/>
          </rPr>
          <t>Gavin Mudd:</t>
        </r>
        <r>
          <rPr>
            <sz val="9"/>
            <color indexed="81"/>
            <rFont val="Tahoma"/>
            <family val="2"/>
          </rPr>
          <t xml:space="preserve">
assumed</t>
        </r>
      </text>
    </comment>
    <comment ref="BB7" authorId="0" shapeId="0" xr:uid="{DEBFE9D1-0518-4754-96AF-A1013C7C7C77}">
      <text>
        <r>
          <rPr>
            <b/>
            <sz val="9"/>
            <color indexed="81"/>
            <rFont val="Tahoma"/>
            <family val="2"/>
          </rPr>
          <t>Gavin Mudd:</t>
        </r>
        <r>
          <rPr>
            <sz val="9"/>
            <color indexed="81"/>
            <rFont val="Tahoma"/>
            <family val="2"/>
          </rPr>
          <t xml:space="preserve">
assumed</t>
        </r>
      </text>
    </comment>
    <comment ref="AZ8" authorId="0" shapeId="0" xr:uid="{49A7ABE9-1EF0-4EF7-8FE2-C3B4D31B1E56}">
      <text>
        <r>
          <rPr>
            <b/>
            <sz val="9"/>
            <color indexed="81"/>
            <rFont val="Tahoma"/>
            <family val="2"/>
          </rPr>
          <t>Gavin Mudd:</t>
        </r>
        <r>
          <rPr>
            <sz val="9"/>
            <color indexed="81"/>
            <rFont val="Tahoma"/>
            <family val="2"/>
          </rPr>
          <t xml:space="preserve">
exports only</t>
        </r>
      </text>
    </comment>
    <comment ref="BA8" authorId="0" shapeId="0" xr:uid="{3E647972-C53B-4EB6-9E78-3CECCFE89BA6}">
      <text>
        <r>
          <rPr>
            <b/>
            <sz val="9"/>
            <color indexed="81"/>
            <rFont val="Tahoma"/>
            <family val="2"/>
          </rPr>
          <t>Gavin Mudd:</t>
        </r>
        <r>
          <rPr>
            <sz val="9"/>
            <color indexed="81"/>
            <rFont val="Tahoma"/>
            <family val="2"/>
          </rPr>
          <t xml:space="preserve">
assumed</t>
        </r>
      </text>
    </comment>
    <comment ref="BB8" authorId="0" shapeId="0" xr:uid="{00F255A0-EEAE-4E8B-B921-AF18F3D8C122}">
      <text>
        <r>
          <rPr>
            <b/>
            <sz val="9"/>
            <color indexed="81"/>
            <rFont val="Tahoma"/>
            <family val="2"/>
          </rPr>
          <t>Gavin Mudd:</t>
        </r>
        <r>
          <rPr>
            <sz val="9"/>
            <color indexed="81"/>
            <rFont val="Tahoma"/>
            <family val="2"/>
          </rPr>
          <t xml:space="preserve">
assumed</t>
        </r>
      </text>
    </comment>
    <comment ref="AZ9" authorId="0" shapeId="0" xr:uid="{304C4837-FB2D-4148-A3B6-4B6476CB1E45}">
      <text>
        <r>
          <rPr>
            <b/>
            <sz val="9"/>
            <color indexed="81"/>
            <rFont val="Tahoma"/>
            <family val="2"/>
          </rPr>
          <t>Gavin Mudd:</t>
        </r>
        <r>
          <rPr>
            <sz val="9"/>
            <color indexed="81"/>
            <rFont val="Tahoma"/>
            <family val="2"/>
          </rPr>
          <t xml:space="preserve">
exports only</t>
        </r>
      </text>
    </comment>
    <comment ref="BA9" authorId="0" shapeId="0" xr:uid="{73509543-3DD6-43B3-9774-46A0C60F2A2A}">
      <text>
        <r>
          <rPr>
            <b/>
            <sz val="9"/>
            <color indexed="81"/>
            <rFont val="Tahoma"/>
            <family val="2"/>
          </rPr>
          <t>Gavin Mudd:</t>
        </r>
        <r>
          <rPr>
            <sz val="9"/>
            <color indexed="81"/>
            <rFont val="Tahoma"/>
            <family val="2"/>
          </rPr>
          <t xml:space="preserve">
assumed</t>
        </r>
      </text>
    </comment>
    <comment ref="BB9" authorId="0" shapeId="0" xr:uid="{B2761983-21CB-4BE0-BECE-40297F55CC45}">
      <text>
        <r>
          <rPr>
            <b/>
            <sz val="9"/>
            <color indexed="81"/>
            <rFont val="Tahoma"/>
            <family val="2"/>
          </rPr>
          <t>Gavin Mudd:</t>
        </r>
        <r>
          <rPr>
            <sz val="9"/>
            <color indexed="81"/>
            <rFont val="Tahoma"/>
            <family val="2"/>
          </rPr>
          <t xml:space="preserve">
assumed</t>
        </r>
      </text>
    </comment>
    <comment ref="AZ10" authorId="0" shapeId="0" xr:uid="{85E726D0-7DB5-400A-ADA2-3B08FFE8C213}">
      <text>
        <r>
          <rPr>
            <b/>
            <sz val="9"/>
            <color indexed="81"/>
            <rFont val="Tahoma"/>
            <family val="2"/>
          </rPr>
          <t>Gavin Mudd:</t>
        </r>
        <r>
          <rPr>
            <sz val="9"/>
            <color indexed="81"/>
            <rFont val="Tahoma"/>
            <family val="2"/>
          </rPr>
          <t xml:space="preserve">
exports only</t>
        </r>
      </text>
    </comment>
    <comment ref="BA10" authorId="0" shapeId="0" xr:uid="{67FE8598-B0A4-4977-B92E-93195C66446E}">
      <text>
        <r>
          <rPr>
            <b/>
            <sz val="9"/>
            <color indexed="81"/>
            <rFont val="Tahoma"/>
            <family val="2"/>
          </rPr>
          <t>Gavin Mudd:</t>
        </r>
        <r>
          <rPr>
            <sz val="9"/>
            <color indexed="81"/>
            <rFont val="Tahoma"/>
            <family val="2"/>
          </rPr>
          <t xml:space="preserve">
assumed</t>
        </r>
      </text>
    </comment>
    <comment ref="BB10" authorId="0" shapeId="0" xr:uid="{859A2AD1-57B4-425B-ACBA-55B1DDEB0E1E}">
      <text>
        <r>
          <rPr>
            <b/>
            <sz val="9"/>
            <color indexed="81"/>
            <rFont val="Tahoma"/>
            <family val="2"/>
          </rPr>
          <t>Gavin Mudd:</t>
        </r>
        <r>
          <rPr>
            <sz val="9"/>
            <color indexed="81"/>
            <rFont val="Tahoma"/>
            <family val="2"/>
          </rPr>
          <t xml:space="preserve">
assumed</t>
        </r>
      </text>
    </comment>
    <comment ref="AZ11" authorId="0" shapeId="0" xr:uid="{B6C32DD8-1309-4F4A-9317-F4AD8147F322}">
      <text>
        <r>
          <rPr>
            <b/>
            <sz val="9"/>
            <color indexed="81"/>
            <rFont val="Tahoma"/>
            <family val="2"/>
          </rPr>
          <t>Gavin Mudd:</t>
        </r>
        <r>
          <rPr>
            <sz val="9"/>
            <color indexed="81"/>
            <rFont val="Tahoma"/>
            <family val="2"/>
          </rPr>
          <t xml:space="preserve">
exports only</t>
        </r>
      </text>
    </comment>
    <comment ref="BA11" authorId="0" shapeId="0" xr:uid="{ECDC9AA2-BA96-4744-90E5-02A6EBDBA66D}">
      <text>
        <r>
          <rPr>
            <b/>
            <sz val="9"/>
            <color indexed="81"/>
            <rFont val="Tahoma"/>
            <family val="2"/>
          </rPr>
          <t>Gavin Mudd:</t>
        </r>
        <r>
          <rPr>
            <sz val="9"/>
            <color indexed="81"/>
            <rFont val="Tahoma"/>
            <family val="2"/>
          </rPr>
          <t xml:space="preserve">
assumed</t>
        </r>
      </text>
    </comment>
    <comment ref="BB11" authorId="0" shapeId="0" xr:uid="{9939C4F0-3F36-4D57-A116-316401D2176D}">
      <text>
        <r>
          <rPr>
            <b/>
            <sz val="9"/>
            <color indexed="81"/>
            <rFont val="Tahoma"/>
            <family val="2"/>
          </rPr>
          <t>Gavin Mudd:</t>
        </r>
        <r>
          <rPr>
            <sz val="9"/>
            <color indexed="81"/>
            <rFont val="Tahoma"/>
            <family val="2"/>
          </rPr>
          <t xml:space="preserve">
assumed</t>
        </r>
      </text>
    </comment>
    <comment ref="AZ12" authorId="0" shapeId="0" xr:uid="{73FF95A9-2485-424B-BA96-FEF1633C5DB2}">
      <text>
        <r>
          <rPr>
            <b/>
            <sz val="9"/>
            <color indexed="81"/>
            <rFont val="Tahoma"/>
            <family val="2"/>
          </rPr>
          <t>Gavin Mudd:</t>
        </r>
        <r>
          <rPr>
            <sz val="9"/>
            <color indexed="81"/>
            <rFont val="Tahoma"/>
            <family val="2"/>
          </rPr>
          <t xml:space="preserve">
exports only</t>
        </r>
      </text>
    </comment>
    <comment ref="BA12" authorId="0" shapeId="0" xr:uid="{7B723527-DC81-4CF8-BEA8-69F16BA513C6}">
      <text>
        <r>
          <rPr>
            <b/>
            <sz val="9"/>
            <color indexed="81"/>
            <rFont val="Tahoma"/>
            <family val="2"/>
          </rPr>
          <t>Gavin Mudd:</t>
        </r>
        <r>
          <rPr>
            <sz val="9"/>
            <color indexed="81"/>
            <rFont val="Tahoma"/>
            <family val="2"/>
          </rPr>
          <t xml:space="preserve">
assumed</t>
        </r>
      </text>
    </comment>
    <comment ref="BB12" authorId="0" shapeId="0" xr:uid="{192DBE42-742B-4766-A239-482FA5D6113D}">
      <text>
        <r>
          <rPr>
            <b/>
            <sz val="9"/>
            <color indexed="81"/>
            <rFont val="Tahoma"/>
            <family val="2"/>
          </rPr>
          <t>Gavin Mudd:</t>
        </r>
        <r>
          <rPr>
            <sz val="9"/>
            <color indexed="81"/>
            <rFont val="Tahoma"/>
            <family val="2"/>
          </rPr>
          <t xml:space="preserve">
assumed</t>
        </r>
      </text>
    </comment>
    <comment ref="AZ13" authorId="0" shapeId="0" xr:uid="{F855C9C5-3D3C-4CDE-8631-732559D72140}">
      <text>
        <r>
          <rPr>
            <b/>
            <sz val="9"/>
            <color indexed="81"/>
            <rFont val="Tahoma"/>
            <family val="2"/>
          </rPr>
          <t>Gavin Mudd:</t>
        </r>
        <r>
          <rPr>
            <sz val="9"/>
            <color indexed="81"/>
            <rFont val="Tahoma"/>
            <family val="2"/>
          </rPr>
          <t xml:space="preserve">
exports only</t>
        </r>
      </text>
    </comment>
    <comment ref="BA13" authorId="0" shapeId="0" xr:uid="{2F6B501E-E472-4460-A7FB-C30B68A1F94C}">
      <text>
        <r>
          <rPr>
            <b/>
            <sz val="9"/>
            <color indexed="81"/>
            <rFont val="Tahoma"/>
            <family val="2"/>
          </rPr>
          <t>Gavin Mudd:</t>
        </r>
        <r>
          <rPr>
            <sz val="9"/>
            <color indexed="81"/>
            <rFont val="Tahoma"/>
            <family val="2"/>
          </rPr>
          <t xml:space="preserve">
assumed</t>
        </r>
      </text>
    </comment>
    <comment ref="BB13" authorId="0" shapeId="0" xr:uid="{54058AD8-471E-41DC-BE4C-392E0404D9C6}">
      <text>
        <r>
          <rPr>
            <b/>
            <sz val="9"/>
            <color indexed="81"/>
            <rFont val="Tahoma"/>
            <family val="2"/>
          </rPr>
          <t>Gavin Mudd:</t>
        </r>
        <r>
          <rPr>
            <sz val="9"/>
            <color indexed="81"/>
            <rFont val="Tahoma"/>
            <family val="2"/>
          </rPr>
          <t xml:space="preserve">
assumed</t>
        </r>
      </text>
    </comment>
    <comment ref="AZ14" authorId="0" shapeId="0" xr:uid="{4A89C780-76E5-4526-922A-D2DBC5AC13E2}">
      <text>
        <r>
          <rPr>
            <b/>
            <sz val="9"/>
            <color indexed="81"/>
            <rFont val="Tahoma"/>
            <family val="2"/>
          </rPr>
          <t>Gavin Mudd:</t>
        </r>
        <r>
          <rPr>
            <sz val="9"/>
            <color indexed="81"/>
            <rFont val="Tahoma"/>
            <family val="2"/>
          </rPr>
          <t xml:space="preserve">
exports only</t>
        </r>
      </text>
    </comment>
    <comment ref="BA14" authorId="0" shapeId="0" xr:uid="{DC4F2300-BEA3-47D9-9BE3-E28FAB7CFF8C}">
      <text>
        <r>
          <rPr>
            <b/>
            <sz val="9"/>
            <color indexed="81"/>
            <rFont val="Tahoma"/>
            <family val="2"/>
          </rPr>
          <t>Gavin Mudd:</t>
        </r>
        <r>
          <rPr>
            <sz val="9"/>
            <color indexed="81"/>
            <rFont val="Tahoma"/>
            <family val="2"/>
          </rPr>
          <t xml:space="preserve">
assumed</t>
        </r>
      </text>
    </comment>
    <comment ref="BB14" authorId="0" shapeId="0" xr:uid="{D2B04918-48A2-4C98-ACD9-8D49B5C5910E}">
      <text>
        <r>
          <rPr>
            <b/>
            <sz val="9"/>
            <color indexed="81"/>
            <rFont val="Tahoma"/>
            <family val="2"/>
          </rPr>
          <t>Gavin Mudd:</t>
        </r>
        <r>
          <rPr>
            <sz val="9"/>
            <color indexed="81"/>
            <rFont val="Tahoma"/>
            <family val="2"/>
          </rPr>
          <t xml:space="preserve">
assumed</t>
        </r>
      </text>
    </comment>
    <comment ref="AZ15" authorId="0" shapeId="0" xr:uid="{FDC506E4-CCC3-40E3-9F92-E5C9B25AA862}">
      <text>
        <r>
          <rPr>
            <b/>
            <sz val="9"/>
            <color indexed="81"/>
            <rFont val="Tahoma"/>
            <family val="2"/>
          </rPr>
          <t>Gavin Mudd:</t>
        </r>
        <r>
          <rPr>
            <sz val="9"/>
            <color indexed="81"/>
            <rFont val="Tahoma"/>
            <family val="2"/>
          </rPr>
          <t xml:space="preserve">
exports only</t>
        </r>
      </text>
    </comment>
    <comment ref="BA15" authorId="0" shapeId="0" xr:uid="{E726D2EC-D603-4B15-81AF-EE896957C5D2}">
      <text>
        <r>
          <rPr>
            <b/>
            <sz val="9"/>
            <color indexed="81"/>
            <rFont val="Tahoma"/>
            <family val="2"/>
          </rPr>
          <t>Gavin Mudd:</t>
        </r>
        <r>
          <rPr>
            <sz val="9"/>
            <color indexed="81"/>
            <rFont val="Tahoma"/>
            <family val="2"/>
          </rPr>
          <t xml:space="preserve">
assumed</t>
        </r>
      </text>
    </comment>
    <comment ref="BB15" authorId="0" shapeId="0" xr:uid="{AD54506C-E8A7-4014-A761-1816154AD912}">
      <text>
        <r>
          <rPr>
            <b/>
            <sz val="9"/>
            <color indexed="81"/>
            <rFont val="Tahoma"/>
            <family val="2"/>
          </rPr>
          <t>Gavin Mudd:</t>
        </r>
        <r>
          <rPr>
            <sz val="9"/>
            <color indexed="81"/>
            <rFont val="Tahoma"/>
            <family val="2"/>
          </rPr>
          <t xml:space="preserve">
assumed</t>
        </r>
      </text>
    </comment>
    <comment ref="AZ16" authorId="0" shapeId="0" xr:uid="{A8FA5B6D-6EB0-4C8E-9198-34B3ABEB1878}">
      <text>
        <r>
          <rPr>
            <b/>
            <sz val="9"/>
            <color indexed="81"/>
            <rFont val="Tahoma"/>
            <family val="2"/>
          </rPr>
          <t>Gavin Mudd:</t>
        </r>
        <r>
          <rPr>
            <sz val="9"/>
            <color indexed="81"/>
            <rFont val="Tahoma"/>
            <family val="2"/>
          </rPr>
          <t xml:space="preserve">
exports only</t>
        </r>
      </text>
    </comment>
    <comment ref="BA16" authorId="0" shapeId="0" xr:uid="{2964CEC0-2F81-474B-BF28-3B45E9C0F615}">
      <text>
        <r>
          <rPr>
            <b/>
            <sz val="9"/>
            <color indexed="81"/>
            <rFont val="Tahoma"/>
            <family val="2"/>
          </rPr>
          <t>Gavin Mudd:</t>
        </r>
        <r>
          <rPr>
            <sz val="9"/>
            <color indexed="81"/>
            <rFont val="Tahoma"/>
            <family val="2"/>
          </rPr>
          <t xml:space="preserve">
assumed</t>
        </r>
      </text>
    </comment>
    <comment ref="BB16" authorId="0" shapeId="0" xr:uid="{F39D907F-32A5-4529-B5D0-7F549903F219}">
      <text>
        <r>
          <rPr>
            <b/>
            <sz val="9"/>
            <color indexed="81"/>
            <rFont val="Tahoma"/>
            <family val="2"/>
          </rPr>
          <t>Gavin Mudd:</t>
        </r>
        <r>
          <rPr>
            <sz val="9"/>
            <color indexed="81"/>
            <rFont val="Tahoma"/>
            <family val="2"/>
          </rPr>
          <t xml:space="preserve">
assumed</t>
        </r>
      </text>
    </comment>
    <comment ref="AZ17" authorId="0" shapeId="0" xr:uid="{70D6CA81-4629-4AA1-985A-FC866A16875B}">
      <text>
        <r>
          <rPr>
            <b/>
            <sz val="9"/>
            <color indexed="81"/>
            <rFont val="Tahoma"/>
            <family val="2"/>
          </rPr>
          <t>Gavin Mudd:</t>
        </r>
        <r>
          <rPr>
            <sz val="9"/>
            <color indexed="81"/>
            <rFont val="Tahoma"/>
            <family val="2"/>
          </rPr>
          <t xml:space="preserve">
exports only</t>
        </r>
      </text>
    </comment>
    <comment ref="BA17" authorId="0" shapeId="0" xr:uid="{6F2ACB80-25BA-48A1-BE29-CE059096CBC5}">
      <text>
        <r>
          <rPr>
            <b/>
            <sz val="9"/>
            <color indexed="81"/>
            <rFont val="Tahoma"/>
            <family val="2"/>
          </rPr>
          <t>Gavin Mudd:</t>
        </r>
        <r>
          <rPr>
            <sz val="9"/>
            <color indexed="81"/>
            <rFont val="Tahoma"/>
            <family val="2"/>
          </rPr>
          <t xml:space="preserve">
assumed</t>
        </r>
      </text>
    </comment>
    <comment ref="BB17" authorId="0" shapeId="0" xr:uid="{8BD453CE-4CB1-4E74-A7BF-8E5B0FDC76D7}">
      <text>
        <r>
          <rPr>
            <b/>
            <sz val="9"/>
            <color indexed="81"/>
            <rFont val="Tahoma"/>
            <family val="2"/>
          </rPr>
          <t>Gavin Mudd:</t>
        </r>
        <r>
          <rPr>
            <sz val="9"/>
            <color indexed="81"/>
            <rFont val="Tahoma"/>
            <family val="2"/>
          </rPr>
          <t xml:space="preserve">
assumed</t>
        </r>
      </text>
    </comment>
    <comment ref="AZ18" authorId="0" shapeId="0" xr:uid="{8FFA4D29-A7F8-462C-9EBF-F418D206B731}">
      <text>
        <r>
          <rPr>
            <b/>
            <sz val="9"/>
            <color indexed="81"/>
            <rFont val="Tahoma"/>
            <family val="2"/>
          </rPr>
          <t>Gavin Mudd:</t>
        </r>
        <r>
          <rPr>
            <sz val="9"/>
            <color indexed="81"/>
            <rFont val="Tahoma"/>
            <family val="2"/>
          </rPr>
          <t xml:space="preserve">
exports only</t>
        </r>
      </text>
    </comment>
    <comment ref="BA18" authorId="0" shapeId="0" xr:uid="{42BB5369-E9A6-4B35-AF0B-4854C1A671ED}">
      <text>
        <r>
          <rPr>
            <b/>
            <sz val="9"/>
            <color indexed="81"/>
            <rFont val="Tahoma"/>
            <family val="2"/>
          </rPr>
          <t>Gavin Mudd:</t>
        </r>
        <r>
          <rPr>
            <sz val="9"/>
            <color indexed="81"/>
            <rFont val="Tahoma"/>
            <family val="2"/>
          </rPr>
          <t xml:space="preserve">
assumed</t>
        </r>
      </text>
    </comment>
    <comment ref="BB18" authorId="0" shapeId="0" xr:uid="{A1CD5D17-EC10-479A-AEEE-1279380303E3}">
      <text>
        <r>
          <rPr>
            <b/>
            <sz val="9"/>
            <color indexed="81"/>
            <rFont val="Tahoma"/>
            <family val="2"/>
          </rPr>
          <t>Gavin Mudd:</t>
        </r>
        <r>
          <rPr>
            <sz val="9"/>
            <color indexed="81"/>
            <rFont val="Tahoma"/>
            <family val="2"/>
          </rPr>
          <t xml:space="preserve">
assumed</t>
        </r>
      </text>
    </comment>
    <comment ref="AZ19" authorId="0" shapeId="0" xr:uid="{611122D4-2096-40BF-8920-793D44127976}">
      <text>
        <r>
          <rPr>
            <b/>
            <sz val="9"/>
            <color indexed="81"/>
            <rFont val="Tahoma"/>
            <family val="2"/>
          </rPr>
          <t>Gavin Mudd:</t>
        </r>
        <r>
          <rPr>
            <sz val="9"/>
            <color indexed="81"/>
            <rFont val="Tahoma"/>
            <family val="2"/>
          </rPr>
          <t xml:space="preserve">
exports only</t>
        </r>
      </text>
    </comment>
    <comment ref="BA19" authorId="0" shapeId="0" xr:uid="{04613D8B-876E-4A29-BB75-8743B4907693}">
      <text>
        <r>
          <rPr>
            <b/>
            <sz val="9"/>
            <color indexed="81"/>
            <rFont val="Tahoma"/>
            <family val="2"/>
          </rPr>
          <t>Gavin Mudd:</t>
        </r>
        <r>
          <rPr>
            <sz val="9"/>
            <color indexed="81"/>
            <rFont val="Tahoma"/>
            <family val="2"/>
          </rPr>
          <t xml:space="preserve">
assumed</t>
        </r>
      </text>
    </comment>
    <comment ref="BB19" authorId="0" shapeId="0" xr:uid="{A5305095-CD7A-400C-B032-74F45E4C7756}">
      <text>
        <r>
          <rPr>
            <b/>
            <sz val="9"/>
            <color indexed="81"/>
            <rFont val="Tahoma"/>
            <family val="2"/>
          </rPr>
          <t>Gavin Mudd:</t>
        </r>
        <r>
          <rPr>
            <sz val="9"/>
            <color indexed="81"/>
            <rFont val="Tahoma"/>
            <family val="2"/>
          </rPr>
          <t xml:space="preserve">
assumed</t>
        </r>
      </text>
    </comment>
    <comment ref="AZ20" authorId="0" shapeId="0" xr:uid="{05B25C66-37BD-4183-99AA-E51674892A85}">
      <text>
        <r>
          <rPr>
            <b/>
            <sz val="9"/>
            <color indexed="81"/>
            <rFont val="Tahoma"/>
            <family val="2"/>
          </rPr>
          <t>Gavin Mudd:</t>
        </r>
        <r>
          <rPr>
            <sz val="9"/>
            <color indexed="81"/>
            <rFont val="Tahoma"/>
            <family val="2"/>
          </rPr>
          <t xml:space="preserve">
exports only</t>
        </r>
      </text>
    </comment>
    <comment ref="BA20" authorId="0" shapeId="0" xr:uid="{733AB0C5-FF7C-455E-94C3-5F7A6EF26708}">
      <text>
        <r>
          <rPr>
            <b/>
            <sz val="9"/>
            <color indexed="81"/>
            <rFont val="Tahoma"/>
            <family val="2"/>
          </rPr>
          <t>Gavin Mudd:</t>
        </r>
        <r>
          <rPr>
            <sz val="9"/>
            <color indexed="81"/>
            <rFont val="Tahoma"/>
            <family val="2"/>
          </rPr>
          <t xml:space="preserve">
assumed</t>
        </r>
      </text>
    </comment>
    <comment ref="BB20" authorId="0" shapeId="0" xr:uid="{F006845D-9D07-4C40-81B5-37E78FFA7B67}">
      <text>
        <r>
          <rPr>
            <b/>
            <sz val="9"/>
            <color indexed="81"/>
            <rFont val="Tahoma"/>
            <family val="2"/>
          </rPr>
          <t>Gavin Mudd:</t>
        </r>
        <r>
          <rPr>
            <sz val="9"/>
            <color indexed="81"/>
            <rFont val="Tahoma"/>
            <family val="2"/>
          </rPr>
          <t xml:space="preserve">
assumed</t>
        </r>
      </text>
    </comment>
    <comment ref="AZ21" authorId="0" shapeId="0" xr:uid="{A3894FEE-EE79-4A62-9B48-0C741D0DD00B}">
      <text>
        <r>
          <rPr>
            <b/>
            <sz val="9"/>
            <color indexed="81"/>
            <rFont val="Tahoma"/>
            <family val="2"/>
          </rPr>
          <t>Gavin Mudd:</t>
        </r>
        <r>
          <rPr>
            <sz val="9"/>
            <color indexed="81"/>
            <rFont val="Tahoma"/>
            <family val="2"/>
          </rPr>
          <t xml:space="preserve">
exports only</t>
        </r>
      </text>
    </comment>
    <comment ref="BA21" authorId="0" shapeId="0" xr:uid="{2C8139FD-2FD1-480C-A0BC-F65F23295BF8}">
      <text>
        <r>
          <rPr>
            <b/>
            <sz val="9"/>
            <color indexed="81"/>
            <rFont val="Tahoma"/>
            <family val="2"/>
          </rPr>
          <t>Gavin Mudd:</t>
        </r>
        <r>
          <rPr>
            <sz val="9"/>
            <color indexed="81"/>
            <rFont val="Tahoma"/>
            <family val="2"/>
          </rPr>
          <t xml:space="preserve">
assumed</t>
        </r>
      </text>
    </comment>
    <comment ref="BB21" authorId="0" shapeId="0" xr:uid="{9D9DE591-2045-49E2-91E7-949D571C537E}">
      <text>
        <r>
          <rPr>
            <b/>
            <sz val="9"/>
            <color indexed="81"/>
            <rFont val="Tahoma"/>
            <family val="2"/>
          </rPr>
          <t>Gavin Mudd:</t>
        </r>
        <r>
          <rPr>
            <sz val="9"/>
            <color indexed="81"/>
            <rFont val="Tahoma"/>
            <family val="2"/>
          </rPr>
          <t xml:space="preserve">
assumed</t>
        </r>
      </text>
    </comment>
    <comment ref="AZ22" authorId="0" shapeId="0" xr:uid="{19EBCD22-835D-46C6-85DD-8A4F7EAB356B}">
      <text>
        <r>
          <rPr>
            <b/>
            <sz val="9"/>
            <color indexed="81"/>
            <rFont val="Tahoma"/>
            <family val="2"/>
          </rPr>
          <t>Gavin Mudd:</t>
        </r>
        <r>
          <rPr>
            <sz val="9"/>
            <color indexed="81"/>
            <rFont val="Tahoma"/>
            <family val="2"/>
          </rPr>
          <t xml:space="preserve">
exports only</t>
        </r>
      </text>
    </comment>
    <comment ref="BA22" authorId="0" shapeId="0" xr:uid="{334827A8-B9D5-4EAD-85E0-2CF5CA98A78B}">
      <text>
        <r>
          <rPr>
            <b/>
            <sz val="9"/>
            <color indexed="81"/>
            <rFont val="Tahoma"/>
            <family val="2"/>
          </rPr>
          <t>Gavin Mudd:</t>
        </r>
        <r>
          <rPr>
            <sz val="9"/>
            <color indexed="81"/>
            <rFont val="Tahoma"/>
            <family val="2"/>
          </rPr>
          <t xml:space="preserve">
assumed</t>
        </r>
      </text>
    </comment>
    <comment ref="BB22" authorId="0" shapeId="0" xr:uid="{F215EE20-758C-477C-A46F-0F563B092F27}">
      <text>
        <r>
          <rPr>
            <b/>
            <sz val="9"/>
            <color indexed="81"/>
            <rFont val="Tahoma"/>
            <family val="2"/>
          </rPr>
          <t>Gavin Mudd:</t>
        </r>
        <r>
          <rPr>
            <sz val="9"/>
            <color indexed="81"/>
            <rFont val="Tahoma"/>
            <family val="2"/>
          </rPr>
          <t xml:space="preserve">
assumed</t>
        </r>
      </text>
    </comment>
    <comment ref="AZ23" authorId="0" shapeId="0" xr:uid="{B405C13B-44C0-4BC9-AA3A-7F822147ADAB}">
      <text>
        <r>
          <rPr>
            <b/>
            <sz val="9"/>
            <color indexed="81"/>
            <rFont val="Tahoma"/>
            <family val="2"/>
          </rPr>
          <t>Gavin Mudd:</t>
        </r>
        <r>
          <rPr>
            <sz val="9"/>
            <color indexed="81"/>
            <rFont val="Tahoma"/>
            <family val="2"/>
          </rPr>
          <t xml:space="preserve">
exports only</t>
        </r>
      </text>
    </comment>
    <comment ref="BA23" authorId="0" shapeId="0" xr:uid="{A76FF688-7D0A-489D-8E5E-C7BCDB5F82F9}">
      <text>
        <r>
          <rPr>
            <b/>
            <sz val="9"/>
            <color indexed="81"/>
            <rFont val="Tahoma"/>
            <family val="2"/>
          </rPr>
          <t>Gavin Mudd:</t>
        </r>
        <r>
          <rPr>
            <sz val="9"/>
            <color indexed="81"/>
            <rFont val="Tahoma"/>
            <family val="2"/>
          </rPr>
          <t xml:space="preserve">
assumed</t>
        </r>
      </text>
    </comment>
    <comment ref="BB23" authorId="0" shapeId="0" xr:uid="{D276DD2B-4559-4352-9474-413252DBE4D1}">
      <text>
        <r>
          <rPr>
            <b/>
            <sz val="9"/>
            <color indexed="81"/>
            <rFont val="Tahoma"/>
            <family val="2"/>
          </rPr>
          <t>Gavin Mudd:</t>
        </r>
        <r>
          <rPr>
            <sz val="9"/>
            <color indexed="81"/>
            <rFont val="Tahoma"/>
            <family val="2"/>
          </rPr>
          <t xml:space="preserve">
assumed</t>
        </r>
      </text>
    </comment>
    <comment ref="AZ24" authorId="0" shapeId="0" xr:uid="{B7860BEB-CB49-4A07-AE22-4F8C764F2D6A}">
      <text>
        <r>
          <rPr>
            <b/>
            <sz val="9"/>
            <color indexed="81"/>
            <rFont val="Tahoma"/>
            <family val="2"/>
          </rPr>
          <t>Gavin Mudd:</t>
        </r>
        <r>
          <rPr>
            <sz val="9"/>
            <color indexed="81"/>
            <rFont val="Tahoma"/>
            <family val="2"/>
          </rPr>
          <t xml:space="preserve">
exports only</t>
        </r>
      </text>
    </comment>
    <comment ref="V25" authorId="0" shapeId="0" xr:uid="{0685EE4E-6E86-4A4E-964C-5B75F6205276}">
      <text>
        <r>
          <rPr>
            <b/>
            <sz val="9"/>
            <color indexed="81"/>
            <rFont val="Tahoma"/>
            <family val="2"/>
          </rPr>
          <t>Gavin Mudd:</t>
        </r>
        <r>
          <rPr>
            <sz val="9"/>
            <color indexed="81"/>
            <rFont val="Tahoma"/>
            <family val="2"/>
          </rPr>
          <t xml:space="preserve">
assumed</t>
        </r>
      </text>
    </comment>
    <comment ref="W25" authorId="0" shapeId="0" xr:uid="{6F86683E-6822-4EAD-9FE5-4162F6A3A39E}">
      <text>
        <r>
          <rPr>
            <b/>
            <sz val="9"/>
            <color indexed="81"/>
            <rFont val="Tahoma"/>
            <family val="2"/>
          </rPr>
          <t>Gavin Mudd:</t>
        </r>
        <r>
          <rPr>
            <sz val="9"/>
            <color indexed="81"/>
            <rFont val="Tahoma"/>
            <family val="2"/>
          </rPr>
          <t xml:space="preserve">
assumed</t>
        </r>
      </text>
    </comment>
    <comment ref="AJ25" authorId="0" shapeId="0" xr:uid="{9AD3F7E5-0E2C-4BA7-943D-29F9EA5F146D}">
      <text>
        <r>
          <rPr>
            <b/>
            <sz val="9"/>
            <color indexed="81"/>
            <rFont val="Tahoma"/>
            <family val="2"/>
          </rPr>
          <t>Gavin Mudd:</t>
        </r>
        <r>
          <rPr>
            <sz val="9"/>
            <color indexed="81"/>
            <rFont val="Tahoma"/>
            <family val="2"/>
          </rPr>
          <t xml:space="preserve">
assumed</t>
        </r>
      </text>
    </comment>
    <comment ref="AK25" authorId="0" shapeId="0" xr:uid="{D111CBD8-9225-4A0D-9DD7-496C3D3F928F}">
      <text>
        <r>
          <rPr>
            <b/>
            <sz val="9"/>
            <color indexed="81"/>
            <rFont val="Tahoma"/>
            <family val="2"/>
          </rPr>
          <t>Gavin Mudd:</t>
        </r>
        <r>
          <rPr>
            <sz val="9"/>
            <color indexed="81"/>
            <rFont val="Tahoma"/>
            <family val="2"/>
          </rPr>
          <t xml:space="preserve">
assumed</t>
        </r>
      </text>
    </comment>
    <comment ref="AN25" authorId="0" shapeId="0" xr:uid="{2E286E19-A1A4-41FF-91AC-CFA3140FDA8E}">
      <text>
        <r>
          <rPr>
            <b/>
            <sz val="9"/>
            <color indexed="81"/>
            <rFont val="Tahoma"/>
            <family val="2"/>
          </rPr>
          <t>Gavin Mudd:</t>
        </r>
        <r>
          <rPr>
            <sz val="9"/>
            <color indexed="81"/>
            <rFont val="Tahoma"/>
            <family val="2"/>
          </rPr>
          <t xml:space="preserve">
assumed</t>
        </r>
      </text>
    </comment>
    <comment ref="AO25" authorId="0" shapeId="0" xr:uid="{1047C241-CAF5-4F0C-BEFC-35FD6DD43155}">
      <text>
        <r>
          <rPr>
            <b/>
            <sz val="9"/>
            <color indexed="81"/>
            <rFont val="Tahoma"/>
            <family val="2"/>
          </rPr>
          <t>Gavin Mudd:</t>
        </r>
        <r>
          <rPr>
            <sz val="9"/>
            <color indexed="81"/>
            <rFont val="Tahoma"/>
            <family val="2"/>
          </rPr>
          <t xml:space="preserve">
assumed</t>
        </r>
      </text>
    </comment>
    <comment ref="AZ25" authorId="0" shapeId="0" xr:uid="{603FF432-47E3-4781-AE72-E3A8684F11D0}">
      <text>
        <r>
          <rPr>
            <b/>
            <sz val="9"/>
            <color indexed="81"/>
            <rFont val="Tahoma"/>
            <family val="2"/>
          </rPr>
          <t>Gavin Mudd:</t>
        </r>
        <r>
          <rPr>
            <sz val="9"/>
            <color indexed="81"/>
            <rFont val="Tahoma"/>
            <family val="2"/>
          </rPr>
          <t xml:space="preserve">
exports only</t>
        </r>
      </text>
    </comment>
    <comment ref="CD25" authorId="0" shapeId="0" xr:uid="{79E68F0B-6FB7-499C-8914-E6BCFFB7088F}">
      <text>
        <r>
          <rPr>
            <b/>
            <sz val="9"/>
            <color indexed="81"/>
            <rFont val="Tahoma"/>
            <family val="2"/>
          </rPr>
          <t>Gavin Mudd:</t>
        </r>
        <r>
          <rPr>
            <sz val="9"/>
            <color indexed="81"/>
            <rFont val="Tahoma"/>
            <family val="2"/>
          </rPr>
          <t xml:space="preserve">
assumed</t>
        </r>
      </text>
    </comment>
    <comment ref="CE25" authorId="0" shapeId="0" xr:uid="{71EA550A-4954-42A5-9B7F-87FFAEBC5CCF}">
      <text>
        <r>
          <rPr>
            <b/>
            <sz val="9"/>
            <color indexed="81"/>
            <rFont val="Tahoma"/>
            <family val="2"/>
          </rPr>
          <t>Gavin Mudd:</t>
        </r>
        <r>
          <rPr>
            <sz val="9"/>
            <color indexed="81"/>
            <rFont val="Tahoma"/>
            <family val="2"/>
          </rPr>
          <t xml:space="preserve">
assumed</t>
        </r>
      </text>
    </comment>
    <comment ref="V26" authorId="0" shapeId="0" xr:uid="{8FD86BFF-1FCC-4329-BEEA-A4C3EEAC1234}">
      <text>
        <r>
          <rPr>
            <b/>
            <sz val="9"/>
            <color indexed="81"/>
            <rFont val="Tahoma"/>
            <family val="2"/>
          </rPr>
          <t>Gavin Mudd:</t>
        </r>
        <r>
          <rPr>
            <sz val="9"/>
            <color indexed="81"/>
            <rFont val="Tahoma"/>
            <family val="2"/>
          </rPr>
          <t xml:space="preserve">
assumed</t>
        </r>
      </text>
    </comment>
    <comment ref="W26" authorId="0" shapeId="0" xr:uid="{87FA16D8-4074-4AD9-ACF6-E91035B541B4}">
      <text>
        <r>
          <rPr>
            <b/>
            <sz val="9"/>
            <color indexed="81"/>
            <rFont val="Tahoma"/>
            <family val="2"/>
          </rPr>
          <t>Gavin Mudd:</t>
        </r>
        <r>
          <rPr>
            <sz val="9"/>
            <color indexed="81"/>
            <rFont val="Tahoma"/>
            <family val="2"/>
          </rPr>
          <t xml:space="preserve">
assumed</t>
        </r>
      </text>
    </comment>
    <comment ref="AJ26" authorId="0" shapeId="0" xr:uid="{947F5EE9-049E-4760-BC0B-4FCD2DC46EAB}">
      <text>
        <r>
          <rPr>
            <b/>
            <sz val="9"/>
            <color indexed="81"/>
            <rFont val="Tahoma"/>
            <family val="2"/>
          </rPr>
          <t>Gavin Mudd:</t>
        </r>
        <r>
          <rPr>
            <sz val="9"/>
            <color indexed="81"/>
            <rFont val="Tahoma"/>
            <family val="2"/>
          </rPr>
          <t xml:space="preserve">
assumed</t>
        </r>
      </text>
    </comment>
    <comment ref="AK26" authorId="0" shapeId="0" xr:uid="{384A79F8-31DE-43A5-B80A-19F383042A0A}">
      <text>
        <r>
          <rPr>
            <b/>
            <sz val="9"/>
            <color indexed="81"/>
            <rFont val="Tahoma"/>
            <family val="2"/>
          </rPr>
          <t>Gavin Mudd:</t>
        </r>
        <r>
          <rPr>
            <sz val="9"/>
            <color indexed="81"/>
            <rFont val="Tahoma"/>
            <family val="2"/>
          </rPr>
          <t xml:space="preserve">
assumed</t>
        </r>
      </text>
    </comment>
    <comment ref="AN26" authorId="0" shapeId="0" xr:uid="{4ED6A201-8B54-479E-B688-AE5783EA5DB1}">
      <text>
        <r>
          <rPr>
            <b/>
            <sz val="9"/>
            <color indexed="81"/>
            <rFont val="Tahoma"/>
            <family val="2"/>
          </rPr>
          <t>Gavin Mudd:</t>
        </r>
        <r>
          <rPr>
            <sz val="9"/>
            <color indexed="81"/>
            <rFont val="Tahoma"/>
            <family val="2"/>
          </rPr>
          <t xml:space="preserve">
assumed</t>
        </r>
      </text>
    </comment>
    <comment ref="AO26" authorId="0" shapeId="0" xr:uid="{78F190A6-4518-42AE-9718-008CB43808EF}">
      <text>
        <r>
          <rPr>
            <b/>
            <sz val="9"/>
            <color indexed="81"/>
            <rFont val="Tahoma"/>
            <family val="2"/>
          </rPr>
          <t>Gavin Mudd:</t>
        </r>
        <r>
          <rPr>
            <sz val="9"/>
            <color indexed="81"/>
            <rFont val="Tahoma"/>
            <family val="2"/>
          </rPr>
          <t xml:space="preserve">
assumed</t>
        </r>
      </text>
    </comment>
    <comment ref="AZ26" authorId="0" shapeId="0" xr:uid="{6AA59A7C-EEB0-4B2A-8E11-DD735EDB27FE}">
      <text>
        <r>
          <rPr>
            <b/>
            <sz val="9"/>
            <color indexed="81"/>
            <rFont val="Tahoma"/>
            <family val="2"/>
          </rPr>
          <t>Gavin Mudd:</t>
        </r>
        <r>
          <rPr>
            <sz val="9"/>
            <color indexed="81"/>
            <rFont val="Tahoma"/>
            <family val="2"/>
          </rPr>
          <t xml:space="preserve">
exports only</t>
        </r>
      </text>
    </comment>
    <comment ref="CD26" authorId="0" shapeId="0" xr:uid="{980AA7ED-8627-4CEB-BF38-BD69C0DBC5AA}">
      <text>
        <r>
          <rPr>
            <b/>
            <sz val="9"/>
            <color indexed="81"/>
            <rFont val="Tahoma"/>
            <family val="2"/>
          </rPr>
          <t>Gavin Mudd:</t>
        </r>
        <r>
          <rPr>
            <sz val="9"/>
            <color indexed="81"/>
            <rFont val="Tahoma"/>
            <family val="2"/>
          </rPr>
          <t xml:space="preserve">
assumed</t>
        </r>
      </text>
    </comment>
    <comment ref="CE26" authorId="0" shapeId="0" xr:uid="{8EDFED07-9B2B-46E3-8521-ACF8704BA830}">
      <text>
        <r>
          <rPr>
            <b/>
            <sz val="9"/>
            <color indexed="81"/>
            <rFont val="Tahoma"/>
            <family val="2"/>
          </rPr>
          <t>Gavin Mudd:</t>
        </r>
        <r>
          <rPr>
            <sz val="9"/>
            <color indexed="81"/>
            <rFont val="Tahoma"/>
            <family val="2"/>
          </rPr>
          <t xml:space="preserve">
assumed</t>
        </r>
      </text>
    </comment>
    <comment ref="V27" authorId="0" shapeId="0" xr:uid="{73183679-A0CD-4DAA-9245-30B208CA4A01}">
      <text>
        <r>
          <rPr>
            <b/>
            <sz val="9"/>
            <color indexed="81"/>
            <rFont val="Tahoma"/>
            <family val="2"/>
          </rPr>
          <t>Gavin Mudd:</t>
        </r>
        <r>
          <rPr>
            <sz val="9"/>
            <color indexed="81"/>
            <rFont val="Tahoma"/>
            <family val="2"/>
          </rPr>
          <t xml:space="preserve">
assumed</t>
        </r>
      </text>
    </comment>
    <comment ref="W27" authorId="0" shapeId="0" xr:uid="{99B7F886-1F66-4A7A-BAAC-8BE3BFD75AFB}">
      <text>
        <r>
          <rPr>
            <b/>
            <sz val="9"/>
            <color indexed="81"/>
            <rFont val="Tahoma"/>
            <family val="2"/>
          </rPr>
          <t>Gavin Mudd:</t>
        </r>
        <r>
          <rPr>
            <sz val="9"/>
            <color indexed="81"/>
            <rFont val="Tahoma"/>
            <family val="2"/>
          </rPr>
          <t xml:space="preserve">
assumed</t>
        </r>
      </text>
    </comment>
    <comment ref="AJ27" authorId="0" shapeId="0" xr:uid="{00BA227E-5887-41F2-89DF-F610FE48E2F7}">
      <text>
        <r>
          <rPr>
            <b/>
            <sz val="9"/>
            <color indexed="81"/>
            <rFont val="Tahoma"/>
            <family val="2"/>
          </rPr>
          <t>Gavin Mudd:</t>
        </r>
        <r>
          <rPr>
            <sz val="9"/>
            <color indexed="81"/>
            <rFont val="Tahoma"/>
            <family val="2"/>
          </rPr>
          <t xml:space="preserve">
assumed</t>
        </r>
      </text>
    </comment>
    <comment ref="AK27" authorId="0" shapeId="0" xr:uid="{2EA8E0D3-5A84-4CC2-9A1B-D400EED03861}">
      <text>
        <r>
          <rPr>
            <b/>
            <sz val="9"/>
            <color indexed="81"/>
            <rFont val="Tahoma"/>
            <family val="2"/>
          </rPr>
          <t>Gavin Mudd:</t>
        </r>
        <r>
          <rPr>
            <sz val="9"/>
            <color indexed="81"/>
            <rFont val="Tahoma"/>
            <family val="2"/>
          </rPr>
          <t xml:space="preserve">
assumed</t>
        </r>
      </text>
    </comment>
    <comment ref="AN27" authorId="0" shapeId="0" xr:uid="{592D1F9E-7A8F-4CBF-8D58-C60792744CBF}">
      <text>
        <r>
          <rPr>
            <b/>
            <sz val="9"/>
            <color indexed="81"/>
            <rFont val="Tahoma"/>
            <family val="2"/>
          </rPr>
          <t>Gavin Mudd:</t>
        </r>
        <r>
          <rPr>
            <sz val="9"/>
            <color indexed="81"/>
            <rFont val="Tahoma"/>
            <family val="2"/>
          </rPr>
          <t xml:space="preserve">
assumed</t>
        </r>
      </text>
    </comment>
    <comment ref="AO27" authorId="0" shapeId="0" xr:uid="{42FD6125-032B-4CE4-95E4-9E31AD1AB804}">
      <text>
        <r>
          <rPr>
            <b/>
            <sz val="9"/>
            <color indexed="81"/>
            <rFont val="Tahoma"/>
            <family val="2"/>
          </rPr>
          <t>Gavin Mudd:</t>
        </r>
        <r>
          <rPr>
            <sz val="9"/>
            <color indexed="81"/>
            <rFont val="Tahoma"/>
            <family val="2"/>
          </rPr>
          <t xml:space="preserve">
assumed</t>
        </r>
      </text>
    </comment>
    <comment ref="AZ27" authorId="0" shapeId="0" xr:uid="{F1CC556D-D43C-40CF-BAA2-30F36594F674}">
      <text>
        <r>
          <rPr>
            <b/>
            <sz val="9"/>
            <color indexed="81"/>
            <rFont val="Tahoma"/>
            <family val="2"/>
          </rPr>
          <t>Gavin Mudd:</t>
        </r>
        <r>
          <rPr>
            <sz val="9"/>
            <color indexed="81"/>
            <rFont val="Tahoma"/>
            <family val="2"/>
          </rPr>
          <t xml:space="preserve">
exports only</t>
        </r>
      </text>
    </comment>
    <comment ref="CD27" authorId="0" shapeId="0" xr:uid="{BB2575DA-45DA-4507-A1F2-02433D718682}">
      <text>
        <r>
          <rPr>
            <b/>
            <sz val="9"/>
            <color indexed="81"/>
            <rFont val="Tahoma"/>
            <family val="2"/>
          </rPr>
          <t>Gavin Mudd:</t>
        </r>
        <r>
          <rPr>
            <sz val="9"/>
            <color indexed="81"/>
            <rFont val="Tahoma"/>
            <family val="2"/>
          </rPr>
          <t xml:space="preserve">
assumed</t>
        </r>
      </text>
    </comment>
    <comment ref="CE27" authorId="0" shapeId="0" xr:uid="{8DBC9600-1A48-41F0-AA39-AB3BF8004DCF}">
      <text>
        <r>
          <rPr>
            <b/>
            <sz val="9"/>
            <color indexed="81"/>
            <rFont val="Tahoma"/>
            <family val="2"/>
          </rPr>
          <t>Gavin Mudd:</t>
        </r>
        <r>
          <rPr>
            <sz val="9"/>
            <color indexed="81"/>
            <rFont val="Tahoma"/>
            <family val="2"/>
          </rPr>
          <t xml:space="preserve">
assumed</t>
        </r>
      </text>
    </comment>
    <comment ref="W28" authorId="0" shapeId="0" xr:uid="{F0EDF78E-781C-462F-BFA3-59EF06290979}">
      <text>
        <r>
          <rPr>
            <b/>
            <sz val="9"/>
            <color indexed="81"/>
            <rFont val="Tahoma"/>
            <family val="2"/>
          </rPr>
          <t>Gavin Mudd:</t>
        </r>
        <r>
          <rPr>
            <sz val="9"/>
            <color indexed="81"/>
            <rFont val="Tahoma"/>
            <family val="2"/>
          </rPr>
          <t xml:space="preserve">
assumed</t>
        </r>
      </text>
    </comment>
    <comment ref="AK28" authorId="0" shapeId="0" xr:uid="{451B4A1A-706E-4FE4-8FE4-714354D9E809}">
      <text>
        <r>
          <rPr>
            <b/>
            <sz val="9"/>
            <color indexed="81"/>
            <rFont val="Tahoma"/>
            <family val="2"/>
          </rPr>
          <t>Gavin Mudd:</t>
        </r>
        <r>
          <rPr>
            <sz val="9"/>
            <color indexed="81"/>
            <rFont val="Tahoma"/>
            <family val="2"/>
          </rPr>
          <t xml:space="preserve">
assumed</t>
        </r>
      </text>
    </comment>
    <comment ref="AO28" authorId="0" shapeId="0" xr:uid="{F3E6880D-1D6D-4D03-9375-D9F66A1E59AA}">
      <text>
        <r>
          <rPr>
            <b/>
            <sz val="9"/>
            <color indexed="81"/>
            <rFont val="Tahoma"/>
            <family val="2"/>
          </rPr>
          <t>Gavin Mudd:</t>
        </r>
        <r>
          <rPr>
            <sz val="9"/>
            <color indexed="81"/>
            <rFont val="Tahoma"/>
            <family val="2"/>
          </rPr>
          <t xml:space="preserve">
assumed</t>
        </r>
      </text>
    </comment>
    <comment ref="CD28" authorId="0" shapeId="0" xr:uid="{EB5E8F03-9802-45B0-848D-D7C57B0DF4C9}">
      <text>
        <r>
          <rPr>
            <b/>
            <sz val="9"/>
            <color indexed="81"/>
            <rFont val="Tahoma"/>
            <family val="2"/>
          </rPr>
          <t>Gavin Mudd:</t>
        </r>
        <r>
          <rPr>
            <sz val="9"/>
            <color indexed="81"/>
            <rFont val="Tahoma"/>
            <family val="2"/>
          </rPr>
          <t xml:space="preserve">
assumed</t>
        </r>
      </text>
    </comment>
    <comment ref="CE28" authorId="0" shapeId="0" xr:uid="{0AAF145C-F693-4B7C-9593-F70D448158B8}">
      <text>
        <r>
          <rPr>
            <b/>
            <sz val="9"/>
            <color indexed="81"/>
            <rFont val="Tahoma"/>
            <family val="2"/>
          </rPr>
          <t>Gavin Mudd:</t>
        </r>
        <r>
          <rPr>
            <sz val="9"/>
            <color indexed="81"/>
            <rFont val="Tahoma"/>
            <family val="2"/>
          </rPr>
          <t xml:space="preserve">
assumed</t>
        </r>
      </text>
    </comment>
    <comment ref="W29" authorId="0" shapeId="0" xr:uid="{0C1BC207-12D7-48B8-8A77-1BF98956018D}">
      <text>
        <r>
          <rPr>
            <b/>
            <sz val="9"/>
            <color indexed="81"/>
            <rFont val="Tahoma"/>
            <family val="2"/>
          </rPr>
          <t>Gavin Mudd:</t>
        </r>
        <r>
          <rPr>
            <sz val="9"/>
            <color indexed="81"/>
            <rFont val="Tahoma"/>
            <family val="2"/>
          </rPr>
          <t xml:space="preserve">
assumed</t>
        </r>
      </text>
    </comment>
    <comment ref="Y29" authorId="0" shapeId="0" xr:uid="{867092DC-A432-4C2E-9C92-5C4897AD3D41}">
      <text>
        <r>
          <rPr>
            <b/>
            <sz val="9"/>
            <color indexed="81"/>
            <rFont val="Tahoma"/>
            <family val="2"/>
          </rPr>
          <t>Gavin Mudd:</t>
        </r>
        <r>
          <rPr>
            <sz val="9"/>
            <color indexed="81"/>
            <rFont val="Tahoma"/>
            <family val="2"/>
          </rPr>
          <t xml:space="preserve">
assumed</t>
        </r>
      </text>
    </comment>
    <comment ref="AK29" authorId="0" shapeId="0" xr:uid="{B0A7AE11-0A99-464D-9DC5-B40C86FCA70E}">
      <text>
        <r>
          <rPr>
            <b/>
            <sz val="9"/>
            <color indexed="81"/>
            <rFont val="Tahoma"/>
            <family val="2"/>
          </rPr>
          <t>Gavin Mudd:</t>
        </r>
        <r>
          <rPr>
            <sz val="9"/>
            <color indexed="81"/>
            <rFont val="Tahoma"/>
            <family val="2"/>
          </rPr>
          <t xml:space="preserve">
assumed</t>
        </r>
      </text>
    </comment>
    <comment ref="AO29" authorId="0" shapeId="0" xr:uid="{84E6C30E-8551-4B4A-9C6B-0627B501E3FB}">
      <text>
        <r>
          <rPr>
            <b/>
            <sz val="9"/>
            <color indexed="81"/>
            <rFont val="Tahoma"/>
            <family val="2"/>
          </rPr>
          <t>Gavin Mudd:</t>
        </r>
        <r>
          <rPr>
            <sz val="9"/>
            <color indexed="81"/>
            <rFont val="Tahoma"/>
            <family val="2"/>
          </rPr>
          <t xml:space="preserve">
assumed</t>
        </r>
      </text>
    </comment>
    <comment ref="CD29" authorId="0" shapeId="0" xr:uid="{764EC0D8-B22F-4D1B-B5EE-2F23F3DAFBAC}">
      <text>
        <r>
          <rPr>
            <b/>
            <sz val="9"/>
            <color indexed="81"/>
            <rFont val="Tahoma"/>
            <family val="2"/>
          </rPr>
          <t>Gavin Mudd:</t>
        </r>
        <r>
          <rPr>
            <sz val="9"/>
            <color indexed="81"/>
            <rFont val="Tahoma"/>
            <family val="2"/>
          </rPr>
          <t xml:space="preserve">
assumed</t>
        </r>
      </text>
    </comment>
    <comment ref="CE29" authorId="0" shapeId="0" xr:uid="{46659444-A781-4A76-9AE5-2D0435838169}">
      <text>
        <r>
          <rPr>
            <b/>
            <sz val="9"/>
            <color indexed="81"/>
            <rFont val="Tahoma"/>
            <family val="2"/>
          </rPr>
          <t>Gavin Mudd:</t>
        </r>
        <r>
          <rPr>
            <sz val="9"/>
            <color indexed="81"/>
            <rFont val="Tahoma"/>
            <family val="2"/>
          </rPr>
          <t xml:space="preserve">
assumed</t>
        </r>
      </text>
    </comment>
    <comment ref="W30" authorId="0" shapeId="0" xr:uid="{32D3C0BA-4873-4E16-8064-1A02E8C013BE}">
      <text>
        <r>
          <rPr>
            <b/>
            <sz val="9"/>
            <color indexed="81"/>
            <rFont val="Tahoma"/>
            <family val="2"/>
          </rPr>
          <t>Gavin Mudd:</t>
        </r>
        <r>
          <rPr>
            <sz val="9"/>
            <color indexed="81"/>
            <rFont val="Tahoma"/>
            <family val="2"/>
          </rPr>
          <t xml:space="preserve">
assumed</t>
        </r>
      </text>
    </comment>
    <comment ref="Y30" authorId="0" shapeId="0" xr:uid="{EBAA7117-7DC0-44B9-BAA0-1E3724C53C4F}">
      <text>
        <r>
          <rPr>
            <b/>
            <sz val="9"/>
            <color indexed="81"/>
            <rFont val="Tahoma"/>
            <family val="2"/>
          </rPr>
          <t>Gavin Mudd:</t>
        </r>
        <r>
          <rPr>
            <sz val="9"/>
            <color indexed="81"/>
            <rFont val="Tahoma"/>
            <family val="2"/>
          </rPr>
          <t xml:space="preserve">
assumed</t>
        </r>
      </text>
    </comment>
    <comment ref="AK30" authorId="0" shapeId="0" xr:uid="{738313FD-0D1A-49D0-B8ED-C360D5314389}">
      <text>
        <r>
          <rPr>
            <b/>
            <sz val="9"/>
            <color indexed="81"/>
            <rFont val="Tahoma"/>
            <family val="2"/>
          </rPr>
          <t>Gavin Mudd:</t>
        </r>
        <r>
          <rPr>
            <sz val="9"/>
            <color indexed="81"/>
            <rFont val="Tahoma"/>
            <family val="2"/>
          </rPr>
          <t xml:space="preserve">
assumed</t>
        </r>
      </text>
    </comment>
    <comment ref="AO30" authorId="0" shapeId="0" xr:uid="{CB829D1F-DBE0-4D23-AD98-AAB908ED0E9F}">
      <text>
        <r>
          <rPr>
            <b/>
            <sz val="9"/>
            <color indexed="81"/>
            <rFont val="Tahoma"/>
            <family val="2"/>
          </rPr>
          <t>Gavin Mudd:</t>
        </r>
        <r>
          <rPr>
            <sz val="9"/>
            <color indexed="81"/>
            <rFont val="Tahoma"/>
            <family val="2"/>
          </rPr>
          <t xml:space="preserve">
assumed</t>
        </r>
      </text>
    </comment>
    <comment ref="CD30" authorId="0" shapeId="0" xr:uid="{6B444940-D2DF-4D4A-B0D6-49B7D3859106}">
      <text>
        <r>
          <rPr>
            <b/>
            <sz val="9"/>
            <color indexed="81"/>
            <rFont val="Tahoma"/>
            <family val="2"/>
          </rPr>
          <t>Gavin Mudd:</t>
        </r>
        <r>
          <rPr>
            <sz val="9"/>
            <color indexed="81"/>
            <rFont val="Tahoma"/>
            <family val="2"/>
          </rPr>
          <t xml:space="preserve">
assumed</t>
        </r>
      </text>
    </comment>
    <comment ref="CE30" authorId="0" shapeId="0" xr:uid="{56A9978A-8BCF-4D0F-98BE-13BD5AAD05CC}">
      <text>
        <r>
          <rPr>
            <b/>
            <sz val="9"/>
            <color indexed="81"/>
            <rFont val="Tahoma"/>
            <family val="2"/>
          </rPr>
          <t>Gavin Mudd:</t>
        </r>
        <r>
          <rPr>
            <sz val="9"/>
            <color indexed="81"/>
            <rFont val="Tahoma"/>
            <family val="2"/>
          </rPr>
          <t xml:space="preserve">
assumed</t>
        </r>
      </text>
    </comment>
    <comment ref="W31" authorId="0" shapeId="0" xr:uid="{A4D74325-324D-4609-B1CB-19D6422578E4}">
      <text>
        <r>
          <rPr>
            <b/>
            <sz val="9"/>
            <color indexed="81"/>
            <rFont val="Tahoma"/>
            <family val="2"/>
          </rPr>
          <t>Gavin Mudd:</t>
        </r>
        <r>
          <rPr>
            <sz val="9"/>
            <color indexed="81"/>
            <rFont val="Tahoma"/>
            <family val="2"/>
          </rPr>
          <t xml:space="preserve">
assumed</t>
        </r>
      </text>
    </comment>
    <comment ref="Y31" authorId="0" shapeId="0" xr:uid="{AC92ADD8-E759-49CE-96A3-2E2334C5E480}">
      <text>
        <r>
          <rPr>
            <b/>
            <sz val="9"/>
            <color indexed="81"/>
            <rFont val="Tahoma"/>
            <family val="2"/>
          </rPr>
          <t>Gavin Mudd:</t>
        </r>
        <r>
          <rPr>
            <sz val="9"/>
            <color indexed="81"/>
            <rFont val="Tahoma"/>
            <family val="2"/>
          </rPr>
          <t xml:space="preserve">
assumed</t>
        </r>
      </text>
    </comment>
    <comment ref="AK31" authorId="0" shapeId="0" xr:uid="{132B4EB5-D7EF-4656-9F35-7DE8AFF909C8}">
      <text>
        <r>
          <rPr>
            <b/>
            <sz val="9"/>
            <color indexed="81"/>
            <rFont val="Tahoma"/>
            <family val="2"/>
          </rPr>
          <t>Gavin Mudd:</t>
        </r>
        <r>
          <rPr>
            <sz val="9"/>
            <color indexed="81"/>
            <rFont val="Tahoma"/>
            <family val="2"/>
          </rPr>
          <t xml:space="preserve">
assumed</t>
        </r>
      </text>
    </comment>
    <comment ref="AO31" authorId="0" shapeId="0" xr:uid="{E67E5DDD-DB9B-4B98-914A-F0432A14D775}">
      <text>
        <r>
          <rPr>
            <b/>
            <sz val="9"/>
            <color indexed="81"/>
            <rFont val="Tahoma"/>
            <family val="2"/>
          </rPr>
          <t>Gavin Mudd:</t>
        </r>
        <r>
          <rPr>
            <sz val="9"/>
            <color indexed="81"/>
            <rFont val="Tahoma"/>
            <family val="2"/>
          </rPr>
          <t xml:space="preserve">
assumed</t>
        </r>
      </text>
    </comment>
    <comment ref="CD31" authorId="0" shapeId="0" xr:uid="{A82CA5B2-B572-47B8-98F5-DD98A3CECAA9}">
      <text>
        <r>
          <rPr>
            <b/>
            <sz val="9"/>
            <color indexed="81"/>
            <rFont val="Tahoma"/>
            <family val="2"/>
          </rPr>
          <t>Gavin Mudd:</t>
        </r>
        <r>
          <rPr>
            <sz val="9"/>
            <color indexed="81"/>
            <rFont val="Tahoma"/>
            <family val="2"/>
          </rPr>
          <t xml:space="preserve">
assumed</t>
        </r>
      </text>
    </comment>
    <comment ref="CE31" authorId="0" shapeId="0" xr:uid="{932E80EF-511F-4BBA-B303-BDB9FA23621D}">
      <text>
        <r>
          <rPr>
            <b/>
            <sz val="9"/>
            <color indexed="81"/>
            <rFont val="Tahoma"/>
            <family val="2"/>
          </rPr>
          <t>Gavin Mudd:</t>
        </r>
        <r>
          <rPr>
            <sz val="9"/>
            <color indexed="81"/>
            <rFont val="Tahoma"/>
            <family val="2"/>
          </rPr>
          <t xml:space="preserve">
assumed</t>
        </r>
      </text>
    </comment>
    <comment ref="W32" authorId="0" shapeId="0" xr:uid="{A6E24DA8-C97F-4B80-A850-DC6038158980}">
      <text>
        <r>
          <rPr>
            <b/>
            <sz val="9"/>
            <color indexed="81"/>
            <rFont val="Tahoma"/>
            <family val="2"/>
          </rPr>
          <t>Gavin Mudd:</t>
        </r>
        <r>
          <rPr>
            <sz val="9"/>
            <color indexed="81"/>
            <rFont val="Tahoma"/>
            <family val="2"/>
          </rPr>
          <t xml:space="preserve">
assumed</t>
        </r>
      </text>
    </comment>
    <comment ref="Y32" authorId="0" shapeId="0" xr:uid="{1D275769-8056-4352-83EC-604BBFD6B056}">
      <text>
        <r>
          <rPr>
            <b/>
            <sz val="9"/>
            <color indexed="81"/>
            <rFont val="Tahoma"/>
            <family val="2"/>
          </rPr>
          <t>Gavin Mudd:</t>
        </r>
        <r>
          <rPr>
            <sz val="9"/>
            <color indexed="81"/>
            <rFont val="Tahoma"/>
            <family val="2"/>
          </rPr>
          <t xml:space="preserve">
assumed</t>
        </r>
      </text>
    </comment>
    <comment ref="AK32" authorId="0" shapeId="0" xr:uid="{FE3241D9-E93C-4F1B-B3FC-0C6CBDDF2128}">
      <text>
        <r>
          <rPr>
            <b/>
            <sz val="9"/>
            <color indexed="81"/>
            <rFont val="Tahoma"/>
            <family val="2"/>
          </rPr>
          <t>Gavin Mudd:</t>
        </r>
        <r>
          <rPr>
            <sz val="9"/>
            <color indexed="81"/>
            <rFont val="Tahoma"/>
            <family val="2"/>
          </rPr>
          <t xml:space="preserve">
assumed</t>
        </r>
      </text>
    </comment>
    <comment ref="AO32" authorId="0" shapeId="0" xr:uid="{8059A3ED-CFA5-4942-9716-FB137F604B34}">
      <text>
        <r>
          <rPr>
            <b/>
            <sz val="9"/>
            <color indexed="81"/>
            <rFont val="Tahoma"/>
            <family val="2"/>
          </rPr>
          <t>Gavin Mudd:</t>
        </r>
        <r>
          <rPr>
            <sz val="9"/>
            <color indexed="81"/>
            <rFont val="Tahoma"/>
            <family val="2"/>
          </rPr>
          <t xml:space="preserve">
assumed</t>
        </r>
      </text>
    </comment>
    <comment ref="CD32" authorId="0" shapeId="0" xr:uid="{06ACCE61-72B8-4086-A3C0-28ADC29E21E6}">
      <text>
        <r>
          <rPr>
            <b/>
            <sz val="9"/>
            <color indexed="81"/>
            <rFont val="Tahoma"/>
            <family val="2"/>
          </rPr>
          <t>Gavin Mudd:</t>
        </r>
        <r>
          <rPr>
            <sz val="9"/>
            <color indexed="81"/>
            <rFont val="Tahoma"/>
            <family val="2"/>
          </rPr>
          <t xml:space="preserve">
assumed</t>
        </r>
      </text>
    </comment>
    <comment ref="CE32" authorId="0" shapeId="0" xr:uid="{BE13D537-0686-413F-BFEF-9640D535EA61}">
      <text>
        <r>
          <rPr>
            <b/>
            <sz val="9"/>
            <color indexed="81"/>
            <rFont val="Tahoma"/>
            <family val="2"/>
          </rPr>
          <t>Gavin Mudd:</t>
        </r>
        <r>
          <rPr>
            <sz val="9"/>
            <color indexed="81"/>
            <rFont val="Tahoma"/>
            <family val="2"/>
          </rPr>
          <t xml:space="preserve">
assumed</t>
        </r>
      </text>
    </comment>
    <comment ref="W33" authorId="0" shapeId="0" xr:uid="{C1620034-45E0-42EA-9C30-0FAEB64B945D}">
      <text>
        <r>
          <rPr>
            <b/>
            <sz val="9"/>
            <color indexed="81"/>
            <rFont val="Tahoma"/>
            <family val="2"/>
          </rPr>
          <t>Gavin Mudd:</t>
        </r>
        <r>
          <rPr>
            <sz val="9"/>
            <color indexed="81"/>
            <rFont val="Tahoma"/>
            <family val="2"/>
          </rPr>
          <t xml:space="preserve">
assumed</t>
        </r>
      </text>
    </comment>
    <comment ref="Y33" authorId="0" shapeId="0" xr:uid="{94438DDD-021B-4EDC-A2F7-EB90DC538E03}">
      <text>
        <r>
          <rPr>
            <b/>
            <sz val="9"/>
            <color indexed="81"/>
            <rFont val="Tahoma"/>
            <family val="2"/>
          </rPr>
          <t>Gavin Mudd:</t>
        </r>
        <r>
          <rPr>
            <sz val="9"/>
            <color indexed="81"/>
            <rFont val="Tahoma"/>
            <family val="2"/>
          </rPr>
          <t xml:space="preserve">
assumed</t>
        </r>
      </text>
    </comment>
    <comment ref="AK33" authorId="0" shapeId="0" xr:uid="{81CC72F0-C56E-4C21-98A6-B5DBED22F740}">
      <text>
        <r>
          <rPr>
            <b/>
            <sz val="9"/>
            <color indexed="81"/>
            <rFont val="Tahoma"/>
            <family val="2"/>
          </rPr>
          <t>Gavin Mudd:</t>
        </r>
        <r>
          <rPr>
            <sz val="9"/>
            <color indexed="81"/>
            <rFont val="Tahoma"/>
            <family val="2"/>
          </rPr>
          <t xml:space="preserve">
assumed</t>
        </r>
      </text>
    </comment>
    <comment ref="AO33" authorId="0" shapeId="0" xr:uid="{71708B1F-DBA8-4559-89CB-6FC265D80205}">
      <text>
        <r>
          <rPr>
            <b/>
            <sz val="9"/>
            <color indexed="81"/>
            <rFont val="Tahoma"/>
            <family val="2"/>
          </rPr>
          <t>Gavin Mudd:</t>
        </r>
        <r>
          <rPr>
            <sz val="9"/>
            <color indexed="81"/>
            <rFont val="Tahoma"/>
            <family val="2"/>
          </rPr>
          <t xml:space="preserve">
assumed</t>
        </r>
      </text>
    </comment>
    <comment ref="CD33" authorId="0" shapeId="0" xr:uid="{FC4B0841-04E1-4A6D-9DEF-AA09E6B9A12B}">
      <text>
        <r>
          <rPr>
            <b/>
            <sz val="9"/>
            <color indexed="81"/>
            <rFont val="Tahoma"/>
            <family val="2"/>
          </rPr>
          <t>Gavin Mudd:</t>
        </r>
        <r>
          <rPr>
            <sz val="9"/>
            <color indexed="81"/>
            <rFont val="Tahoma"/>
            <family val="2"/>
          </rPr>
          <t xml:space="preserve">
assumed</t>
        </r>
      </text>
    </comment>
    <comment ref="CE33" authorId="0" shapeId="0" xr:uid="{10E92B1B-D109-4320-8E91-1FC56CED65C8}">
      <text>
        <r>
          <rPr>
            <b/>
            <sz val="9"/>
            <color indexed="81"/>
            <rFont val="Tahoma"/>
            <family val="2"/>
          </rPr>
          <t>Gavin Mudd:</t>
        </r>
        <r>
          <rPr>
            <sz val="9"/>
            <color indexed="81"/>
            <rFont val="Tahoma"/>
            <family val="2"/>
          </rPr>
          <t xml:space="preserve">
assumed</t>
        </r>
      </text>
    </comment>
    <comment ref="W34" authorId="0" shapeId="0" xr:uid="{0C858E90-C9AE-4CA7-B792-181A72D0552D}">
      <text>
        <r>
          <rPr>
            <b/>
            <sz val="9"/>
            <color indexed="81"/>
            <rFont val="Tahoma"/>
            <family val="2"/>
          </rPr>
          <t>Gavin Mudd:</t>
        </r>
        <r>
          <rPr>
            <sz val="9"/>
            <color indexed="81"/>
            <rFont val="Tahoma"/>
            <family val="2"/>
          </rPr>
          <t xml:space="preserve">
assumed</t>
        </r>
      </text>
    </comment>
    <comment ref="Y34" authorId="0" shapeId="0" xr:uid="{3E533F44-0DE2-4607-B582-E96F621EE054}">
      <text>
        <r>
          <rPr>
            <b/>
            <sz val="9"/>
            <color indexed="81"/>
            <rFont val="Tahoma"/>
            <family val="2"/>
          </rPr>
          <t>Gavin Mudd:</t>
        </r>
        <r>
          <rPr>
            <sz val="9"/>
            <color indexed="81"/>
            <rFont val="Tahoma"/>
            <family val="2"/>
          </rPr>
          <t xml:space="preserve">
assumed</t>
        </r>
      </text>
    </comment>
    <comment ref="AK34" authorId="0" shapeId="0" xr:uid="{0586A629-E2DA-4C1A-86F9-27953FF3A20B}">
      <text>
        <r>
          <rPr>
            <b/>
            <sz val="9"/>
            <color indexed="81"/>
            <rFont val="Tahoma"/>
            <family val="2"/>
          </rPr>
          <t>Gavin Mudd:</t>
        </r>
        <r>
          <rPr>
            <sz val="9"/>
            <color indexed="81"/>
            <rFont val="Tahoma"/>
            <family val="2"/>
          </rPr>
          <t xml:space="preserve">
assumed</t>
        </r>
      </text>
    </comment>
    <comment ref="AO34" authorId="0" shapeId="0" xr:uid="{A1D8296D-6D7F-4966-ACD2-70B343AA05F3}">
      <text>
        <r>
          <rPr>
            <b/>
            <sz val="9"/>
            <color indexed="81"/>
            <rFont val="Tahoma"/>
            <family val="2"/>
          </rPr>
          <t>Gavin Mudd:</t>
        </r>
        <r>
          <rPr>
            <sz val="9"/>
            <color indexed="81"/>
            <rFont val="Tahoma"/>
            <family val="2"/>
          </rPr>
          <t xml:space="preserve">
assumed</t>
        </r>
      </text>
    </comment>
    <comment ref="CD34" authorId="0" shapeId="0" xr:uid="{5AE4E8E6-3217-4ECE-B5FE-F085A750275F}">
      <text>
        <r>
          <rPr>
            <b/>
            <sz val="9"/>
            <color indexed="81"/>
            <rFont val="Tahoma"/>
            <family val="2"/>
          </rPr>
          <t>Gavin Mudd:</t>
        </r>
        <r>
          <rPr>
            <sz val="9"/>
            <color indexed="81"/>
            <rFont val="Tahoma"/>
            <family val="2"/>
          </rPr>
          <t xml:space="preserve">
assumed</t>
        </r>
      </text>
    </comment>
    <comment ref="CE34" authorId="0" shapeId="0" xr:uid="{C7097B1F-2FAA-43A7-A684-A90221E9C64B}">
      <text>
        <r>
          <rPr>
            <b/>
            <sz val="9"/>
            <color indexed="81"/>
            <rFont val="Tahoma"/>
            <family val="2"/>
          </rPr>
          <t>Gavin Mudd:</t>
        </r>
        <r>
          <rPr>
            <sz val="9"/>
            <color indexed="81"/>
            <rFont val="Tahoma"/>
            <family val="2"/>
          </rPr>
          <t xml:space="preserve">
assumed</t>
        </r>
      </text>
    </comment>
    <comment ref="W35" authorId="0" shapeId="0" xr:uid="{D2BC13AB-402A-4BCC-A1AE-58FBB3B41F5C}">
      <text>
        <r>
          <rPr>
            <b/>
            <sz val="9"/>
            <color indexed="81"/>
            <rFont val="Tahoma"/>
            <family val="2"/>
          </rPr>
          <t>Gavin Mudd:</t>
        </r>
        <r>
          <rPr>
            <sz val="9"/>
            <color indexed="81"/>
            <rFont val="Tahoma"/>
            <family val="2"/>
          </rPr>
          <t xml:space="preserve">
assumed</t>
        </r>
      </text>
    </comment>
    <comment ref="Y35" authorId="0" shapeId="0" xr:uid="{AF1E9734-0296-4B7E-9079-88E9C8500D03}">
      <text>
        <r>
          <rPr>
            <b/>
            <sz val="9"/>
            <color indexed="81"/>
            <rFont val="Tahoma"/>
            <family val="2"/>
          </rPr>
          <t>Gavin Mudd:</t>
        </r>
        <r>
          <rPr>
            <sz val="9"/>
            <color indexed="81"/>
            <rFont val="Tahoma"/>
            <family val="2"/>
          </rPr>
          <t xml:space="preserve">
assumed</t>
        </r>
      </text>
    </comment>
    <comment ref="AK35" authorId="0" shapeId="0" xr:uid="{CAC12F34-622C-4FEB-A044-5D2C57EB8BEC}">
      <text>
        <r>
          <rPr>
            <b/>
            <sz val="9"/>
            <color indexed="81"/>
            <rFont val="Tahoma"/>
            <family val="2"/>
          </rPr>
          <t>Gavin Mudd:</t>
        </r>
        <r>
          <rPr>
            <sz val="9"/>
            <color indexed="81"/>
            <rFont val="Tahoma"/>
            <family val="2"/>
          </rPr>
          <t xml:space="preserve">
assumed</t>
        </r>
      </text>
    </comment>
    <comment ref="AO35" authorId="0" shapeId="0" xr:uid="{DC492921-3DF1-4D63-91C0-6BA357011DB3}">
      <text>
        <r>
          <rPr>
            <b/>
            <sz val="9"/>
            <color indexed="81"/>
            <rFont val="Tahoma"/>
            <family val="2"/>
          </rPr>
          <t>Gavin Mudd:</t>
        </r>
        <r>
          <rPr>
            <sz val="9"/>
            <color indexed="81"/>
            <rFont val="Tahoma"/>
            <family val="2"/>
          </rPr>
          <t xml:space="preserve">
assumed</t>
        </r>
      </text>
    </comment>
    <comment ref="CD35" authorId="0" shapeId="0" xr:uid="{8E1428A7-3BCE-4B50-B7E2-D49DDE05AA8B}">
      <text>
        <r>
          <rPr>
            <b/>
            <sz val="9"/>
            <color indexed="81"/>
            <rFont val="Tahoma"/>
            <family val="2"/>
          </rPr>
          <t>Gavin Mudd:</t>
        </r>
        <r>
          <rPr>
            <sz val="9"/>
            <color indexed="81"/>
            <rFont val="Tahoma"/>
            <family val="2"/>
          </rPr>
          <t xml:space="preserve">
assumed</t>
        </r>
      </text>
    </comment>
    <comment ref="CE35" authorId="0" shapeId="0" xr:uid="{EFAFCD07-6D6B-4F64-9B96-66517EAE3596}">
      <text>
        <r>
          <rPr>
            <b/>
            <sz val="9"/>
            <color indexed="81"/>
            <rFont val="Tahoma"/>
            <family val="2"/>
          </rPr>
          <t>Gavin Mudd:</t>
        </r>
        <r>
          <rPr>
            <sz val="9"/>
            <color indexed="81"/>
            <rFont val="Tahoma"/>
            <family val="2"/>
          </rPr>
          <t xml:space="preserve">
assumed</t>
        </r>
      </text>
    </comment>
    <comment ref="DL35" authorId="0" shapeId="0" xr:uid="{F91F519F-7D1E-4A2A-88FA-5FD704AAC34F}">
      <text>
        <r>
          <rPr>
            <b/>
            <sz val="9"/>
            <color indexed="81"/>
            <rFont val="Tahoma"/>
            <family val="2"/>
          </rPr>
          <t>Gavin Mudd:</t>
        </r>
        <r>
          <rPr>
            <sz val="9"/>
            <color indexed="81"/>
            <rFont val="Tahoma"/>
            <family val="2"/>
          </rPr>
          <t xml:space="preserve">
assumed</t>
        </r>
      </text>
    </comment>
    <comment ref="DM35" authorId="0" shapeId="0" xr:uid="{959D3878-2F08-4F3A-B913-922FD31074A0}">
      <text>
        <r>
          <rPr>
            <b/>
            <sz val="9"/>
            <color indexed="81"/>
            <rFont val="Tahoma"/>
            <family val="2"/>
          </rPr>
          <t>Gavin Mudd:</t>
        </r>
        <r>
          <rPr>
            <sz val="9"/>
            <color indexed="81"/>
            <rFont val="Tahoma"/>
            <family val="2"/>
          </rPr>
          <t xml:space="preserve">
assumed</t>
        </r>
      </text>
    </comment>
    <comment ref="W36" authorId="0" shapeId="0" xr:uid="{408EC9A0-0479-4123-BE20-B57B80F8CABB}">
      <text>
        <r>
          <rPr>
            <b/>
            <sz val="9"/>
            <color indexed="81"/>
            <rFont val="Tahoma"/>
            <family val="2"/>
          </rPr>
          <t>Gavin Mudd:</t>
        </r>
        <r>
          <rPr>
            <sz val="9"/>
            <color indexed="81"/>
            <rFont val="Tahoma"/>
            <family val="2"/>
          </rPr>
          <t xml:space="preserve">
assumed</t>
        </r>
      </text>
    </comment>
    <comment ref="Y36" authorId="0" shapeId="0" xr:uid="{630A1185-AFD8-4E95-8B10-F9ABBCBF1C0B}">
      <text>
        <r>
          <rPr>
            <b/>
            <sz val="9"/>
            <color indexed="81"/>
            <rFont val="Tahoma"/>
            <family val="2"/>
          </rPr>
          <t>Gavin Mudd:</t>
        </r>
        <r>
          <rPr>
            <sz val="9"/>
            <color indexed="81"/>
            <rFont val="Tahoma"/>
            <family val="2"/>
          </rPr>
          <t xml:space="preserve">
assumed</t>
        </r>
      </text>
    </comment>
    <comment ref="AK36" authorId="0" shapeId="0" xr:uid="{F3687A44-EB42-4438-8C0C-05320AE8172C}">
      <text>
        <r>
          <rPr>
            <b/>
            <sz val="9"/>
            <color indexed="81"/>
            <rFont val="Tahoma"/>
            <family val="2"/>
          </rPr>
          <t>Gavin Mudd:</t>
        </r>
        <r>
          <rPr>
            <sz val="9"/>
            <color indexed="81"/>
            <rFont val="Tahoma"/>
            <family val="2"/>
          </rPr>
          <t xml:space="preserve">
assumed</t>
        </r>
      </text>
    </comment>
    <comment ref="AO36" authorId="0" shapeId="0" xr:uid="{E62E9C0E-C005-466C-AE2D-EC1B2FE3ADB4}">
      <text>
        <r>
          <rPr>
            <b/>
            <sz val="9"/>
            <color indexed="81"/>
            <rFont val="Tahoma"/>
            <family val="2"/>
          </rPr>
          <t>Gavin Mudd:</t>
        </r>
        <r>
          <rPr>
            <sz val="9"/>
            <color indexed="81"/>
            <rFont val="Tahoma"/>
            <family val="2"/>
          </rPr>
          <t xml:space="preserve">
assumed</t>
        </r>
      </text>
    </comment>
    <comment ref="CD36" authorId="0" shapeId="0" xr:uid="{FE10F40E-6673-4879-B62B-1177BBE42656}">
      <text>
        <r>
          <rPr>
            <b/>
            <sz val="9"/>
            <color indexed="81"/>
            <rFont val="Tahoma"/>
            <family val="2"/>
          </rPr>
          <t>Gavin Mudd:</t>
        </r>
        <r>
          <rPr>
            <sz val="9"/>
            <color indexed="81"/>
            <rFont val="Tahoma"/>
            <family val="2"/>
          </rPr>
          <t xml:space="preserve">
assumed</t>
        </r>
      </text>
    </comment>
    <comment ref="CE36" authorId="0" shapeId="0" xr:uid="{C3D34D28-3086-42A4-AB3D-4BFC80622B95}">
      <text>
        <r>
          <rPr>
            <b/>
            <sz val="9"/>
            <color indexed="81"/>
            <rFont val="Tahoma"/>
            <family val="2"/>
          </rPr>
          <t>Gavin Mudd:</t>
        </r>
        <r>
          <rPr>
            <sz val="9"/>
            <color indexed="81"/>
            <rFont val="Tahoma"/>
            <family val="2"/>
          </rPr>
          <t xml:space="preserve">
assumed</t>
        </r>
      </text>
    </comment>
    <comment ref="DL36" authorId="0" shapeId="0" xr:uid="{3F62956F-ABC3-41E9-B34B-FB478D6D3884}">
      <text>
        <r>
          <rPr>
            <b/>
            <sz val="9"/>
            <color indexed="81"/>
            <rFont val="Tahoma"/>
            <family val="2"/>
          </rPr>
          <t>Gavin Mudd:</t>
        </r>
        <r>
          <rPr>
            <sz val="9"/>
            <color indexed="81"/>
            <rFont val="Tahoma"/>
            <family val="2"/>
          </rPr>
          <t xml:space="preserve">
assumed</t>
        </r>
      </text>
    </comment>
    <comment ref="DM36" authorId="0" shapeId="0" xr:uid="{0CDF6049-4804-4D3C-9FB4-EEF21DA86C43}">
      <text>
        <r>
          <rPr>
            <b/>
            <sz val="9"/>
            <color indexed="81"/>
            <rFont val="Tahoma"/>
            <family val="2"/>
          </rPr>
          <t>Gavin Mudd:</t>
        </r>
        <r>
          <rPr>
            <sz val="9"/>
            <color indexed="81"/>
            <rFont val="Tahoma"/>
            <family val="2"/>
          </rPr>
          <t xml:space="preserve">
assumed</t>
        </r>
      </text>
    </comment>
    <comment ref="W37" authorId="0" shapeId="0" xr:uid="{12C8C52C-9B6B-4273-BC14-3138B8DE15B0}">
      <text>
        <r>
          <rPr>
            <b/>
            <sz val="9"/>
            <color indexed="81"/>
            <rFont val="Tahoma"/>
            <family val="2"/>
          </rPr>
          <t>Gavin Mudd:</t>
        </r>
        <r>
          <rPr>
            <sz val="9"/>
            <color indexed="81"/>
            <rFont val="Tahoma"/>
            <family val="2"/>
          </rPr>
          <t xml:space="preserve">
assumed</t>
        </r>
      </text>
    </comment>
    <comment ref="Y37" authorId="0" shapeId="0" xr:uid="{B84A6CE2-FE78-4780-8E31-59287EDDCB52}">
      <text>
        <r>
          <rPr>
            <b/>
            <sz val="9"/>
            <color indexed="81"/>
            <rFont val="Tahoma"/>
            <family val="2"/>
          </rPr>
          <t>Gavin Mudd:</t>
        </r>
        <r>
          <rPr>
            <sz val="9"/>
            <color indexed="81"/>
            <rFont val="Tahoma"/>
            <family val="2"/>
          </rPr>
          <t xml:space="preserve">
assumed</t>
        </r>
      </text>
    </comment>
    <comment ref="AK37" authorId="0" shapeId="0" xr:uid="{2D600C90-532E-473A-BC5B-9686AD21D78C}">
      <text>
        <r>
          <rPr>
            <b/>
            <sz val="9"/>
            <color indexed="81"/>
            <rFont val="Tahoma"/>
            <family val="2"/>
          </rPr>
          <t>Gavin Mudd:</t>
        </r>
        <r>
          <rPr>
            <sz val="9"/>
            <color indexed="81"/>
            <rFont val="Tahoma"/>
            <family val="2"/>
          </rPr>
          <t xml:space="preserve">
assumed</t>
        </r>
      </text>
    </comment>
    <comment ref="AO37" authorId="0" shapeId="0" xr:uid="{1D553E25-EA98-4E38-A492-7D29AF382A91}">
      <text>
        <r>
          <rPr>
            <b/>
            <sz val="9"/>
            <color indexed="81"/>
            <rFont val="Tahoma"/>
            <family val="2"/>
          </rPr>
          <t>Gavin Mudd:</t>
        </r>
        <r>
          <rPr>
            <sz val="9"/>
            <color indexed="81"/>
            <rFont val="Tahoma"/>
            <family val="2"/>
          </rPr>
          <t xml:space="preserve">
assumed</t>
        </r>
      </text>
    </comment>
    <comment ref="BA37" authorId="0" shapeId="0" xr:uid="{9575AE49-5618-406F-AC81-8605D93C8D6A}">
      <text>
        <r>
          <rPr>
            <b/>
            <sz val="9"/>
            <color indexed="81"/>
            <rFont val="Tahoma"/>
            <family val="2"/>
          </rPr>
          <t>Gavin Mudd:</t>
        </r>
        <r>
          <rPr>
            <sz val="9"/>
            <color indexed="81"/>
            <rFont val="Tahoma"/>
            <family val="2"/>
          </rPr>
          <t xml:space="preserve">
assumed</t>
        </r>
      </text>
    </comment>
    <comment ref="BB37" authorId="0" shapeId="0" xr:uid="{3C769E50-B4E5-4A5E-A675-8F0EB310F897}">
      <text>
        <r>
          <rPr>
            <b/>
            <sz val="9"/>
            <color indexed="81"/>
            <rFont val="Tahoma"/>
            <family val="2"/>
          </rPr>
          <t>Gavin Mudd:</t>
        </r>
        <r>
          <rPr>
            <sz val="9"/>
            <color indexed="81"/>
            <rFont val="Tahoma"/>
            <family val="2"/>
          </rPr>
          <t xml:space="preserve">
assumed</t>
        </r>
      </text>
    </comment>
    <comment ref="CD37" authorId="0" shapeId="0" xr:uid="{7D191811-1313-46E6-AC15-9A4102A2C4B3}">
      <text>
        <r>
          <rPr>
            <b/>
            <sz val="9"/>
            <color indexed="81"/>
            <rFont val="Tahoma"/>
            <family val="2"/>
          </rPr>
          <t>Gavin Mudd:</t>
        </r>
        <r>
          <rPr>
            <sz val="9"/>
            <color indexed="81"/>
            <rFont val="Tahoma"/>
            <family val="2"/>
          </rPr>
          <t xml:space="preserve">
assumed</t>
        </r>
      </text>
    </comment>
    <comment ref="CE37" authorId="0" shapeId="0" xr:uid="{6BB48E7C-F3D6-4A69-8F05-EA6687B6F0A5}">
      <text>
        <r>
          <rPr>
            <b/>
            <sz val="9"/>
            <color indexed="81"/>
            <rFont val="Tahoma"/>
            <family val="2"/>
          </rPr>
          <t>Gavin Mudd:</t>
        </r>
        <r>
          <rPr>
            <sz val="9"/>
            <color indexed="81"/>
            <rFont val="Tahoma"/>
            <family val="2"/>
          </rPr>
          <t xml:space="preserve">
assumed</t>
        </r>
      </text>
    </comment>
    <comment ref="DL37" authorId="0" shapeId="0" xr:uid="{CDDDCB67-F327-481F-8AB4-62DABE888ED1}">
      <text>
        <r>
          <rPr>
            <b/>
            <sz val="9"/>
            <color indexed="81"/>
            <rFont val="Tahoma"/>
            <family val="2"/>
          </rPr>
          <t>Gavin Mudd:</t>
        </r>
        <r>
          <rPr>
            <sz val="9"/>
            <color indexed="81"/>
            <rFont val="Tahoma"/>
            <family val="2"/>
          </rPr>
          <t xml:space="preserve">
assumed</t>
        </r>
      </text>
    </comment>
    <comment ref="DM37" authorId="0" shapeId="0" xr:uid="{5E5A89B0-F870-4190-80A4-56518214F661}">
      <text>
        <r>
          <rPr>
            <b/>
            <sz val="9"/>
            <color indexed="81"/>
            <rFont val="Tahoma"/>
            <family val="2"/>
          </rPr>
          <t>Gavin Mudd:</t>
        </r>
        <r>
          <rPr>
            <sz val="9"/>
            <color indexed="81"/>
            <rFont val="Tahoma"/>
            <family val="2"/>
          </rPr>
          <t xml:space="preserve">
assumed</t>
        </r>
      </text>
    </comment>
    <comment ref="W38" authorId="0" shapeId="0" xr:uid="{9C055EF3-1EA7-410B-BC7F-A1B2BD0F4F1D}">
      <text>
        <r>
          <rPr>
            <b/>
            <sz val="9"/>
            <color indexed="81"/>
            <rFont val="Tahoma"/>
            <family val="2"/>
          </rPr>
          <t>Gavin Mudd:</t>
        </r>
        <r>
          <rPr>
            <sz val="9"/>
            <color indexed="81"/>
            <rFont val="Tahoma"/>
            <family val="2"/>
          </rPr>
          <t xml:space="preserve">
assumed</t>
        </r>
      </text>
    </comment>
    <comment ref="Y38" authorId="0" shapeId="0" xr:uid="{AAB0AEC1-C444-482B-8C29-25DEDC88CCC8}">
      <text>
        <r>
          <rPr>
            <b/>
            <sz val="9"/>
            <color indexed="81"/>
            <rFont val="Tahoma"/>
            <family val="2"/>
          </rPr>
          <t>Gavin Mudd:</t>
        </r>
        <r>
          <rPr>
            <sz val="9"/>
            <color indexed="81"/>
            <rFont val="Tahoma"/>
            <family val="2"/>
          </rPr>
          <t xml:space="preserve">
assumed</t>
        </r>
      </text>
    </comment>
    <comment ref="AG38" authorId="0" shapeId="0" xr:uid="{96CB3F6A-F857-4EFE-AD0D-12904C5F859E}">
      <text>
        <r>
          <rPr>
            <b/>
            <sz val="9"/>
            <color indexed="81"/>
            <rFont val="Tahoma"/>
            <family val="2"/>
          </rPr>
          <t>Gavin Mudd:</t>
        </r>
        <r>
          <rPr>
            <sz val="9"/>
            <color indexed="81"/>
            <rFont val="Tahoma"/>
            <family val="2"/>
          </rPr>
          <t xml:space="preserve">
assumed</t>
        </r>
      </text>
    </comment>
    <comment ref="AK38" authorId="0" shapeId="0" xr:uid="{7D44B320-B4F1-4597-AD20-F23EE204D167}">
      <text>
        <r>
          <rPr>
            <b/>
            <sz val="9"/>
            <color indexed="81"/>
            <rFont val="Tahoma"/>
            <family val="2"/>
          </rPr>
          <t>Gavin Mudd:</t>
        </r>
        <r>
          <rPr>
            <sz val="9"/>
            <color indexed="81"/>
            <rFont val="Tahoma"/>
            <family val="2"/>
          </rPr>
          <t xml:space="preserve">
assumed</t>
        </r>
      </text>
    </comment>
    <comment ref="AO38" authorId="0" shapeId="0" xr:uid="{32856473-830A-4F55-BAE0-A97F5578C2FA}">
      <text>
        <r>
          <rPr>
            <b/>
            <sz val="9"/>
            <color indexed="81"/>
            <rFont val="Tahoma"/>
            <family val="2"/>
          </rPr>
          <t>Gavin Mudd:</t>
        </r>
        <r>
          <rPr>
            <sz val="9"/>
            <color indexed="81"/>
            <rFont val="Tahoma"/>
            <family val="2"/>
          </rPr>
          <t xml:space="preserve">
assumed</t>
        </r>
      </text>
    </comment>
    <comment ref="CD38" authorId="0" shapeId="0" xr:uid="{0AE071ED-416A-4186-A50B-15A87196B4C1}">
      <text>
        <r>
          <rPr>
            <b/>
            <sz val="9"/>
            <color indexed="81"/>
            <rFont val="Tahoma"/>
            <family val="2"/>
          </rPr>
          <t>Gavin Mudd:</t>
        </r>
        <r>
          <rPr>
            <sz val="9"/>
            <color indexed="81"/>
            <rFont val="Tahoma"/>
            <family val="2"/>
          </rPr>
          <t xml:space="preserve">
assumed</t>
        </r>
      </text>
    </comment>
    <comment ref="CE38" authorId="0" shapeId="0" xr:uid="{ACCCB00F-A57F-46D1-8057-DAE988E0C240}">
      <text>
        <r>
          <rPr>
            <b/>
            <sz val="9"/>
            <color indexed="81"/>
            <rFont val="Tahoma"/>
            <family val="2"/>
          </rPr>
          <t>Gavin Mudd:</t>
        </r>
        <r>
          <rPr>
            <sz val="9"/>
            <color indexed="81"/>
            <rFont val="Tahoma"/>
            <family val="2"/>
          </rPr>
          <t xml:space="preserve">
assumed</t>
        </r>
      </text>
    </comment>
    <comment ref="DL38" authorId="0" shapeId="0" xr:uid="{01995D6F-D023-4D0C-AB80-EC186605A64E}">
      <text>
        <r>
          <rPr>
            <b/>
            <sz val="9"/>
            <color indexed="81"/>
            <rFont val="Tahoma"/>
            <family val="2"/>
          </rPr>
          <t>Gavin Mudd:</t>
        </r>
        <r>
          <rPr>
            <sz val="9"/>
            <color indexed="81"/>
            <rFont val="Tahoma"/>
            <family val="2"/>
          </rPr>
          <t xml:space="preserve">
assumed</t>
        </r>
      </text>
    </comment>
    <comment ref="DM38" authorId="0" shapeId="0" xr:uid="{8F752A44-3D9A-4296-BC03-05E176FB55FF}">
      <text>
        <r>
          <rPr>
            <b/>
            <sz val="9"/>
            <color indexed="81"/>
            <rFont val="Tahoma"/>
            <family val="2"/>
          </rPr>
          <t>Gavin Mudd:</t>
        </r>
        <r>
          <rPr>
            <sz val="9"/>
            <color indexed="81"/>
            <rFont val="Tahoma"/>
            <family val="2"/>
          </rPr>
          <t xml:space="preserve">
assumed</t>
        </r>
      </text>
    </comment>
    <comment ref="W39" authorId="0" shapeId="0" xr:uid="{5FF08BA5-4057-4935-BAF4-EDAED32D45A5}">
      <text>
        <r>
          <rPr>
            <b/>
            <sz val="9"/>
            <color indexed="81"/>
            <rFont val="Tahoma"/>
            <family val="2"/>
          </rPr>
          <t>Gavin Mudd:</t>
        </r>
        <r>
          <rPr>
            <sz val="9"/>
            <color indexed="81"/>
            <rFont val="Tahoma"/>
            <family val="2"/>
          </rPr>
          <t xml:space="preserve">
assumed</t>
        </r>
      </text>
    </comment>
    <comment ref="Y39" authorId="0" shapeId="0" xr:uid="{1688E8AE-4678-4F89-8305-1E1A1B185550}">
      <text>
        <r>
          <rPr>
            <b/>
            <sz val="9"/>
            <color indexed="81"/>
            <rFont val="Tahoma"/>
            <family val="2"/>
          </rPr>
          <t>Gavin Mudd:</t>
        </r>
        <r>
          <rPr>
            <sz val="9"/>
            <color indexed="81"/>
            <rFont val="Tahoma"/>
            <family val="2"/>
          </rPr>
          <t xml:space="preserve">
assumed</t>
        </r>
      </text>
    </comment>
    <comment ref="AF39" authorId="0" shapeId="0" xr:uid="{BC0376CC-E406-45C6-94E3-142C18566ADC}">
      <text>
        <r>
          <rPr>
            <b/>
            <sz val="9"/>
            <color indexed="81"/>
            <rFont val="Tahoma"/>
            <family val="2"/>
          </rPr>
          <t>Gavin Mudd:</t>
        </r>
        <r>
          <rPr>
            <sz val="9"/>
            <color indexed="81"/>
            <rFont val="Tahoma"/>
            <family val="2"/>
          </rPr>
          <t xml:space="preserve">
assumed</t>
        </r>
      </text>
    </comment>
    <comment ref="AG39" authorId="0" shapeId="0" xr:uid="{D8776923-1D85-4339-8809-ABA0DA3716F4}">
      <text>
        <r>
          <rPr>
            <b/>
            <sz val="9"/>
            <color indexed="81"/>
            <rFont val="Tahoma"/>
            <family val="2"/>
          </rPr>
          <t>Gavin Mudd:</t>
        </r>
        <r>
          <rPr>
            <sz val="9"/>
            <color indexed="81"/>
            <rFont val="Tahoma"/>
            <family val="2"/>
          </rPr>
          <t xml:space="preserve">
assumed</t>
        </r>
      </text>
    </comment>
    <comment ref="AK39" authorId="0" shapeId="0" xr:uid="{C25BE1E0-12E7-4FAC-AC08-8573A07BF823}">
      <text>
        <r>
          <rPr>
            <b/>
            <sz val="9"/>
            <color indexed="81"/>
            <rFont val="Tahoma"/>
            <family val="2"/>
          </rPr>
          <t>Gavin Mudd:</t>
        </r>
        <r>
          <rPr>
            <sz val="9"/>
            <color indexed="81"/>
            <rFont val="Tahoma"/>
            <family val="2"/>
          </rPr>
          <t xml:space="preserve">
assumed</t>
        </r>
      </text>
    </comment>
    <comment ref="AO39" authorId="0" shapeId="0" xr:uid="{BDFD33EC-C96A-4E29-95AF-CFF0BF124869}">
      <text>
        <r>
          <rPr>
            <b/>
            <sz val="9"/>
            <color indexed="81"/>
            <rFont val="Tahoma"/>
            <family val="2"/>
          </rPr>
          <t>Gavin Mudd:</t>
        </r>
        <r>
          <rPr>
            <sz val="9"/>
            <color indexed="81"/>
            <rFont val="Tahoma"/>
            <family val="2"/>
          </rPr>
          <t xml:space="preserve">
assumed</t>
        </r>
      </text>
    </comment>
    <comment ref="BA39" authorId="0" shapeId="0" xr:uid="{AF4C418C-D0F3-4623-BA5C-9E274B509982}">
      <text>
        <r>
          <rPr>
            <b/>
            <sz val="9"/>
            <color indexed="81"/>
            <rFont val="Tahoma"/>
            <family val="2"/>
          </rPr>
          <t>Gavin Mudd:</t>
        </r>
        <r>
          <rPr>
            <sz val="9"/>
            <color indexed="81"/>
            <rFont val="Tahoma"/>
            <family val="2"/>
          </rPr>
          <t xml:space="preserve">
assumed</t>
        </r>
      </text>
    </comment>
    <comment ref="BB39" authorId="0" shapeId="0" xr:uid="{BEF1402E-1701-490B-A8DD-831DEFE0052A}">
      <text>
        <r>
          <rPr>
            <b/>
            <sz val="9"/>
            <color indexed="81"/>
            <rFont val="Tahoma"/>
            <family val="2"/>
          </rPr>
          <t>Gavin Mudd:</t>
        </r>
        <r>
          <rPr>
            <sz val="9"/>
            <color indexed="81"/>
            <rFont val="Tahoma"/>
            <family val="2"/>
          </rPr>
          <t xml:space="preserve">
assumed</t>
        </r>
      </text>
    </comment>
    <comment ref="CD39" authorId="0" shapeId="0" xr:uid="{080E9C1F-0E7F-47BC-BE27-8F3373E59B99}">
      <text>
        <r>
          <rPr>
            <b/>
            <sz val="9"/>
            <color indexed="81"/>
            <rFont val="Tahoma"/>
            <family val="2"/>
          </rPr>
          <t>Gavin Mudd:</t>
        </r>
        <r>
          <rPr>
            <sz val="9"/>
            <color indexed="81"/>
            <rFont val="Tahoma"/>
            <family val="2"/>
          </rPr>
          <t xml:space="preserve">
assumed</t>
        </r>
      </text>
    </comment>
    <comment ref="CE39" authorId="0" shapeId="0" xr:uid="{04FF79B8-E5D5-4766-B700-A2BED08C03B3}">
      <text>
        <r>
          <rPr>
            <b/>
            <sz val="9"/>
            <color indexed="81"/>
            <rFont val="Tahoma"/>
            <family val="2"/>
          </rPr>
          <t>Gavin Mudd:</t>
        </r>
        <r>
          <rPr>
            <sz val="9"/>
            <color indexed="81"/>
            <rFont val="Tahoma"/>
            <family val="2"/>
          </rPr>
          <t xml:space="preserve">
assumed</t>
        </r>
      </text>
    </comment>
    <comment ref="DL39" authorId="0" shapeId="0" xr:uid="{9798CA48-1CCF-46BA-B42E-B30B0E55952F}">
      <text>
        <r>
          <rPr>
            <b/>
            <sz val="9"/>
            <color indexed="81"/>
            <rFont val="Tahoma"/>
            <family val="2"/>
          </rPr>
          <t>Gavin Mudd:</t>
        </r>
        <r>
          <rPr>
            <sz val="9"/>
            <color indexed="81"/>
            <rFont val="Tahoma"/>
            <family val="2"/>
          </rPr>
          <t xml:space="preserve">
assumed</t>
        </r>
      </text>
    </comment>
    <comment ref="DM39" authorId="0" shapeId="0" xr:uid="{FDA55EC2-791F-470D-AE46-37C0625FF77D}">
      <text>
        <r>
          <rPr>
            <b/>
            <sz val="9"/>
            <color indexed="81"/>
            <rFont val="Tahoma"/>
            <family val="2"/>
          </rPr>
          <t>Gavin Mudd:</t>
        </r>
        <r>
          <rPr>
            <sz val="9"/>
            <color indexed="81"/>
            <rFont val="Tahoma"/>
            <family val="2"/>
          </rPr>
          <t xml:space="preserve">
assumed</t>
        </r>
      </text>
    </comment>
    <comment ref="W40" authorId="0" shapeId="0" xr:uid="{B73B48C4-3261-4B72-9D76-265B9C38710F}">
      <text>
        <r>
          <rPr>
            <b/>
            <sz val="9"/>
            <color indexed="81"/>
            <rFont val="Tahoma"/>
            <family val="2"/>
          </rPr>
          <t>Gavin Mudd:</t>
        </r>
        <r>
          <rPr>
            <sz val="9"/>
            <color indexed="81"/>
            <rFont val="Tahoma"/>
            <family val="2"/>
          </rPr>
          <t xml:space="preserve">
assumed</t>
        </r>
      </text>
    </comment>
    <comment ref="Y40" authorId="0" shapeId="0" xr:uid="{4D39F23D-E297-4869-8778-9E4218B86F3D}">
      <text>
        <r>
          <rPr>
            <b/>
            <sz val="9"/>
            <color indexed="81"/>
            <rFont val="Tahoma"/>
            <family val="2"/>
          </rPr>
          <t>Gavin Mudd:</t>
        </r>
        <r>
          <rPr>
            <sz val="9"/>
            <color indexed="81"/>
            <rFont val="Tahoma"/>
            <family val="2"/>
          </rPr>
          <t xml:space="preserve">
assumed</t>
        </r>
      </text>
    </comment>
    <comment ref="AG40" authorId="0" shapeId="0" xr:uid="{B5A0BA1C-D82B-4DD0-9276-A1D9D9478FC8}">
      <text>
        <r>
          <rPr>
            <b/>
            <sz val="9"/>
            <color indexed="81"/>
            <rFont val="Tahoma"/>
            <family val="2"/>
          </rPr>
          <t>Gavin Mudd:</t>
        </r>
        <r>
          <rPr>
            <sz val="9"/>
            <color indexed="81"/>
            <rFont val="Tahoma"/>
            <family val="2"/>
          </rPr>
          <t xml:space="preserve">
assumed</t>
        </r>
      </text>
    </comment>
    <comment ref="AK40" authorId="0" shapeId="0" xr:uid="{A27F5E21-4EFF-4AC4-9BD7-5C482BC88ABB}">
      <text>
        <r>
          <rPr>
            <b/>
            <sz val="9"/>
            <color indexed="81"/>
            <rFont val="Tahoma"/>
            <family val="2"/>
          </rPr>
          <t>Gavin Mudd:</t>
        </r>
        <r>
          <rPr>
            <sz val="9"/>
            <color indexed="81"/>
            <rFont val="Tahoma"/>
            <family val="2"/>
          </rPr>
          <t xml:space="preserve">
assumed</t>
        </r>
      </text>
    </comment>
    <comment ref="AO40" authorId="0" shapeId="0" xr:uid="{65C7BD19-F54F-4D71-BB04-65D60AAC4BEA}">
      <text>
        <r>
          <rPr>
            <b/>
            <sz val="9"/>
            <color indexed="81"/>
            <rFont val="Tahoma"/>
            <family val="2"/>
          </rPr>
          <t>Gavin Mudd:</t>
        </r>
        <r>
          <rPr>
            <sz val="9"/>
            <color indexed="81"/>
            <rFont val="Tahoma"/>
            <family val="2"/>
          </rPr>
          <t xml:space="preserve">
assumed</t>
        </r>
      </text>
    </comment>
    <comment ref="AS40" authorId="0" shapeId="0" xr:uid="{A6F2AC4E-CA2A-4F14-A0C6-AFF765F1FF29}">
      <text>
        <r>
          <rPr>
            <b/>
            <sz val="9"/>
            <color indexed="81"/>
            <rFont val="Tahoma"/>
            <family val="2"/>
          </rPr>
          <t>Gavin Mudd:</t>
        </r>
        <r>
          <rPr>
            <sz val="9"/>
            <color indexed="81"/>
            <rFont val="Tahoma"/>
            <family val="2"/>
          </rPr>
          <t xml:space="preserve">
assumed</t>
        </r>
      </text>
    </comment>
    <comment ref="BA40" authorId="0" shapeId="0" xr:uid="{3090A35E-ACCA-4D7F-AE13-EB57B0D97B11}">
      <text>
        <r>
          <rPr>
            <b/>
            <sz val="9"/>
            <color indexed="81"/>
            <rFont val="Tahoma"/>
            <family val="2"/>
          </rPr>
          <t>Gavin Mudd:</t>
        </r>
        <r>
          <rPr>
            <sz val="9"/>
            <color indexed="81"/>
            <rFont val="Tahoma"/>
            <family val="2"/>
          </rPr>
          <t xml:space="preserve">
assumed</t>
        </r>
      </text>
    </comment>
    <comment ref="BB40" authorId="0" shapeId="0" xr:uid="{0B1F418D-4256-409C-9C51-25E0BD0840E0}">
      <text>
        <r>
          <rPr>
            <b/>
            <sz val="9"/>
            <color indexed="81"/>
            <rFont val="Tahoma"/>
            <family val="2"/>
          </rPr>
          <t>Gavin Mudd:</t>
        </r>
        <r>
          <rPr>
            <sz val="9"/>
            <color indexed="81"/>
            <rFont val="Tahoma"/>
            <family val="2"/>
          </rPr>
          <t xml:space="preserve">
assumed</t>
        </r>
      </text>
    </comment>
    <comment ref="CD40" authorId="0" shapeId="0" xr:uid="{25D2401A-5BF3-4B4A-A819-95DF5AF4F864}">
      <text>
        <r>
          <rPr>
            <b/>
            <sz val="9"/>
            <color indexed="81"/>
            <rFont val="Tahoma"/>
            <family val="2"/>
          </rPr>
          <t>Gavin Mudd:</t>
        </r>
        <r>
          <rPr>
            <sz val="9"/>
            <color indexed="81"/>
            <rFont val="Tahoma"/>
            <family val="2"/>
          </rPr>
          <t xml:space="preserve">
assumed</t>
        </r>
      </text>
    </comment>
    <comment ref="CE40" authorId="0" shapeId="0" xr:uid="{FE299444-DEBD-4C85-9916-EDA8D89F71AC}">
      <text>
        <r>
          <rPr>
            <b/>
            <sz val="9"/>
            <color indexed="81"/>
            <rFont val="Tahoma"/>
            <family val="2"/>
          </rPr>
          <t>Gavin Mudd:</t>
        </r>
        <r>
          <rPr>
            <sz val="9"/>
            <color indexed="81"/>
            <rFont val="Tahoma"/>
            <family val="2"/>
          </rPr>
          <t xml:space="preserve">
assumed</t>
        </r>
      </text>
    </comment>
    <comment ref="DL40" authorId="0" shapeId="0" xr:uid="{76528256-521F-4B7E-980E-FF7A8D859F0E}">
      <text>
        <r>
          <rPr>
            <b/>
            <sz val="9"/>
            <color indexed="81"/>
            <rFont val="Tahoma"/>
            <family val="2"/>
          </rPr>
          <t>Gavin Mudd:</t>
        </r>
        <r>
          <rPr>
            <sz val="9"/>
            <color indexed="81"/>
            <rFont val="Tahoma"/>
            <family val="2"/>
          </rPr>
          <t xml:space="preserve">
assumed</t>
        </r>
      </text>
    </comment>
    <comment ref="DM40" authorId="0" shapeId="0" xr:uid="{8C161784-F280-4B7C-B8E2-62CACBB30657}">
      <text>
        <r>
          <rPr>
            <b/>
            <sz val="9"/>
            <color indexed="81"/>
            <rFont val="Tahoma"/>
            <family val="2"/>
          </rPr>
          <t>Gavin Mudd:</t>
        </r>
        <r>
          <rPr>
            <sz val="9"/>
            <color indexed="81"/>
            <rFont val="Tahoma"/>
            <family val="2"/>
          </rPr>
          <t xml:space="preserve">
assumed</t>
        </r>
      </text>
    </comment>
    <comment ref="W41" authorId="0" shapeId="0" xr:uid="{3BEF12D9-9A35-4CC3-B5C5-80F4539111E7}">
      <text>
        <r>
          <rPr>
            <b/>
            <sz val="9"/>
            <color indexed="81"/>
            <rFont val="Tahoma"/>
            <family val="2"/>
          </rPr>
          <t>Gavin Mudd:</t>
        </r>
        <r>
          <rPr>
            <sz val="9"/>
            <color indexed="81"/>
            <rFont val="Tahoma"/>
            <family val="2"/>
          </rPr>
          <t xml:space="preserve">
assumed</t>
        </r>
      </text>
    </comment>
    <comment ref="Y41" authorId="0" shapeId="0" xr:uid="{75806575-2975-4CA1-AC11-3C8FFE87BC1B}">
      <text>
        <r>
          <rPr>
            <b/>
            <sz val="9"/>
            <color indexed="81"/>
            <rFont val="Tahoma"/>
            <family val="2"/>
          </rPr>
          <t>Gavin Mudd:</t>
        </r>
        <r>
          <rPr>
            <sz val="9"/>
            <color indexed="81"/>
            <rFont val="Tahoma"/>
            <family val="2"/>
          </rPr>
          <t xml:space="preserve">
assumed</t>
        </r>
      </text>
    </comment>
    <comment ref="AG41" authorId="0" shapeId="0" xr:uid="{5E72A949-D044-44DD-8100-05E85D6C32FB}">
      <text>
        <r>
          <rPr>
            <b/>
            <sz val="9"/>
            <color indexed="81"/>
            <rFont val="Tahoma"/>
            <family val="2"/>
          </rPr>
          <t>Gavin Mudd:</t>
        </r>
        <r>
          <rPr>
            <sz val="9"/>
            <color indexed="81"/>
            <rFont val="Tahoma"/>
            <family val="2"/>
          </rPr>
          <t xml:space="preserve">
assumed</t>
        </r>
      </text>
    </comment>
    <comment ref="AK41" authorId="0" shapeId="0" xr:uid="{28936603-5258-404E-B75A-0CD6EF07A34D}">
      <text>
        <r>
          <rPr>
            <b/>
            <sz val="9"/>
            <color indexed="81"/>
            <rFont val="Tahoma"/>
            <family val="2"/>
          </rPr>
          <t>Gavin Mudd:</t>
        </r>
        <r>
          <rPr>
            <sz val="9"/>
            <color indexed="81"/>
            <rFont val="Tahoma"/>
            <family val="2"/>
          </rPr>
          <t xml:space="preserve">
assumed</t>
        </r>
      </text>
    </comment>
    <comment ref="AO41" authorId="0" shapeId="0" xr:uid="{1DF326AC-4DF4-4CDF-B012-095E1B990AC7}">
      <text>
        <r>
          <rPr>
            <b/>
            <sz val="9"/>
            <color indexed="81"/>
            <rFont val="Tahoma"/>
            <family val="2"/>
          </rPr>
          <t>Gavin Mudd:</t>
        </r>
        <r>
          <rPr>
            <sz val="9"/>
            <color indexed="81"/>
            <rFont val="Tahoma"/>
            <family val="2"/>
          </rPr>
          <t xml:space="preserve">
assumed</t>
        </r>
      </text>
    </comment>
    <comment ref="AS41" authorId="0" shapeId="0" xr:uid="{415569E4-B220-41B0-8C11-9E442C12D280}">
      <text>
        <r>
          <rPr>
            <b/>
            <sz val="9"/>
            <color indexed="81"/>
            <rFont val="Tahoma"/>
            <family val="2"/>
          </rPr>
          <t>Gavin Mudd:</t>
        </r>
        <r>
          <rPr>
            <sz val="9"/>
            <color indexed="81"/>
            <rFont val="Tahoma"/>
            <family val="2"/>
          </rPr>
          <t xml:space="preserve">
assumed</t>
        </r>
      </text>
    </comment>
    <comment ref="BA41" authorId="0" shapeId="0" xr:uid="{56B82BE0-858D-4238-8F60-A99816924026}">
      <text>
        <r>
          <rPr>
            <b/>
            <sz val="9"/>
            <color indexed="81"/>
            <rFont val="Tahoma"/>
            <family val="2"/>
          </rPr>
          <t>Gavin Mudd:</t>
        </r>
        <r>
          <rPr>
            <sz val="9"/>
            <color indexed="81"/>
            <rFont val="Tahoma"/>
            <family val="2"/>
          </rPr>
          <t xml:space="preserve">
assumed</t>
        </r>
      </text>
    </comment>
    <comment ref="BB41" authorId="0" shapeId="0" xr:uid="{3FDB6F50-C4DD-4483-8B31-992A198467B9}">
      <text>
        <r>
          <rPr>
            <b/>
            <sz val="9"/>
            <color indexed="81"/>
            <rFont val="Tahoma"/>
            <family val="2"/>
          </rPr>
          <t>Gavin Mudd:</t>
        </r>
        <r>
          <rPr>
            <sz val="9"/>
            <color indexed="81"/>
            <rFont val="Tahoma"/>
            <family val="2"/>
          </rPr>
          <t xml:space="preserve">
assumed</t>
        </r>
      </text>
    </comment>
    <comment ref="CD41" authorId="0" shapeId="0" xr:uid="{6500867D-C263-4D50-B482-62BCC23C6294}">
      <text>
        <r>
          <rPr>
            <b/>
            <sz val="9"/>
            <color indexed="81"/>
            <rFont val="Tahoma"/>
            <family val="2"/>
          </rPr>
          <t>Gavin Mudd:</t>
        </r>
        <r>
          <rPr>
            <sz val="9"/>
            <color indexed="81"/>
            <rFont val="Tahoma"/>
            <family val="2"/>
          </rPr>
          <t xml:space="preserve">
assumed</t>
        </r>
      </text>
    </comment>
    <comment ref="CE41" authorId="0" shapeId="0" xr:uid="{24D3D9D5-2B63-4B71-858F-9278621B4D1A}">
      <text>
        <r>
          <rPr>
            <b/>
            <sz val="9"/>
            <color indexed="81"/>
            <rFont val="Tahoma"/>
            <family val="2"/>
          </rPr>
          <t>Gavin Mudd:</t>
        </r>
        <r>
          <rPr>
            <sz val="9"/>
            <color indexed="81"/>
            <rFont val="Tahoma"/>
            <family val="2"/>
          </rPr>
          <t xml:space="preserve">
assumed</t>
        </r>
      </text>
    </comment>
    <comment ref="DL41" authorId="0" shapeId="0" xr:uid="{C8434D8A-6598-4189-B31E-66B11FA40973}">
      <text>
        <r>
          <rPr>
            <b/>
            <sz val="9"/>
            <color indexed="81"/>
            <rFont val="Tahoma"/>
            <family val="2"/>
          </rPr>
          <t>Gavin Mudd:</t>
        </r>
        <r>
          <rPr>
            <sz val="9"/>
            <color indexed="81"/>
            <rFont val="Tahoma"/>
            <family val="2"/>
          </rPr>
          <t xml:space="preserve">
assumed</t>
        </r>
      </text>
    </comment>
    <comment ref="DM41" authorId="0" shapeId="0" xr:uid="{40391B8E-F94F-43AA-A886-45E2F96B8F60}">
      <text>
        <r>
          <rPr>
            <b/>
            <sz val="9"/>
            <color indexed="81"/>
            <rFont val="Tahoma"/>
            <family val="2"/>
          </rPr>
          <t>Gavin Mudd:</t>
        </r>
        <r>
          <rPr>
            <sz val="9"/>
            <color indexed="81"/>
            <rFont val="Tahoma"/>
            <family val="2"/>
          </rPr>
          <t xml:space="preserve">
assumed</t>
        </r>
      </text>
    </comment>
    <comment ref="W42" authorId="0" shapeId="0" xr:uid="{F69ED37C-01F8-46A0-A128-79CB276A6C5B}">
      <text>
        <r>
          <rPr>
            <b/>
            <sz val="9"/>
            <color indexed="81"/>
            <rFont val="Tahoma"/>
            <family val="2"/>
          </rPr>
          <t>Gavin Mudd:</t>
        </r>
        <r>
          <rPr>
            <sz val="9"/>
            <color indexed="81"/>
            <rFont val="Tahoma"/>
            <family val="2"/>
          </rPr>
          <t xml:space="preserve">
assumed</t>
        </r>
      </text>
    </comment>
    <comment ref="Y42" authorId="0" shapeId="0" xr:uid="{03C3B4CC-F37B-401D-AD6E-4519F37CA2FE}">
      <text>
        <r>
          <rPr>
            <b/>
            <sz val="9"/>
            <color indexed="81"/>
            <rFont val="Tahoma"/>
            <family val="2"/>
          </rPr>
          <t>Gavin Mudd:</t>
        </r>
        <r>
          <rPr>
            <sz val="9"/>
            <color indexed="81"/>
            <rFont val="Tahoma"/>
            <family val="2"/>
          </rPr>
          <t xml:space="preserve">
assumed</t>
        </r>
      </text>
    </comment>
    <comment ref="AG42" authorId="0" shapeId="0" xr:uid="{471D0EE9-9D00-43ED-B8C0-D53892DF82E9}">
      <text>
        <r>
          <rPr>
            <b/>
            <sz val="9"/>
            <color indexed="81"/>
            <rFont val="Tahoma"/>
            <family val="2"/>
          </rPr>
          <t>Gavin Mudd:</t>
        </r>
        <r>
          <rPr>
            <sz val="9"/>
            <color indexed="81"/>
            <rFont val="Tahoma"/>
            <family val="2"/>
          </rPr>
          <t xml:space="preserve">
assumed</t>
        </r>
      </text>
    </comment>
    <comment ref="AK42" authorId="0" shapeId="0" xr:uid="{852134CF-72A0-4A9E-8150-4B3B38E9E5C5}">
      <text>
        <r>
          <rPr>
            <b/>
            <sz val="9"/>
            <color indexed="81"/>
            <rFont val="Tahoma"/>
            <family val="2"/>
          </rPr>
          <t>Gavin Mudd:</t>
        </r>
        <r>
          <rPr>
            <sz val="9"/>
            <color indexed="81"/>
            <rFont val="Tahoma"/>
            <family val="2"/>
          </rPr>
          <t xml:space="preserve">
assumed</t>
        </r>
      </text>
    </comment>
    <comment ref="AO42" authorId="0" shapeId="0" xr:uid="{A9B34BF2-7EDA-4E08-8077-7A8936118543}">
      <text>
        <r>
          <rPr>
            <b/>
            <sz val="9"/>
            <color indexed="81"/>
            <rFont val="Tahoma"/>
            <family val="2"/>
          </rPr>
          <t>Gavin Mudd:</t>
        </r>
        <r>
          <rPr>
            <sz val="9"/>
            <color indexed="81"/>
            <rFont val="Tahoma"/>
            <family val="2"/>
          </rPr>
          <t xml:space="preserve">
assumed</t>
        </r>
      </text>
    </comment>
    <comment ref="AS42" authorId="0" shapeId="0" xr:uid="{F57E3C25-92B3-47AD-AC85-89F1BEAC94EA}">
      <text>
        <r>
          <rPr>
            <b/>
            <sz val="9"/>
            <color indexed="81"/>
            <rFont val="Tahoma"/>
            <family val="2"/>
          </rPr>
          <t>Gavin Mudd:</t>
        </r>
        <r>
          <rPr>
            <sz val="9"/>
            <color indexed="81"/>
            <rFont val="Tahoma"/>
            <family val="2"/>
          </rPr>
          <t xml:space="preserve">
assumed</t>
        </r>
      </text>
    </comment>
    <comment ref="BA42" authorId="0" shapeId="0" xr:uid="{BA438019-A0C2-4984-A6E1-34D48856BB7A}">
      <text>
        <r>
          <rPr>
            <b/>
            <sz val="9"/>
            <color indexed="81"/>
            <rFont val="Tahoma"/>
            <family val="2"/>
          </rPr>
          <t>Gavin Mudd:</t>
        </r>
        <r>
          <rPr>
            <sz val="9"/>
            <color indexed="81"/>
            <rFont val="Tahoma"/>
            <family val="2"/>
          </rPr>
          <t xml:space="preserve">
assumed</t>
        </r>
      </text>
    </comment>
    <comment ref="BB42" authorId="0" shapeId="0" xr:uid="{0FB75261-3626-4812-8215-0445DD71F1AE}">
      <text>
        <r>
          <rPr>
            <b/>
            <sz val="9"/>
            <color indexed="81"/>
            <rFont val="Tahoma"/>
            <family val="2"/>
          </rPr>
          <t>Gavin Mudd:</t>
        </r>
        <r>
          <rPr>
            <sz val="9"/>
            <color indexed="81"/>
            <rFont val="Tahoma"/>
            <family val="2"/>
          </rPr>
          <t xml:space="preserve">
assumed</t>
        </r>
      </text>
    </comment>
    <comment ref="CD42" authorId="0" shapeId="0" xr:uid="{60270769-741E-423C-8C4A-6BA7BA300340}">
      <text>
        <r>
          <rPr>
            <b/>
            <sz val="9"/>
            <color indexed="81"/>
            <rFont val="Tahoma"/>
            <family val="2"/>
          </rPr>
          <t>Gavin Mudd:</t>
        </r>
        <r>
          <rPr>
            <sz val="9"/>
            <color indexed="81"/>
            <rFont val="Tahoma"/>
            <family val="2"/>
          </rPr>
          <t xml:space="preserve">
assumed</t>
        </r>
      </text>
    </comment>
    <comment ref="CE42" authorId="0" shapeId="0" xr:uid="{1C214701-8E46-4539-AF67-F29524C5B33C}">
      <text>
        <r>
          <rPr>
            <b/>
            <sz val="9"/>
            <color indexed="81"/>
            <rFont val="Tahoma"/>
            <family val="2"/>
          </rPr>
          <t>Gavin Mudd:</t>
        </r>
        <r>
          <rPr>
            <sz val="9"/>
            <color indexed="81"/>
            <rFont val="Tahoma"/>
            <family val="2"/>
          </rPr>
          <t xml:space="preserve">
assumed</t>
        </r>
      </text>
    </comment>
    <comment ref="CH42" authorId="0" shapeId="0" xr:uid="{796A96EB-A50B-40EB-AEE9-208BC60988E0}">
      <text>
        <r>
          <rPr>
            <b/>
            <sz val="9"/>
            <color indexed="81"/>
            <rFont val="Tahoma"/>
            <family val="2"/>
          </rPr>
          <t>Gavin Mudd:</t>
        </r>
        <r>
          <rPr>
            <sz val="9"/>
            <color indexed="81"/>
            <rFont val="Tahoma"/>
            <family val="2"/>
          </rPr>
          <t xml:space="preserve">
best estimate</t>
        </r>
      </text>
    </comment>
    <comment ref="CI42" authorId="0" shapeId="0" xr:uid="{BA16E8BD-98A3-4773-90CE-8732BEBE1EBC}">
      <text>
        <r>
          <rPr>
            <b/>
            <sz val="9"/>
            <color indexed="81"/>
            <rFont val="Tahoma"/>
            <family val="2"/>
          </rPr>
          <t>Gavin Mudd:</t>
        </r>
        <r>
          <rPr>
            <sz val="9"/>
            <color indexed="81"/>
            <rFont val="Tahoma"/>
            <family val="2"/>
          </rPr>
          <t xml:space="preserve">
assumed as Greenbushes</t>
        </r>
      </text>
    </comment>
    <comment ref="CJ42" authorId="0" shapeId="0" xr:uid="{D1A2899F-4DA1-4C73-9417-0DD3C2FDF1FB}">
      <text>
        <r>
          <rPr>
            <b/>
            <sz val="9"/>
            <color indexed="81"/>
            <rFont val="Tahoma"/>
            <family val="2"/>
          </rPr>
          <t>Gavin Mudd:</t>
        </r>
        <r>
          <rPr>
            <sz val="9"/>
            <color indexed="81"/>
            <rFont val="Tahoma"/>
            <family val="2"/>
          </rPr>
          <t xml:space="preserve">
assumed</t>
        </r>
      </text>
    </comment>
    <comment ref="CK42" authorId="0" shapeId="0" xr:uid="{621A2E2A-07AE-4E04-94E0-2E56B7298A76}">
      <text>
        <r>
          <rPr>
            <b/>
            <sz val="9"/>
            <color indexed="81"/>
            <rFont val="Tahoma"/>
            <family val="2"/>
          </rPr>
          <t>Gavin Mudd:</t>
        </r>
        <r>
          <rPr>
            <sz val="9"/>
            <color indexed="81"/>
            <rFont val="Tahoma"/>
            <family val="2"/>
          </rPr>
          <t xml:space="preserve">
assumed</t>
        </r>
      </text>
    </comment>
    <comment ref="DL42" authorId="0" shapeId="0" xr:uid="{819919AF-DD48-49B8-B541-75D1F7F008F1}">
      <text>
        <r>
          <rPr>
            <b/>
            <sz val="9"/>
            <color indexed="81"/>
            <rFont val="Tahoma"/>
            <family val="2"/>
          </rPr>
          <t>Gavin Mudd:</t>
        </r>
        <r>
          <rPr>
            <sz val="9"/>
            <color indexed="81"/>
            <rFont val="Tahoma"/>
            <family val="2"/>
          </rPr>
          <t xml:space="preserve">
assumed</t>
        </r>
      </text>
    </comment>
    <comment ref="DM42" authorId="0" shapeId="0" xr:uid="{4CB3AA6D-83B2-42BA-8EAE-CEB024461A0C}">
      <text>
        <r>
          <rPr>
            <b/>
            <sz val="9"/>
            <color indexed="81"/>
            <rFont val="Tahoma"/>
            <family val="2"/>
          </rPr>
          <t>Gavin Mudd:</t>
        </r>
        <r>
          <rPr>
            <sz val="9"/>
            <color indexed="81"/>
            <rFont val="Tahoma"/>
            <family val="2"/>
          </rPr>
          <t xml:space="preserve">
assumed</t>
        </r>
      </text>
    </comment>
    <comment ref="U43" authorId="0" shapeId="0" xr:uid="{9490543D-CE5C-4BC8-9A08-98AAF798A9B6}">
      <text>
        <r>
          <rPr>
            <b/>
            <sz val="9"/>
            <color indexed="81"/>
            <rFont val="Tahoma"/>
            <family val="2"/>
          </rPr>
          <t>Gavin Mudd:</t>
        </r>
        <r>
          <rPr>
            <sz val="9"/>
            <color indexed="81"/>
            <rFont val="Tahoma"/>
            <family val="2"/>
          </rPr>
          <t xml:space="preserve">
assumed</t>
        </r>
      </text>
    </comment>
    <comment ref="W43" authorId="0" shapeId="0" xr:uid="{E988D3D5-92F0-446A-AAAF-AE8EF107C77E}">
      <text>
        <r>
          <rPr>
            <b/>
            <sz val="9"/>
            <color indexed="81"/>
            <rFont val="Tahoma"/>
            <family val="2"/>
          </rPr>
          <t>Gavin Mudd:</t>
        </r>
        <r>
          <rPr>
            <sz val="9"/>
            <color indexed="81"/>
            <rFont val="Tahoma"/>
            <family val="2"/>
          </rPr>
          <t xml:space="preserve">
assumed</t>
        </r>
      </text>
    </comment>
    <comment ref="Y43" authorId="0" shapeId="0" xr:uid="{4055C32E-98A1-4656-8A44-DC8386AF32CD}">
      <text>
        <r>
          <rPr>
            <b/>
            <sz val="9"/>
            <color indexed="81"/>
            <rFont val="Tahoma"/>
            <family val="2"/>
          </rPr>
          <t>Gavin Mudd:</t>
        </r>
        <r>
          <rPr>
            <sz val="9"/>
            <color indexed="81"/>
            <rFont val="Tahoma"/>
            <family val="2"/>
          </rPr>
          <t xml:space="preserve">
assumed</t>
        </r>
      </text>
    </comment>
    <comment ref="AG43" authorId="0" shapeId="0" xr:uid="{176853BF-7292-474E-B523-141FF49043AD}">
      <text>
        <r>
          <rPr>
            <b/>
            <sz val="9"/>
            <color indexed="81"/>
            <rFont val="Tahoma"/>
            <family val="2"/>
          </rPr>
          <t>Gavin Mudd:</t>
        </r>
        <r>
          <rPr>
            <sz val="9"/>
            <color indexed="81"/>
            <rFont val="Tahoma"/>
            <family val="2"/>
          </rPr>
          <t xml:space="preserve">
assumed</t>
        </r>
      </text>
    </comment>
    <comment ref="AK43" authorId="0" shapeId="0" xr:uid="{9C35EA21-994C-455E-88F1-403BE9886C7B}">
      <text>
        <r>
          <rPr>
            <b/>
            <sz val="9"/>
            <color indexed="81"/>
            <rFont val="Tahoma"/>
            <family val="2"/>
          </rPr>
          <t>Gavin Mudd:</t>
        </r>
        <r>
          <rPr>
            <sz val="9"/>
            <color indexed="81"/>
            <rFont val="Tahoma"/>
            <family val="2"/>
          </rPr>
          <t xml:space="preserve">
assumed</t>
        </r>
      </text>
    </comment>
    <comment ref="AO43" authorId="0" shapeId="0" xr:uid="{3E18DA9F-9AA4-4946-ABC2-6BD868BDB68C}">
      <text>
        <r>
          <rPr>
            <b/>
            <sz val="9"/>
            <color indexed="81"/>
            <rFont val="Tahoma"/>
            <family val="2"/>
          </rPr>
          <t>Gavin Mudd:</t>
        </r>
        <r>
          <rPr>
            <sz val="9"/>
            <color indexed="81"/>
            <rFont val="Tahoma"/>
            <family val="2"/>
          </rPr>
          <t xml:space="preserve">
assumed</t>
        </r>
      </text>
    </comment>
    <comment ref="BA43" authorId="0" shapeId="0" xr:uid="{E05638CF-1E11-49E0-8A25-D61E30E38EEF}">
      <text>
        <r>
          <rPr>
            <b/>
            <sz val="9"/>
            <color indexed="81"/>
            <rFont val="Tahoma"/>
            <family val="2"/>
          </rPr>
          <t>Gavin Mudd:</t>
        </r>
        <r>
          <rPr>
            <sz val="9"/>
            <color indexed="81"/>
            <rFont val="Tahoma"/>
            <family val="2"/>
          </rPr>
          <t xml:space="preserve">
assumed</t>
        </r>
      </text>
    </comment>
    <comment ref="BB43" authorId="0" shapeId="0" xr:uid="{3DAB8CFB-AB2E-4A71-B765-35C0D99F92AA}">
      <text>
        <r>
          <rPr>
            <b/>
            <sz val="9"/>
            <color indexed="81"/>
            <rFont val="Tahoma"/>
            <family val="2"/>
          </rPr>
          <t>Gavin Mudd:</t>
        </r>
        <r>
          <rPr>
            <sz val="9"/>
            <color indexed="81"/>
            <rFont val="Tahoma"/>
            <family val="2"/>
          </rPr>
          <t xml:space="preserve">
assumed</t>
        </r>
      </text>
    </comment>
    <comment ref="CD43" authorId="0" shapeId="0" xr:uid="{1A5324A0-DC02-4723-A914-A028898827E3}">
      <text>
        <r>
          <rPr>
            <b/>
            <sz val="9"/>
            <color indexed="81"/>
            <rFont val="Tahoma"/>
            <family val="2"/>
          </rPr>
          <t>Gavin Mudd:</t>
        </r>
        <r>
          <rPr>
            <sz val="9"/>
            <color indexed="81"/>
            <rFont val="Tahoma"/>
            <family val="2"/>
          </rPr>
          <t xml:space="preserve">
assumed</t>
        </r>
      </text>
    </comment>
    <comment ref="CE43" authorId="0" shapeId="0" xr:uid="{B23CC551-41C9-489A-9DAD-5761BA84762E}">
      <text>
        <r>
          <rPr>
            <b/>
            <sz val="9"/>
            <color indexed="81"/>
            <rFont val="Tahoma"/>
            <family val="2"/>
          </rPr>
          <t>Gavin Mudd:</t>
        </r>
        <r>
          <rPr>
            <sz val="9"/>
            <color indexed="81"/>
            <rFont val="Tahoma"/>
            <family val="2"/>
          </rPr>
          <t xml:space="preserve">
assumed</t>
        </r>
      </text>
    </comment>
    <comment ref="CH43" authorId="0" shapeId="0" xr:uid="{2CDC5A0D-1249-4F6A-B725-A1C390DA917B}">
      <text>
        <r>
          <rPr>
            <b/>
            <sz val="9"/>
            <color indexed="81"/>
            <rFont val="Tahoma"/>
            <family val="2"/>
          </rPr>
          <t>Gavin Mudd:</t>
        </r>
        <r>
          <rPr>
            <sz val="9"/>
            <color indexed="81"/>
            <rFont val="Tahoma"/>
            <family val="2"/>
          </rPr>
          <t xml:space="preserve">
best estimate</t>
        </r>
      </text>
    </comment>
    <comment ref="CI43" authorId="0" shapeId="0" xr:uid="{8C37B070-22BB-4B2E-B21E-31BA13803D5C}">
      <text>
        <r>
          <rPr>
            <b/>
            <sz val="9"/>
            <color indexed="81"/>
            <rFont val="Tahoma"/>
            <family val="2"/>
          </rPr>
          <t>Gavin Mudd:</t>
        </r>
        <r>
          <rPr>
            <sz val="9"/>
            <color indexed="81"/>
            <rFont val="Tahoma"/>
            <family val="2"/>
          </rPr>
          <t xml:space="preserve">
assumed as Greenbushes</t>
        </r>
      </text>
    </comment>
    <comment ref="CJ43" authorId="0" shapeId="0" xr:uid="{724C11FC-802E-40C1-9DE3-2458E37A47BB}">
      <text>
        <r>
          <rPr>
            <b/>
            <sz val="9"/>
            <color indexed="81"/>
            <rFont val="Tahoma"/>
            <family val="2"/>
          </rPr>
          <t>Gavin Mudd:</t>
        </r>
        <r>
          <rPr>
            <sz val="9"/>
            <color indexed="81"/>
            <rFont val="Tahoma"/>
            <family val="2"/>
          </rPr>
          <t xml:space="preserve">
assumed</t>
        </r>
      </text>
    </comment>
    <comment ref="CK43" authorId="0" shapeId="0" xr:uid="{F85E4611-FA89-41C4-A88E-BFB81D8FA7D6}">
      <text>
        <r>
          <rPr>
            <b/>
            <sz val="9"/>
            <color indexed="81"/>
            <rFont val="Tahoma"/>
            <family val="2"/>
          </rPr>
          <t>Gavin Mudd:</t>
        </r>
        <r>
          <rPr>
            <sz val="9"/>
            <color indexed="81"/>
            <rFont val="Tahoma"/>
            <family val="2"/>
          </rPr>
          <t xml:space="preserve">
assumed</t>
        </r>
      </text>
    </comment>
    <comment ref="DL43" authorId="0" shapeId="0" xr:uid="{526146DA-3B78-4E7E-B18D-401DD4E2F253}">
      <text>
        <r>
          <rPr>
            <b/>
            <sz val="9"/>
            <color indexed="81"/>
            <rFont val="Tahoma"/>
            <family val="2"/>
          </rPr>
          <t>Gavin Mudd:</t>
        </r>
        <r>
          <rPr>
            <sz val="9"/>
            <color indexed="81"/>
            <rFont val="Tahoma"/>
            <family val="2"/>
          </rPr>
          <t xml:space="preserve">
assumed</t>
        </r>
      </text>
    </comment>
    <comment ref="DM43" authorId="0" shapeId="0" xr:uid="{FB92824F-560F-4D70-B043-2C767738D46F}">
      <text>
        <r>
          <rPr>
            <b/>
            <sz val="9"/>
            <color indexed="81"/>
            <rFont val="Tahoma"/>
            <family val="2"/>
          </rPr>
          <t>Gavin Mudd:</t>
        </r>
        <r>
          <rPr>
            <sz val="9"/>
            <color indexed="81"/>
            <rFont val="Tahoma"/>
            <family val="2"/>
          </rPr>
          <t xml:space="preserve">
assumed</t>
        </r>
      </text>
    </comment>
    <comment ref="W44" authorId="0" shapeId="0" xr:uid="{58A082F1-9160-4592-AA18-D8EE7E6E482E}">
      <text>
        <r>
          <rPr>
            <b/>
            <sz val="9"/>
            <color indexed="81"/>
            <rFont val="Tahoma"/>
            <family val="2"/>
          </rPr>
          <t>Gavin Mudd:</t>
        </r>
        <r>
          <rPr>
            <sz val="9"/>
            <color indexed="81"/>
            <rFont val="Tahoma"/>
            <family val="2"/>
          </rPr>
          <t xml:space="preserve">
assumed</t>
        </r>
      </text>
    </comment>
    <comment ref="Y44" authorId="0" shapeId="0" xr:uid="{001CEA73-F234-4BF9-AAFB-F0093712A7C8}">
      <text>
        <r>
          <rPr>
            <b/>
            <sz val="9"/>
            <color indexed="81"/>
            <rFont val="Tahoma"/>
            <family val="2"/>
          </rPr>
          <t>Gavin Mudd:</t>
        </r>
        <r>
          <rPr>
            <sz val="9"/>
            <color indexed="81"/>
            <rFont val="Tahoma"/>
            <family val="2"/>
          </rPr>
          <t xml:space="preserve">
assumed</t>
        </r>
      </text>
    </comment>
    <comment ref="AF44" authorId="0" shapeId="0" xr:uid="{F6A4D5FD-4EBC-47A4-A746-338E00412610}">
      <text>
        <r>
          <rPr>
            <b/>
            <sz val="9"/>
            <color indexed="81"/>
            <rFont val="Tahoma"/>
            <family val="2"/>
          </rPr>
          <t>Gavin Mudd:</t>
        </r>
        <r>
          <rPr>
            <sz val="9"/>
            <color indexed="81"/>
            <rFont val="Tahoma"/>
            <family val="2"/>
          </rPr>
          <t xml:space="preserve">
assumed</t>
        </r>
      </text>
    </comment>
    <comment ref="AG44" authorId="0" shapeId="0" xr:uid="{06AFD8A0-071C-4B47-BCE6-913E7E4EE23A}">
      <text>
        <r>
          <rPr>
            <b/>
            <sz val="9"/>
            <color indexed="81"/>
            <rFont val="Tahoma"/>
            <family val="2"/>
          </rPr>
          <t>Gavin Mudd:</t>
        </r>
        <r>
          <rPr>
            <sz val="9"/>
            <color indexed="81"/>
            <rFont val="Tahoma"/>
            <family val="2"/>
          </rPr>
          <t xml:space="preserve">
assumed</t>
        </r>
      </text>
    </comment>
    <comment ref="AK44" authorId="0" shapeId="0" xr:uid="{AB067A0F-C284-4B2C-87A0-3DE50C11A748}">
      <text>
        <r>
          <rPr>
            <b/>
            <sz val="9"/>
            <color indexed="81"/>
            <rFont val="Tahoma"/>
            <family val="2"/>
          </rPr>
          <t>Gavin Mudd:</t>
        </r>
        <r>
          <rPr>
            <sz val="9"/>
            <color indexed="81"/>
            <rFont val="Tahoma"/>
            <family val="2"/>
          </rPr>
          <t xml:space="preserve">
assumed</t>
        </r>
      </text>
    </comment>
    <comment ref="AO44" authorId="0" shapeId="0" xr:uid="{DAE57447-C218-491E-B68D-B65BFB84B776}">
      <text>
        <r>
          <rPr>
            <b/>
            <sz val="9"/>
            <color indexed="81"/>
            <rFont val="Tahoma"/>
            <family val="2"/>
          </rPr>
          <t>Gavin Mudd:</t>
        </r>
        <r>
          <rPr>
            <sz val="9"/>
            <color indexed="81"/>
            <rFont val="Tahoma"/>
            <family val="2"/>
          </rPr>
          <t xml:space="preserve">
assumed</t>
        </r>
      </text>
    </comment>
    <comment ref="BA44" authorId="0" shapeId="0" xr:uid="{E72ADB67-E5F0-4EBD-B782-23CC208298EF}">
      <text>
        <r>
          <rPr>
            <b/>
            <sz val="9"/>
            <color indexed="81"/>
            <rFont val="Tahoma"/>
            <family val="2"/>
          </rPr>
          <t>Gavin Mudd:</t>
        </r>
        <r>
          <rPr>
            <sz val="9"/>
            <color indexed="81"/>
            <rFont val="Tahoma"/>
            <family val="2"/>
          </rPr>
          <t xml:space="preserve">
assumed</t>
        </r>
      </text>
    </comment>
    <comment ref="BB44" authorId="0" shapeId="0" xr:uid="{95E2C412-5372-4B70-8178-665EE15DC4DC}">
      <text>
        <r>
          <rPr>
            <b/>
            <sz val="9"/>
            <color indexed="81"/>
            <rFont val="Tahoma"/>
            <family val="2"/>
          </rPr>
          <t>Gavin Mudd:</t>
        </r>
        <r>
          <rPr>
            <sz val="9"/>
            <color indexed="81"/>
            <rFont val="Tahoma"/>
            <family val="2"/>
          </rPr>
          <t xml:space="preserve">
assumed</t>
        </r>
      </text>
    </comment>
    <comment ref="CD44" authorId="0" shapeId="0" xr:uid="{B08F764B-17D4-432A-BEA4-9DB510D6CEAA}">
      <text>
        <r>
          <rPr>
            <b/>
            <sz val="9"/>
            <color indexed="81"/>
            <rFont val="Tahoma"/>
            <family val="2"/>
          </rPr>
          <t>Gavin Mudd:</t>
        </r>
        <r>
          <rPr>
            <sz val="9"/>
            <color indexed="81"/>
            <rFont val="Tahoma"/>
            <family val="2"/>
          </rPr>
          <t xml:space="preserve">
assumed</t>
        </r>
      </text>
    </comment>
    <comment ref="CE44" authorId="0" shapeId="0" xr:uid="{1B4578EB-A80F-4203-9FD8-A8D3BB8CE01C}">
      <text>
        <r>
          <rPr>
            <b/>
            <sz val="9"/>
            <color indexed="81"/>
            <rFont val="Tahoma"/>
            <family val="2"/>
          </rPr>
          <t>Gavin Mudd:</t>
        </r>
        <r>
          <rPr>
            <sz val="9"/>
            <color indexed="81"/>
            <rFont val="Tahoma"/>
            <family val="2"/>
          </rPr>
          <t xml:space="preserve">
assumed</t>
        </r>
      </text>
    </comment>
    <comment ref="CG44" authorId="0" shapeId="0" xr:uid="{A42A5799-006F-4458-9ED3-5EBC4FD9D616}">
      <text>
        <r>
          <rPr>
            <b/>
            <sz val="9"/>
            <color indexed="81"/>
            <rFont val="Tahoma"/>
            <family val="2"/>
          </rPr>
          <t>Gavin Mudd:</t>
        </r>
        <r>
          <rPr>
            <sz val="9"/>
            <color indexed="81"/>
            <rFont val="Tahoma"/>
            <family val="2"/>
          </rPr>
          <t xml:space="preserve">
best estimate based on cumulative production 1891 to 1905 of 84.2 long tons</t>
        </r>
      </text>
    </comment>
    <comment ref="CH44" authorId="0" shapeId="0" xr:uid="{22C303E7-E344-4B83-9C0F-186C366A89D6}">
      <text>
        <r>
          <rPr>
            <b/>
            <sz val="9"/>
            <color indexed="81"/>
            <rFont val="Tahoma"/>
            <family val="2"/>
          </rPr>
          <t>Gavin Mudd:</t>
        </r>
        <r>
          <rPr>
            <sz val="9"/>
            <color indexed="81"/>
            <rFont val="Tahoma"/>
            <family val="2"/>
          </rPr>
          <t xml:space="preserve">
best estimate</t>
        </r>
      </text>
    </comment>
    <comment ref="CJ44" authorId="0" shapeId="0" xr:uid="{40D64E60-F9B2-492E-A251-E15825DC7BD5}">
      <text>
        <r>
          <rPr>
            <b/>
            <sz val="9"/>
            <color indexed="81"/>
            <rFont val="Tahoma"/>
            <family val="2"/>
          </rPr>
          <t>Gavin Mudd:</t>
        </r>
        <r>
          <rPr>
            <sz val="9"/>
            <color indexed="81"/>
            <rFont val="Tahoma"/>
            <family val="2"/>
          </rPr>
          <t xml:space="preserve">
assumed</t>
        </r>
      </text>
    </comment>
    <comment ref="CK44" authorId="0" shapeId="0" xr:uid="{B0A01902-E91B-41D8-89E6-590F1DB73C37}">
      <text>
        <r>
          <rPr>
            <b/>
            <sz val="9"/>
            <color indexed="81"/>
            <rFont val="Tahoma"/>
            <family val="2"/>
          </rPr>
          <t>Gavin Mudd:</t>
        </r>
        <r>
          <rPr>
            <sz val="9"/>
            <color indexed="81"/>
            <rFont val="Tahoma"/>
            <family val="2"/>
          </rPr>
          <t xml:space="preserve">
assumed</t>
        </r>
      </text>
    </comment>
    <comment ref="DL44" authorId="0" shapeId="0" xr:uid="{0F508761-BE44-4B2F-A81C-1E8B696148B0}">
      <text>
        <r>
          <rPr>
            <b/>
            <sz val="9"/>
            <color indexed="81"/>
            <rFont val="Tahoma"/>
            <family val="2"/>
          </rPr>
          <t>Gavin Mudd:</t>
        </r>
        <r>
          <rPr>
            <sz val="9"/>
            <color indexed="81"/>
            <rFont val="Tahoma"/>
            <family val="2"/>
          </rPr>
          <t xml:space="preserve">
assumed</t>
        </r>
      </text>
    </comment>
    <comment ref="DM44" authorId="0" shapeId="0" xr:uid="{0A9B19B9-C593-4FC8-868A-4C5AA958DF62}">
      <text>
        <r>
          <rPr>
            <b/>
            <sz val="9"/>
            <color indexed="81"/>
            <rFont val="Tahoma"/>
            <family val="2"/>
          </rPr>
          <t>Gavin Mudd:</t>
        </r>
        <r>
          <rPr>
            <sz val="9"/>
            <color indexed="81"/>
            <rFont val="Tahoma"/>
            <family val="2"/>
          </rPr>
          <t xml:space="preserve">
assumed</t>
        </r>
      </text>
    </comment>
    <comment ref="U45" authorId="0" shapeId="0" xr:uid="{A52CB4AB-D62B-4FBD-9E8D-47325282FBB4}">
      <text>
        <r>
          <rPr>
            <b/>
            <sz val="9"/>
            <color indexed="81"/>
            <rFont val="Tahoma"/>
            <family val="2"/>
          </rPr>
          <t>Gavin Mudd:</t>
        </r>
        <r>
          <rPr>
            <sz val="9"/>
            <color indexed="81"/>
            <rFont val="Tahoma"/>
            <family val="2"/>
          </rPr>
          <t xml:space="preserve">
assumed</t>
        </r>
      </text>
    </comment>
    <comment ref="W45" authorId="0" shapeId="0" xr:uid="{C20B8D47-9EAB-4661-B5BC-460F6AEE0474}">
      <text>
        <r>
          <rPr>
            <b/>
            <sz val="9"/>
            <color indexed="81"/>
            <rFont val="Tahoma"/>
            <family val="2"/>
          </rPr>
          <t>Gavin Mudd:</t>
        </r>
        <r>
          <rPr>
            <sz val="9"/>
            <color indexed="81"/>
            <rFont val="Tahoma"/>
            <family val="2"/>
          </rPr>
          <t xml:space="preserve">
assumed</t>
        </r>
      </text>
    </comment>
    <comment ref="Y45" authorId="0" shapeId="0" xr:uid="{A7435A39-47CC-40F2-8074-E61C84C487CF}">
      <text>
        <r>
          <rPr>
            <b/>
            <sz val="9"/>
            <color indexed="81"/>
            <rFont val="Tahoma"/>
            <family val="2"/>
          </rPr>
          <t>Gavin Mudd:</t>
        </r>
        <r>
          <rPr>
            <sz val="9"/>
            <color indexed="81"/>
            <rFont val="Tahoma"/>
            <family val="2"/>
          </rPr>
          <t xml:space="preserve">
assumed</t>
        </r>
      </text>
    </comment>
    <comment ref="AF45" authorId="0" shapeId="0" xr:uid="{0BE8D36B-5C6E-417E-B5C3-FA83A102CA02}">
      <text>
        <r>
          <rPr>
            <b/>
            <sz val="9"/>
            <color indexed="81"/>
            <rFont val="Tahoma"/>
            <family val="2"/>
          </rPr>
          <t>Gavin Mudd:</t>
        </r>
        <r>
          <rPr>
            <sz val="9"/>
            <color indexed="81"/>
            <rFont val="Tahoma"/>
            <family val="2"/>
          </rPr>
          <t xml:space="preserve">
assumed</t>
        </r>
      </text>
    </comment>
    <comment ref="AG45" authorId="0" shapeId="0" xr:uid="{3AAD4637-815A-4F05-A666-619B854979FA}">
      <text>
        <r>
          <rPr>
            <b/>
            <sz val="9"/>
            <color indexed="81"/>
            <rFont val="Tahoma"/>
            <family val="2"/>
          </rPr>
          <t>Gavin Mudd:</t>
        </r>
        <r>
          <rPr>
            <sz val="9"/>
            <color indexed="81"/>
            <rFont val="Tahoma"/>
            <family val="2"/>
          </rPr>
          <t xml:space="preserve">
assumed</t>
        </r>
      </text>
    </comment>
    <comment ref="AK45" authorId="0" shapeId="0" xr:uid="{86CA30D4-9A35-4B7C-81B6-B0F31E72119A}">
      <text>
        <r>
          <rPr>
            <b/>
            <sz val="9"/>
            <color indexed="81"/>
            <rFont val="Tahoma"/>
            <family val="2"/>
          </rPr>
          <t>Gavin Mudd:</t>
        </r>
        <r>
          <rPr>
            <sz val="9"/>
            <color indexed="81"/>
            <rFont val="Tahoma"/>
            <family val="2"/>
          </rPr>
          <t xml:space="preserve">
assumed</t>
        </r>
      </text>
    </comment>
    <comment ref="AM45" authorId="0" shapeId="0" xr:uid="{BEE3DC22-F8D9-4A35-AC36-B7B65641D359}">
      <text>
        <r>
          <rPr>
            <b/>
            <sz val="9"/>
            <color indexed="81"/>
            <rFont val="Tahoma"/>
            <family val="2"/>
          </rPr>
          <t>Gavin Mudd:</t>
        </r>
        <r>
          <rPr>
            <sz val="9"/>
            <color indexed="81"/>
            <rFont val="Tahoma"/>
            <family val="2"/>
          </rPr>
          <t xml:space="preserve">
assumed</t>
        </r>
      </text>
    </comment>
    <comment ref="AO45" authorId="0" shapeId="0" xr:uid="{29000D96-43C6-48D3-87FD-46203CD1445C}">
      <text>
        <r>
          <rPr>
            <b/>
            <sz val="9"/>
            <color indexed="81"/>
            <rFont val="Tahoma"/>
            <family val="2"/>
          </rPr>
          <t>Gavin Mudd:</t>
        </r>
        <r>
          <rPr>
            <sz val="9"/>
            <color indexed="81"/>
            <rFont val="Tahoma"/>
            <family val="2"/>
          </rPr>
          <t xml:space="preserve">
assumed</t>
        </r>
      </text>
    </comment>
    <comment ref="AQ45" authorId="0" shapeId="0" xr:uid="{58E347C0-EC1F-4E64-BD06-37748C796B29}">
      <text>
        <r>
          <rPr>
            <b/>
            <sz val="9"/>
            <color indexed="81"/>
            <rFont val="Tahoma"/>
            <family val="2"/>
          </rPr>
          <t>Gavin Mudd:</t>
        </r>
        <r>
          <rPr>
            <sz val="9"/>
            <color indexed="81"/>
            <rFont val="Tahoma"/>
            <family val="2"/>
          </rPr>
          <t xml:space="preserve">
assumed</t>
        </r>
      </text>
    </comment>
    <comment ref="AS45" authorId="0" shapeId="0" xr:uid="{D69FDF62-37E0-4382-AD3D-A0B38825C723}">
      <text>
        <r>
          <rPr>
            <b/>
            <sz val="9"/>
            <color indexed="81"/>
            <rFont val="Tahoma"/>
            <family val="2"/>
          </rPr>
          <t>Gavin Mudd:</t>
        </r>
        <r>
          <rPr>
            <sz val="9"/>
            <color indexed="81"/>
            <rFont val="Tahoma"/>
            <family val="2"/>
          </rPr>
          <t xml:space="preserve">
assumed</t>
        </r>
      </text>
    </comment>
    <comment ref="BA45" authorId="0" shapeId="0" xr:uid="{06B8E0C8-0564-44A2-BE9C-54AD7EC69DCA}">
      <text>
        <r>
          <rPr>
            <b/>
            <sz val="9"/>
            <color indexed="81"/>
            <rFont val="Tahoma"/>
            <family val="2"/>
          </rPr>
          <t>Gavin Mudd:</t>
        </r>
        <r>
          <rPr>
            <sz val="9"/>
            <color indexed="81"/>
            <rFont val="Tahoma"/>
            <family val="2"/>
          </rPr>
          <t xml:space="preserve">
assumed</t>
        </r>
      </text>
    </comment>
    <comment ref="BB45" authorId="0" shapeId="0" xr:uid="{1E5A24BF-6E58-4870-8DAA-8533670BE128}">
      <text>
        <r>
          <rPr>
            <b/>
            <sz val="9"/>
            <color indexed="81"/>
            <rFont val="Tahoma"/>
            <family val="2"/>
          </rPr>
          <t>Gavin Mudd:</t>
        </r>
        <r>
          <rPr>
            <sz val="9"/>
            <color indexed="81"/>
            <rFont val="Tahoma"/>
            <family val="2"/>
          </rPr>
          <t xml:space="preserve">
assumed</t>
        </r>
      </text>
    </comment>
    <comment ref="CD45" authorId="0" shapeId="0" xr:uid="{93A70922-CDBD-456C-B79B-C83631CCDA2B}">
      <text>
        <r>
          <rPr>
            <b/>
            <sz val="9"/>
            <color indexed="81"/>
            <rFont val="Tahoma"/>
            <family val="2"/>
          </rPr>
          <t>Gavin Mudd:</t>
        </r>
        <r>
          <rPr>
            <sz val="9"/>
            <color indexed="81"/>
            <rFont val="Tahoma"/>
            <family val="2"/>
          </rPr>
          <t xml:space="preserve">
assumed</t>
        </r>
      </text>
    </comment>
    <comment ref="CE45" authorId="0" shapeId="0" xr:uid="{EE62F4E8-1D43-4A3C-8B51-AFFA344ECBCB}">
      <text>
        <r>
          <rPr>
            <b/>
            <sz val="9"/>
            <color indexed="81"/>
            <rFont val="Tahoma"/>
            <family val="2"/>
          </rPr>
          <t>Gavin Mudd:</t>
        </r>
        <r>
          <rPr>
            <sz val="9"/>
            <color indexed="81"/>
            <rFont val="Tahoma"/>
            <family val="2"/>
          </rPr>
          <t xml:space="preserve">
assumed</t>
        </r>
      </text>
    </comment>
    <comment ref="CG45" authorId="0" shapeId="0" xr:uid="{53CC01EE-079D-404C-9483-58F6F35CE246}">
      <text>
        <r>
          <rPr>
            <b/>
            <sz val="9"/>
            <color indexed="81"/>
            <rFont val="Tahoma"/>
            <family val="2"/>
          </rPr>
          <t>Gavin Mudd:</t>
        </r>
        <r>
          <rPr>
            <sz val="9"/>
            <color indexed="81"/>
            <rFont val="Tahoma"/>
            <family val="2"/>
          </rPr>
          <t xml:space="preserve">
best estimate based on cumulative production 1891 to 1905 of 84.2 long tons</t>
        </r>
      </text>
    </comment>
    <comment ref="CH45" authorId="0" shapeId="0" xr:uid="{4407E347-23D8-4CEE-AA48-AE46BDDB1A9F}">
      <text>
        <r>
          <rPr>
            <b/>
            <sz val="9"/>
            <color indexed="81"/>
            <rFont val="Tahoma"/>
            <family val="2"/>
          </rPr>
          <t>Gavin Mudd:</t>
        </r>
        <r>
          <rPr>
            <sz val="9"/>
            <color indexed="81"/>
            <rFont val="Tahoma"/>
            <family val="2"/>
          </rPr>
          <t xml:space="preserve">
best estimate</t>
        </r>
      </text>
    </comment>
    <comment ref="CJ45" authorId="0" shapeId="0" xr:uid="{6DE18616-E62F-4F64-94D5-DB2CDF9B16BB}">
      <text>
        <r>
          <rPr>
            <b/>
            <sz val="9"/>
            <color indexed="81"/>
            <rFont val="Tahoma"/>
            <family val="2"/>
          </rPr>
          <t>Gavin Mudd:</t>
        </r>
        <r>
          <rPr>
            <sz val="9"/>
            <color indexed="81"/>
            <rFont val="Tahoma"/>
            <family val="2"/>
          </rPr>
          <t xml:space="preserve">
assumed</t>
        </r>
      </text>
    </comment>
    <comment ref="CK45" authorId="0" shapeId="0" xr:uid="{FACE13E3-5E1B-41EC-92CA-63AB1645FA1F}">
      <text>
        <r>
          <rPr>
            <b/>
            <sz val="9"/>
            <color indexed="81"/>
            <rFont val="Tahoma"/>
            <family val="2"/>
          </rPr>
          <t>Gavin Mudd:</t>
        </r>
        <r>
          <rPr>
            <sz val="9"/>
            <color indexed="81"/>
            <rFont val="Tahoma"/>
            <family val="2"/>
          </rPr>
          <t xml:space="preserve">
assumed</t>
        </r>
      </text>
    </comment>
    <comment ref="DL45" authorId="0" shapeId="0" xr:uid="{C9DC93E3-3DF1-4A5E-8958-E1872C11BC11}">
      <text>
        <r>
          <rPr>
            <b/>
            <sz val="9"/>
            <color indexed="81"/>
            <rFont val="Tahoma"/>
            <family val="2"/>
          </rPr>
          <t>Gavin Mudd:</t>
        </r>
        <r>
          <rPr>
            <sz val="9"/>
            <color indexed="81"/>
            <rFont val="Tahoma"/>
            <family val="2"/>
          </rPr>
          <t xml:space="preserve">
assumed</t>
        </r>
      </text>
    </comment>
    <comment ref="DM45" authorId="0" shapeId="0" xr:uid="{B703E3BD-4738-43DB-A224-A2504A43A07A}">
      <text>
        <r>
          <rPr>
            <b/>
            <sz val="9"/>
            <color indexed="81"/>
            <rFont val="Tahoma"/>
            <family val="2"/>
          </rPr>
          <t>Gavin Mudd:</t>
        </r>
        <r>
          <rPr>
            <sz val="9"/>
            <color indexed="81"/>
            <rFont val="Tahoma"/>
            <family val="2"/>
          </rPr>
          <t xml:space="preserve">
assumed</t>
        </r>
      </text>
    </comment>
    <comment ref="W46" authorId="0" shapeId="0" xr:uid="{8F63BB0D-8F6C-4560-845D-38F79215A5AE}">
      <text>
        <r>
          <rPr>
            <b/>
            <sz val="9"/>
            <color indexed="81"/>
            <rFont val="Tahoma"/>
            <family val="2"/>
          </rPr>
          <t>Gavin Mudd:</t>
        </r>
        <r>
          <rPr>
            <sz val="9"/>
            <color indexed="81"/>
            <rFont val="Tahoma"/>
            <family val="2"/>
          </rPr>
          <t xml:space="preserve">
assumed</t>
        </r>
      </text>
    </comment>
    <comment ref="Y46" authorId="0" shapeId="0" xr:uid="{59AD5E57-47D2-4CD6-8968-D474057882DC}">
      <text>
        <r>
          <rPr>
            <b/>
            <sz val="9"/>
            <color indexed="81"/>
            <rFont val="Tahoma"/>
            <family val="2"/>
          </rPr>
          <t>Gavin Mudd:</t>
        </r>
        <r>
          <rPr>
            <sz val="9"/>
            <color indexed="81"/>
            <rFont val="Tahoma"/>
            <family val="2"/>
          </rPr>
          <t xml:space="preserve">
assumed</t>
        </r>
      </text>
    </comment>
    <comment ref="AG46" authorId="0" shapeId="0" xr:uid="{F5DFEE90-9756-4F18-A592-DAEB77F006DD}">
      <text>
        <r>
          <rPr>
            <b/>
            <sz val="9"/>
            <color indexed="81"/>
            <rFont val="Tahoma"/>
            <family val="2"/>
          </rPr>
          <t>Gavin Mudd:</t>
        </r>
        <r>
          <rPr>
            <sz val="9"/>
            <color indexed="81"/>
            <rFont val="Tahoma"/>
            <family val="2"/>
          </rPr>
          <t xml:space="preserve">
assumed</t>
        </r>
      </text>
    </comment>
    <comment ref="AK46" authorId="0" shapeId="0" xr:uid="{43A67F70-785F-4717-BA1F-07A5FAD3F62B}">
      <text>
        <r>
          <rPr>
            <b/>
            <sz val="9"/>
            <color indexed="81"/>
            <rFont val="Tahoma"/>
            <family val="2"/>
          </rPr>
          <t>Gavin Mudd:</t>
        </r>
        <r>
          <rPr>
            <sz val="9"/>
            <color indexed="81"/>
            <rFont val="Tahoma"/>
            <family val="2"/>
          </rPr>
          <t xml:space="preserve">
assumed</t>
        </r>
      </text>
    </comment>
    <comment ref="AM46" authorId="0" shapeId="0" xr:uid="{E874EE09-5F01-404D-9C8B-6D151419AEBC}">
      <text>
        <r>
          <rPr>
            <b/>
            <sz val="9"/>
            <color indexed="81"/>
            <rFont val="Tahoma"/>
            <family val="2"/>
          </rPr>
          <t>Gavin Mudd:</t>
        </r>
        <r>
          <rPr>
            <sz val="9"/>
            <color indexed="81"/>
            <rFont val="Tahoma"/>
            <family val="2"/>
          </rPr>
          <t xml:space="preserve">
assumed</t>
        </r>
      </text>
    </comment>
    <comment ref="AO46" authorId="0" shapeId="0" xr:uid="{6607F858-18E1-48DE-92FA-4BF1A8AE9B3F}">
      <text>
        <r>
          <rPr>
            <b/>
            <sz val="9"/>
            <color indexed="81"/>
            <rFont val="Tahoma"/>
            <family val="2"/>
          </rPr>
          <t>Gavin Mudd:</t>
        </r>
        <r>
          <rPr>
            <sz val="9"/>
            <color indexed="81"/>
            <rFont val="Tahoma"/>
            <family val="2"/>
          </rPr>
          <t xml:space="preserve">
assumed</t>
        </r>
      </text>
    </comment>
    <comment ref="AS46" authorId="0" shapeId="0" xr:uid="{FDE31ED8-AB38-452F-8048-92EFFED74114}">
      <text>
        <r>
          <rPr>
            <b/>
            <sz val="9"/>
            <color indexed="81"/>
            <rFont val="Tahoma"/>
            <family val="2"/>
          </rPr>
          <t>Gavin Mudd:</t>
        </r>
        <r>
          <rPr>
            <sz val="9"/>
            <color indexed="81"/>
            <rFont val="Tahoma"/>
            <family val="2"/>
          </rPr>
          <t xml:space="preserve">
assumed</t>
        </r>
      </text>
    </comment>
    <comment ref="BA46" authorId="0" shapeId="0" xr:uid="{7C8B50D7-D0EB-4F84-BB6F-2D25CF4B674A}">
      <text>
        <r>
          <rPr>
            <b/>
            <sz val="9"/>
            <color indexed="81"/>
            <rFont val="Tahoma"/>
            <family val="2"/>
          </rPr>
          <t>Gavin Mudd:</t>
        </r>
        <r>
          <rPr>
            <sz val="9"/>
            <color indexed="81"/>
            <rFont val="Tahoma"/>
            <family val="2"/>
          </rPr>
          <t xml:space="preserve">
assumed</t>
        </r>
      </text>
    </comment>
    <comment ref="BB46" authorId="0" shapeId="0" xr:uid="{6EC837B6-C5F8-46A4-8A79-F4A9023B2015}">
      <text>
        <r>
          <rPr>
            <b/>
            <sz val="9"/>
            <color indexed="81"/>
            <rFont val="Tahoma"/>
            <family val="2"/>
          </rPr>
          <t>Gavin Mudd:</t>
        </r>
        <r>
          <rPr>
            <sz val="9"/>
            <color indexed="81"/>
            <rFont val="Tahoma"/>
            <family val="2"/>
          </rPr>
          <t xml:space="preserve">
assumed</t>
        </r>
      </text>
    </comment>
    <comment ref="CD46" authorId="0" shapeId="0" xr:uid="{259A0CDD-B753-491A-9328-405F7C876A4F}">
      <text>
        <r>
          <rPr>
            <b/>
            <sz val="9"/>
            <color indexed="81"/>
            <rFont val="Tahoma"/>
            <family val="2"/>
          </rPr>
          <t>Gavin Mudd:</t>
        </r>
        <r>
          <rPr>
            <sz val="9"/>
            <color indexed="81"/>
            <rFont val="Tahoma"/>
            <family val="2"/>
          </rPr>
          <t xml:space="preserve">
assumed</t>
        </r>
      </text>
    </comment>
    <comment ref="CE46" authorId="0" shapeId="0" xr:uid="{D7978E2E-C724-41AE-BE69-006C6B7C3CA1}">
      <text>
        <r>
          <rPr>
            <b/>
            <sz val="9"/>
            <color indexed="81"/>
            <rFont val="Tahoma"/>
            <family val="2"/>
          </rPr>
          <t>Gavin Mudd:</t>
        </r>
        <r>
          <rPr>
            <sz val="9"/>
            <color indexed="81"/>
            <rFont val="Tahoma"/>
            <family val="2"/>
          </rPr>
          <t xml:space="preserve">
assumed</t>
        </r>
      </text>
    </comment>
    <comment ref="CG46" authorId="0" shapeId="0" xr:uid="{70FDE609-0EE4-430A-8BBE-7FFC5FD3CDAB}">
      <text>
        <r>
          <rPr>
            <b/>
            <sz val="9"/>
            <color indexed="81"/>
            <rFont val="Tahoma"/>
            <family val="2"/>
          </rPr>
          <t>Gavin Mudd:</t>
        </r>
        <r>
          <rPr>
            <sz val="9"/>
            <color indexed="81"/>
            <rFont val="Tahoma"/>
            <family val="2"/>
          </rPr>
          <t xml:space="preserve">
best estimate based on cumulative production 1891 to 1905 of 84.2 long tons</t>
        </r>
      </text>
    </comment>
    <comment ref="CH46" authorId="0" shapeId="0" xr:uid="{EEC98786-D9B6-4BAC-995B-D8B93E15C60E}">
      <text>
        <r>
          <rPr>
            <b/>
            <sz val="9"/>
            <color indexed="81"/>
            <rFont val="Tahoma"/>
            <family val="2"/>
          </rPr>
          <t>Gavin Mudd:</t>
        </r>
        <r>
          <rPr>
            <sz val="9"/>
            <color indexed="81"/>
            <rFont val="Tahoma"/>
            <family val="2"/>
          </rPr>
          <t xml:space="preserve">
best estimate</t>
        </r>
      </text>
    </comment>
    <comment ref="CJ46" authorId="0" shapeId="0" xr:uid="{91C157FB-921C-4181-99AF-1E69C3B7E08F}">
      <text>
        <r>
          <rPr>
            <b/>
            <sz val="9"/>
            <color indexed="81"/>
            <rFont val="Tahoma"/>
            <family val="2"/>
          </rPr>
          <t>Gavin Mudd:</t>
        </r>
        <r>
          <rPr>
            <sz val="9"/>
            <color indexed="81"/>
            <rFont val="Tahoma"/>
            <family val="2"/>
          </rPr>
          <t xml:space="preserve">
assumed</t>
        </r>
      </text>
    </comment>
    <comment ref="CK46" authorId="0" shapeId="0" xr:uid="{ABAADA33-2273-49D8-AF7D-6D26B51632DA}">
      <text>
        <r>
          <rPr>
            <b/>
            <sz val="9"/>
            <color indexed="81"/>
            <rFont val="Tahoma"/>
            <family val="2"/>
          </rPr>
          <t>Gavin Mudd:</t>
        </r>
        <r>
          <rPr>
            <sz val="9"/>
            <color indexed="81"/>
            <rFont val="Tahoma"/>
            <family val="2"/>
          </rPr>
          <t xml:space="preserve">
assumed</t>
        </r>
      </text>
    </comment>
    <comment ref="CO46" authorId="0" shapeId="0" xr:uid="{1788326D-3275-4BC6-96BB-1CE9894DC973}">
      <text>
        <r>
          <rPr>
            <b/>
            <sz val="9"/>
            <color indexed="81"/>
            <rFont val="Tahoma"/>
            <family val="2"/>
          </rPr>
          <t>Gavin Mudd:</t>
        </r>
        <r>
          <rPr>
            <sz val="9"/>
            <color indexed="81"/>
            <rFont val="Tahoma"/>
            <family val="2"/>
          </rPr>
          <t xml:space="preserve">
assumed</t>
        </r>
      </text>
    </comment>
    <comment ref="CP46" authorId="0" shapeId="0" xr:uid="{CB6A8751-CD8E-49A7-B624-DCD0104BF205}">
      <text>
        <r>
          <rPr>
            <b/>
            <sz val="9"/>
            <color indexed="81"/>
            <rFont val="Tahoma"/>
            <family val="2"/>
          </rPr>
          <t>Gavin Mudd:</t>
        </r>
        <r>
          <rPr>
            <sz val="9"/>
            <color indexed="81"/>
            <rFont val="Tahoma"/>
            <family val="2"/>
          </rPr>
          <t xml:space="preserve">
assumed</t>
        </r>
      </text>
    </comment>
    <comment ref="DL46" authorId="0" shapeId="0" xr:uid="{9013AA7E-9426-48C8-8287-5825C375304A}">
      <text>
        <r>
          <rPr>
            <b/>
            <sz val="9"/>
            <color indexed="81"/>
            <rFont val="Tahoma"/>
            <family val="2"/>
          </rPr>
          <t>Gavin Mudd:</t>
        </r>
        <r>
          <rPr>
            <sz val="9"/>
            <color indexed="81"/>
            <rFont val="Tahoma"/>
            <family val="2"/>
          </rPr>
          <t xml:space="preserve">
assumed</t>
        </r>
      </text>
    </comment>
    <comment ref="DM46" authorId="0" shapeId="0" xr:uid="{7C91CB36-83B2-4188-BA3B-F46276EE5655}">
      <text>
        <r>
          <rPr>
            <b/>
            <sz val="9"/>
            <color indexed="81"/>
            <rFont val="Tahoma"/>
            <family val="2"/>
          </rPr>
          <t>Gavin Mudd:</t>
        </r>
        <r>
          <rPr>
            <sz val="9"/>
            <color indexed="81"/>
            <rFont val="Tahoma"/>
            <family val="2"/>
          </rPr>
          <t xml:space="preserve">
assumed</t>
        </r>
      </text>
    </comment>
    <comment ref="W47" authorId="0" shapeId="0" xr:uid="{A75602FB-F7C6-4367-AEFC-BA0661D2FCC1}">
      <text>
        <r>
          <rPr>
            <b/>
            <sz val="9"/>
            <color indexed="81"/>
            <rFont val="Tahoma"/>
            <family val="2"/>
          </rPr>
          <t>Gavin Mudd:</t>
        </r>
        <r>
          <rPr>
            <sz val="9"/>
            <color indexed="81"/>
            <rFont val="Tahoma"/>
            <family val="2"/>
          </rPr>
          <t xml:space="preserve">
assumed</t>
        </r>
      </text>
    </comment>
    <comment ref="Y47" authorId="0" shapeId="0" xr:uid="{02FDA4B4-C763-4A36-951C-D2B458806C93}">
      <text>
        <r>
          <rPr>
            <b/>
            <sz val="9"/>
            <color indexed="81"/>
            <rFont val="Tahoma"/>
            <family val="2"/>
          </rPr>
          <t>Gavin Mudd:</t>
        </r>
        <r>
          <rPr>
            <sz val="9"/>
            <color indexed="81"/>
            <rFont val="Tahoma"/>
            <family val="2"/>
          </rPr>
          <t xml:space="preserve">
assumed</t>
        </r>
      </text>
    </comment>
    <comment ref="AG47" authorId="0" shapeId="0" xr:uid="{D2FEF1F4-6D28-467F-8DC9-744D43B1A630}">
      <text>
        <r>
          <rPr>
            <b/>
            <sz val="9"/>
            <color indexed="81"/>
            <rFont val="Tahoma"/>
            <family val="2"/>
          </rPr>
          <t>Gavin Mudd:</t>
        </r>
        <r>
          <rPr>
            <sz val="9"/>
            <color indexed="81"/>
            <rFont val="Tahoma"/>
            <family val="2"/>
          </rPr>
          <t xml:space="preserve">
assumed</t>
        </r>
      </text>
    </comment>
    <comment ref="AK47" authorId="0" shapeId="0" xr:uid="{2EE99A1A-BF85-4563-874B-FBE747303FA0}">
      <text>
        <r>
          <rPr>
            <b/>
            <sz val="9"/>
            <color indexed="81"/>
            <rFont val="Tahoma"/>
            <family val="2"/>
          </rPr>
          <t>Gavin Mudd:</t>
        </r>
        <r>
          <rPr>
            <sz val="9"/>
            <color indexed="81"/>
            <rFont val="Tahoma"/>
            <family val="2"/>
          </rPr>
          <t xml:space="preserve">
assumed</t>
        </r>
      </text>
    </comment>
    <comment ref="AM47" authorId="0" shapeId="0" xr:uid="{FFFA7EFC-148D-46C2-BAF5-CA6A2F17AA07}">
      <text>
        <r>
          <rPr>
            <b/>
            <sz val="9"/>
            <color indexed="81"/>
            <rFont val="Tahoma"/>
            <family val="2"/>
          </rPr>
          <t>Gavin Mudd:</t>
        </r>
        <r>
          <rPr>
            <sz val="9"/>
            <color indexed="81"/>
            <rFont val="Tahoma"/>
            <family val="2"/>
          </rPr>
          <t xml:space="preserve">
assumed</t>
        </r>
      </text>
    </comment>
    <comment ref="AO47" authorId="0" shapeId="0" xr:uid="{8BB915AA-3ACF-4775-9275-5A37DD2E22E5}">
      <text>
        <r>
          <rPr>
            <b/>
            <sz val="9"/>
            <color indexed="81"/>
            <rFont val="Tahoma"/>
            <family val="2"/>
          </rPr>
          <t>Gavin Mudd:</t>
        </r>
        <r>
          <rPr>
            <sz val="9"/>
            <color indexed="81"/>
            <rFont val="Tahoma"/>
            <family val="2"/>
          </rPr>
          <t xml:space="preserve">
assumed</t>
        </r>
      </text>
    </comment>
    <comment ref="AS47" authorId="0" shapeId="0" xr:uid="{7F6D8EA9-C9C9-4A1B-9F3A-38BD02258D5B}">
      <text>
        <r>
          <rPr>
            <b/>
            <sz val="9"/>
            <color indexed="81"/>
            <rFont val="Tahoma"/>
            <family val="2"/>
          </rPr>
          <t>Gavin Mudd:</t>
        </r>
        <r>
          <rPr>
            <sz val="9"/>
            <color indexed="81"/>
            <rFont val="Tahoma"/>
            <family val="2"/>
          </rPr>
          <t xml:space="preserve">
assumed</t>
        </r>
      </text>
    </comment>
    <comment ref="BA47" authorId="0" shapeId="0" xr:uid="{083BB110-F7AC-4838-8DAB-5796B00C7445}">
      <text>
        <r>
          <rPr>
            <b/>
            <sz val="9"/>
            <color indexed="81"/>
            <rFont val="Tahoma"/>
            <family val="2"/>
          </rPr>
          <t>Gavin Mudd:</t>
        </r>
        <r>
          <rPr>
            <sz val="9"/>
            <color indexed="81"/>
            <rFont val="Tahoma"/>
            <family val="2"/>
          </rPr>
          <t xml:space="preserve">
assumed</t>
        </r>
      </text>
    </comment>
    <comment ref="BB47" authorId="0" shapeId="0" xr:uid="{DEF1A81F-FA0E-463F-9E1E-383FF125CB52}">
      <text>
        <r>
          <rPr>
            <b/>
            <sz val="9"/>
            <color indexed="81"/>
            <rFont val="Tahoma"/>
            <family val="2"/>
          </rPr>
          <t>Gavin Mudd:</t>
        </r>
        <r>
          <rPr>
            <sz val="9"/>
            <color indexed="81"/>
            <rFont val="Tahoma"/>
            <family val="2"/>
          </rPr>
          <t xml:space="preserve">
assumed</t>
        </r>
      </text>
    </comment>
    <comment ref="CD47" authorId="0" shapeId="0" xr:uid="{2188AF1E-639D-490C-A74B-AAE7A86401CA}">
      <text>
        <r>
          <rPr>
            <b/>
            <sz val="9"/>
            <color indexed="81"/>
            <rFont val="Tahoma"/>
            <family val="2"/>
          </rPr>
          <t>Gavin Mudd:</t>
        </r>
        <r>
          <rPr>
            <sz val="9"/>
            <color indexed="81"/>
            <rFont val="Tahoma"/>
            <family val="2"/>
          </rPr>
          <t xml:space="preserve">
assumed</t>
        </r>
      </text>
    </comment>
    <comment ref="CE47" authorId="0" shapeId="0" xr:uid="{CB3E3678-9BF1-4BE4-80FE-BB022AC20F00}">
      <text>
        <r>
          <rPr>
            <b/>
            <sz val="9"/>
            <color indexed="81"/>
            <rFont val="Tahoma"/>
            <family val="2"/>
          </rPr>
          <t>Gavin Mudd:</t>
        </r>
        <r>
          <rPr>
            <sz val="9"/>
            <color indexed="81"/>
            <rFont val="Tahoma"/>
            <family val="2"/>
          </rPr>
          <t xml:space="preserve">
assumed</t>
        </r>
      </text>
    </comment>
    <comment ref="CG47" authorId="0" shapeId="0" xr:uid="{8E124B8D-51CA-4389-A69C-4831A6D9B377}">
      <text>
        <r>
          <rPr>
            <b/>
            <sz val="9"/>
            <color indexed="81"/>
            <rFont val="Tahoma"/>
            <family val="2"/>
          </rPr>
          <t>Gavin Mudd:</t>
        </r>
        <r>
          <rPr>
            <sz val="9"/>
            <color indexed="81"/>
            <rFont val="Tahoma"/>
            <family val="2"/>
          </rPr>
          <t xml:space="preserve">
best estimate based on cumulative production 1891 to 1905 of 84.2 long tons</t>
        </r>
      </text>
    </comment>
    <comment ref="CH47" authorId="0" shapeId="0" xr:uid="{C9541A5F-93F1-41EE-901E-5E153F90C899}">
      <text>
        <r>
          <rPr>
            <b/>
            <sz val="9"/>
            <color indexed="81"/>
            <rFont val="Tahoma"/>
            <family val="2"/>
          </rPr>
          <t>Gavin Mudd:</t>
        </r>
        <r>
          <rPr>
            <sz val="9"/>
            <color indexed="81"/>
            <rFont val="Tahoma"/>
            <family val="2"/>
          </rPr>
          <t xml:space="preserve">
best estimate</t>
        </r>
      </text>
    </comment>
    <comment ref="CJ47" authorId="0" shapeId="0" xr:uid="{2D013983-D61A-4CEA-8390-C67C51B7CFC2}">
      <text>
        <r>
          <rPr>
            <b/>
            <sz val="9"/>
            <color indexed="81"/>
            <rFont val="Tahoma"/>
            <family val="2"/>
          </rPr>
          <t>Gavin Mudd:</t>
        </r>
        <r>
          <rPr>
            <sz val="9"/>
            <color indexed="81"/>
            <rFont val="Tahoma"/>
            <family val="2"/>
          </rPr>
          <t xml:space="preserve">
assumed</t>
        </r>
      </text>
    </comment>
    <comment ref="CK47" authorId="0" shapeId="0" xr:uid="{D8208A30-C13D-4AE7-B260-373682BFE5DA}">
      <text>
        <r>
          <rPr>
            <b/>
            <sz val="9"/>
            <color indexed="81"/>
            <rFont val="Tahoma"/>
            <family val="2"/>
          </rPr>
          <t>Gavin Mudd:</t>
        </r>
        <r>
          <rPr>
            <sz val="9"/>
            <color indexed="81"/>
            <rFont val="Tahoma"/>
            <family val="2"/>
          </rPr>
          <t xml:space="preserve">
assumed</t>
        </r>
      </text>
    </comment>
    <comment ref="CO47" authorId="0" shapeId="0" xr:uid="{B958C1C0-62E3-48B7-A7BD-4F5C38FB062F}">
      <text>
        <r>
          <rPr>
            <b/>
            <sz val="9"/>
            <color indexed="81"/>
            <rFont val="Tahoma"/>
            <family val="2"/>
          </rPr>
          <t>Gavin Mudd:</t>
        </r>
        <r>
          <rPr>
            <sz val="9"/>
            <color indexed="81"/>
            <rFont val="Tahoma"/>
            <family val="2"/>
          </rPr>
          <t xml:space="preserve">
assumed</t>
        </r>
      </text>
    </comment>
    <comment ref="CP47" authorId="0" shapeId="0" xr:uid="{60D3B6C4-4938-4CAA-8FE1-63865F26B6CD}">
      <text>
        <r>
          <rPr>
            <b/>
            <sz val="9"/>
            <color indexed="81"/>
            <rFont val="Tahoma"/>
            <family val="2"/>
          </rPr>
          <t>Gavin Mudd:</t>
        </r>
        <r>
          <rPr>
            <sz val="9"/>
            <color indexed="81"/>
            <rFont val="Tahoma"/>
            <family val="2"/>
          </rPr>
          <t xml:space="preserve">
assumed</t>
        </r>
      </text>
    </comment>
    <comment ref="DL47" authorId="0" shapeId="0" xr:uid="{DF054E0B-26D2-474F-980C-1E7DA1C9FB27}">
      <text>
        <r>
          <rPr>
            <b/>
            <sz val="9"/>
            <color indexed="81"/>
            <rFont val="Tahoma"/>
            <family val="2"/>
          </rPr>
          <t>Gavin Mudd:</t>
        </r>
        <r>
          <rPr>
            <sz val="9"/>
            <color indexed="81"/>
            <rFont val="Tahoma"/>
            <family val="2"/>
          </rPr>
          <t xml:space="preserve">
assumed</t>
        </r>
      </text>
    </comment>
    <comment ref="DM47" authorId="0" shapeId="0" xr:uid="{EAA9E291-C80B-49EE-A95F-FF4D09C0DD40}">
      <text>
        <r>
          <rPr>
            <b/>
            <sz val="9"/>
            <color indexed="81"/>
            <rFont val="Tahoma"/>
            <family val="2"/>
          </rPr>
          <t>Gavin Mudd:</t>
        </r>
        <r>
          <rPr>
            <sz val="9"/>
            <color indexed="81"/>
            <rFont val="Tahoma"/>
            <family val="2"/>
          </rPr>
          <t xml:space="preserve">
assumed</t>
        </r>
      </text>
    </comment>
    <comment ref="W48" authorId="0" shapeId="0" xr:uid="{C1C0951B-BA69-4607-8045-60D7E611B793}">
      <text>
        <r>
          <rPr>
            <b/>
            <sz val="9"/>
            <color indexed="81"/>
            <rFont val="Tahoma"/>
            <family val="2"/>
          </rPr>
          <t>Gavin Mudd:</t>
        </r>
        <r>
          <rPr>
            <sz val="9"/>
            <color indexed="81"/>
            <rFont val="Tahoma"/>
            <family val="2"/>
          </rPr>
          <t xml:space="preserve">
assumed</t>
        </r>
      </text>
    </comment>
    <comment ref="Y48" authorId="0" shapeId="0" xr:uid="{3B8E5D66-620D-4F93-8300-4BAB727D1C14}">
      <text>
        <r>
          <rPr>
            <b/>
            <sz val="9"/>
            <color indexed="81"/>
            <rFont val="Tahoma"/>
            <family val="2"/>
          </rPr>
          <t>Gavin Mudd:</t>
        </r>
        <r>
          <rPr>
            <sz val="9"/>
            <color indexed="81"/>
            <rFont val="Tahoma"/>
            <family val="2"/>
          </rPr>
          <t xml:space="preserve">
assumed</t>
        </r>
      </text>
    </comment>
    <comment ref="AG48" authorId="0" shapeId="0" xr:uid="{2291F5EE-36AB-4E0D-AF7C-98AB035E807E}">
      <text>
        <r>
          <rPr>
            <b/>
            <sz val="9"/>
            <color indexed="81"/>
            <rFont val="Tahoma"/>
            <family val="2"/>
          </rPr>
          <t>Gavin Mudd:</t>
        </r>
        <r>
          <rPr>
            <sz val="9"/>
            <color indexed="81"/>
            <rFont val="Tahoma"/>
            <family val="2"/>
          </rPr>
          <t xml:space="preserve">
assumed</t>
        </r>
      </text>
    </comment>
    <comment ref="AK48" authorId="0" shapeId="0" xr:uid="{654F46B0-EDE3-4507-B403-A61244C308F7}">
      <text>
        <r>
          <rPr>
            <b/>
            <sz val="9"/>
            <color indexed="81"/>
            <rFont val="Tahoma"/>
            <family val="2"/>
          </rPr>
          <t>Gavin Mudd:</t>
        </r>
        <r>
          <rPr>
            <sz val="9"/>
            <color indexed="81"/>
            <rFont val="Tahoma"/>
            <family val="2"/>
          </rPr>
          <t xml:space="preserve">
assumed</t>
        </r>
      </text>
    </comment>
    <comment ref="AM48" authorId="0" shapeId="0" xr:uid="{6FB785AC-2E68-4B62-8381-7CB222FD7537}">
      <text>
        <r>
          <rPr>
            <b/>
            <sz val="9"/>
            <color indexed="81"/>
            <rFont val="Tahoma"/>
            <family val="2"/>
          </rPr>
          <t>Gavin Mudd:</t>
        </r>
        <r>
          <rPr>
            <sz val="9"/>
            <color indexed="81"/>
            <rFont val="Tahoma"/>
            <family val="2"/>
          </rPr>
          <t xml:space="preserve">
assumed</t>
        </r>
      </text>
    </comment>
    <comment ref="AO48" authorId="0" shapeId="0" xr:uid="{D774017F-9EAF-4B42-9B27-F418E7EDEF2B}">
      <text>
        <r>
          <rPr>
            <b/>
            <sz val="9"/>
            <color indexed="81"/>
            <rFont val="Tahoma"/>
            <family val="2"/>
          </rPr>
          <t>Gavin Mudd:</t>
        </r>
        <r>
          <rPr>
            <sz val="9"/>
            <color indexed="81"/>
            <rFont val="Tahoma"/>
            <family val="2"/>
          </rPr>
          <t xml:space="preserve">
assumed</t>
        </r>
      </text>
    </comment>
    <comment ref="AS48" authorId="0" shapeId="0" xr:uid="{38B80AEB-5235-4FD9-B937-6C8757EC8C92}">
      <text>
        <r>
          <rPr>
            <b/>
            <sz val="9"/>
            <color indexed="81"/>
            <rFont val="Tahoma"/>
            <family val="2"/>
          </rPr>
          <t>Gavin Mudd:</t>
        </r>
        <r>
          <rPr>
            <sz val="9"/>
            <color indexed="81"/>
            <rFont val="Tahoma"/>
            <family val="2"/>
          </rPr>
          <t xml:space="preserve">
assumed</t>
        </r>
      </text>
    </comment>
    <comment ref="AZ48" authorId="0" shapeId="0" xr:uid="{7EC91A17-A5D2-42B3-9F27-BE1A3C77C700}">
      <text>
        <r>
          <rPr>
            <b/>
            <sz val="9"/>
            <color indexed="81"/>
            <rFont val="Tahoma"/>
            <family val="2"/>
          </rPr>
          <t>Gavin Mudd:</t>
        </r>
        <r>
          <rPr>
            <sz val="9"/>
            <color indexed="81"/>
            <rFont val="Tahoma"/>
            <family val="2"/>
          </rPr>
          <t xml:space="preserve">
assumed</t>
        </r>
      </text>
    </comment>
    <comment ref="BA48" authorId="0" shapeId="0" xr:uid="{075EC260-0C3C-4933-B70C-4368489CAFD4}">
      <text>
        <r>
          <rPr>
            <b/>
            <sz val="9"/>
            <color indexed="81"/>
            <rFont val="Tahoma"/>
            <family val="2"/>
          </rPr>
          <t>Gavin Mudd:</t>
        </r>
        <r>
          <rPr>
            <sz val="9"/>
            <color indexed="81"/>
            <rFont val="Tahoma"/>
            <family val="2"/>
          </rPr>
          <t xml:space="preserve">
assumed</t>
        </r>
      </text>
    </comment>
    <comment ref="BB48" authorId="0" shapeId="0" xr:uid="{BCB48A2E-4DA9-4197-9C87-81129A9C65E5}">
      <text>
        <r>
          <rPr>
            <b/>
            <sz val="9"/>
            <color indexed="81"/>
            <rFont val="Tahoma"/>
            <family val="2"/>
          </rPr>
          <t>Gavin Mudd:</t>
        </r>
        <r>
          <rPr>
            <sz val="9"/>
            <color indexed="81"/>
            <rFont val="Tahoma"/>
            <family val="2"/>
          </rPr>
          <t xml:space="preserve">
assumed</t>
        </r>
      </text>
    </comment>
    <comment ref="CD48" authorId="0" shapeId="0" xr:uid="{8F08B682-EC51-4612-92F2-3F8F693E3D0E}">
      <text>
        <r>
          <rPr>
            <b/>
            <sz val="9"/>
            <color indexed="81"/>
            <rFont val="Tahoma"/>
            <family val="2"/>
          </rPr>
          <t>Gavin Mudd:</t>
        </r>
        <r>
          <rPr>
            <sz val="9"/>
            <color indexed="81"/>
            <rFont val="Tahoma"/>
            <family val="2"/>
          </rPr>
          <t xml:space="preserve">
assumed</t>
        </r>
      </text>
    </comment>
    <comment ref="CE48" authorId="0" shapeId="0" xr:uid="{62914C7B-5D92-43C0-899A-3A0212FDEA8A}">
      <text>
        <r>
          <rPr>
            <b/>
            <sz val="9"/>
            <color indexed="81"/>
            <rFont val="Tahoma"/>
            <family val="2"/>
          </rPr>
          <t>Gavin Mudd:</t>
        </r>
        <r>
          <rPr>
            <sz val="9"/>
            <color indexed="81"/>
            <rFont val="Tahoma"/>
            <family val="2"/>
          </rPr>
          <t xml:space="preserve">
assumed</t>
        </r>
      </text>
    </comment>
    <comment ref="CG48" authorId="0" shapeId="0" xr:uid="{AD86C04B-1D2A-4578-90B7-46CB408A618C}">
      <text>
        <r>
          <rPr>
            <b/>
            <sz val="9"/>
            <color indexed="81"/>
            <rFont val="Tahoma"/>
            <family val="2"/>
          </rPr>
          <t>Gavin Mudd:</t>
        </r>
        <r>
          <rPr>
            <sz val="9"/>
            <color indexed="81"/>
            <rFont val="Tahoma"/>
            <family val="2"/>
          </rPr>
          <t xml:space="preserve">
best estimate based on cumulative production 1891 to 1905 of 84.2 long tons</t>
        </r>
      </text>
    </comment>
    <comment ref="CH48" authorId="0" shapeId="0" xr:uid="{0BE03214-7DA5-472D-85D3-B680E0524366}">
      <text>
        <r>
          <rPr>
            <b/>
            <sz val="9"/>
            <color indexed="81"/>
            <rFont val="Tahoma"/>
            <family val="2"/>
          </rPr>
          <t>Gavin Mudd:</t>
        </r>
        <r>
          <rPr>
            <sz val="9"/>
            <color indexed="81"/>
            <rFont val="Tahoma"/>
            <family val="2"/>
          </rPr>
          <t xml:space="preserve">
best estimate</t>
        </r>
      </text>
    </comment>
    <comment ref="CJ48" authorId="0" shapeId="0" xr:uid="{1ED48236-9F82-48C8-B0DB-F7328CD923FF}">
      <text>
        <r>
          <rPr>
            <b/>
            <sz val="9"/>
            <color indexed="81"/>
            <rFont val="Tahoma"/>
            <family val="2"/>
          </rPr>
          <t>Gavin Mudd:</t>
        </r>
        <r>
          <rPr>
            <sz val="9"/>
            <color indexed="81"/>
            <rFont val="Tahoma"/>
            <family val="2"/>
          </rPr>
          <t xml:space="preserve">
assumed</t>
        </r>
      </text>
    </comment>
    <comment ref="CK48" authorId="0" shapeId="0" xr:uid="{ABD75D9E-0758-420E-BD17-EFBEBCA137FF}">
      <text>
        <r>
          <rPr>
            <b/>
            <sz val="9"/>
            <color indexed="81"/>
            <rFont val="Tahoma"/>
            <family val="2"/>
          </rPr>
          <t>Gavin Mudd:</t>
        </r>
        <r>
          <rPr>
            <sz val="9"/>
            <color indexed="81"/>
            <rFont val="Tahoma"/>
            <family val="2"/>
          </rPr>
          <t xml:space="preserve">
assumed</t>
        </r>
      </text>
    </comment>
    <comment ref="DL48" authorId="0" shapeId="0" xr:uid="{6179397A-05A7-4782-A3B5-30EB81642916}">
      <text>
        <r>
          <rPr>
            <b/>
            <sz val="9"/>
            <color indexed="81"/>
            <rFont val="Tahoma"/>
            <family val="2"/>
          </rPr>
          <t>Gavin Mudd:</t>
        </r>
        <r>
          <rPr>
            <sz val="9"/>
            <color indexed="81"/>
            <rFont val="Tahoma"/>
            <family val="2"/>
          </rPr>
          <t xml:space="preserve">
assumed</t>
        </r>
      </text>
    </comment>
    <comment ref="DM48" authorId="0" shapeId="0" xr:uid="{CA3FA328-A8CE-45E8-865B-D1AAF2E74C7B}">
      <text>
        <r>
          <rPr>
            <b/>
            <sz val="9"/>
            <color indexed="81"/>
            <rFont val="Tahoma"/>
            <family val="2"/>
          </rPr>
          <t>Gavin Mudd:</t>
        </r>
        <r>
          <rPr>
            <sz val="9"/>
            <color indexed="81"/>
            <rFont val="Tahoma"/>
            <family val="2"/>
          </rPr>
          <t xml:space="preserve">
assumed</t>
        </r>
      </text>
    </comment>
    <comment ref="W49" authorId="0" shapeId="0" xr:uid="{94007760-375D-4A6F-B4D5-365EF610C5A6}">
      <text>
        <r>
          <rPr>
            <b/>
            <sz val="9"/>
            <color indexed="81"/>
            <rFont val="Tahoma"/>
            <family val="2"/>
          </rPr>
          <t>Gavin Mudd:</t>
        </r>
        <r>
          <rPr>
            <sz val="9"/>
            <color indexed="81"/>
            <rFont val="Tahoma"/>
            <family val="2"/>
          </rPr>
          <t xml:space="preserve">
assumed</t>
        </r>
      </text>
    </comment>
    <comment ref="Y49" authorId="0" shapeId="0" xr:uid="{B44DA309-CDFA-415A-A33B-2D0A268BBA73}">
      <text>
        <r>
          <rPr>
            <b/>
            <sz val="9"/>
            <color indexed="81"/>
            <rFont val="Tahoma"/>
            <family val="2"/>
          </rPr>
          <t>Gavin Mudd:</t>
        </r>
        <r>
          <rPr>
            <sz val="9"/>
            <color indexed="81"/>
            <rFont val="Tahoma"/>
            <family val="2"/>
          </rPr>
          <t xml:space="preserve">
assumed</t>
        </r>
      </text>
    </comment>
    <comment ref="AC49" authorId="0" shapeId="0" xr:uid="{50B80CCE-041D-4AE9-AA1E-1947D4CCA98B}">
      <text>
        <r>
          <rPr>
            <b/>
            <sz val="9"/>
            <color indexed="81"/>
            <rFont val="Tahoma"/>
            <family val="2"/>
          </rPr>
          <t>Gavin Mudd:</t>
        </r>
        <r>
          <rPr>
            <sz val="9"/>
            <color indexed="81"/>
            <rFont val="Tahoma"/>
            <family val="2"/>
          </rPr>
          <t xml:space="preserve">
assumed</t>
        </r>
      </text>
    </comment>
    <comment ref="AG49" authorId="0" shapeId="0" xr:uid="{069DE64C-A81C-488B-BE79-6670869A2213}">
      <text>
        <r>
          <rPr>
            <b/>
            <sz val="9"/>
            <color indexed="81"/>
            <rFont val="Tahoma"/>
            <family val="2"/>
          </rPr>
          <t>Gavin Mudd:</t>
        </r>
        <r>
          <rPr>
            <sz val="9"/>
            <color indexed="81"/>
            <rFont val="Tahoma"/>
            <family val="2"/>
          </rPr>
          <t xml:space="preserve">
assumed</t>
        </r>
      </text>
    </comment>
    <comment ref="AK49" authorId="0" shapeId="0" xr:uid="{B2C46E67-55D8-4382-A9AE-787BE3527D9A}">
      <text>
        <r>
          <rPr>
            <b/>
            <sz val="9"/>
            <color indexed="81"/>
            <rFont val="Tahoma"/>
            <family val="2"/>
          </rPr>
          <t>Gavin Mudd:</t>
        </r>
        <r>
          <rPr>
            <sz val="9"/>
            <color indexed="81"/>
            <rFont val="Tahoma"/>
            <family val="2"/>
          </rPr>
          <t xml:space="preserve">
assumed</t>
        </r>
      </text>
    </comment>
    <comment ref="AM49" authorId="0" shapeId="0" xr:uid="{D97397A9-6E4C-4CE3-BC7A-2BD04D7928CE}">
      <text>
        <r>
          <rPr>
            <b/>
            <sz val="9"/>
            <color indexed="81"/>
            <rFont val="Tahoma"/>
            <family val="2"/>
          </rPr>
          <t>Gavin Mudd:</t>
        </r>
        <r>
          <rPr>
            <sz val="9"/>
            <color indexed="81"/>
            <rFont val="Tahoma"/>
            <family val="2"/>
          </rPr>
          <t xml:space="preserve">
assumed</t>
        </r>
      </text>
    </comment>
    <comment ref="AO49" authorId="0" shapeId="0" xr:uid="{E2971FB9-0849-4F8F-908B-984F75ABB834}">
      <text>
        <r>
          <rPr>
            <b/>
            <sz val="9"/>
            <color indexed="81"/>
            <rFont val="Tahoma"/>
            <family val="2"/>
          </rPr>
          <t>Gavin Mudd:</t>
        </r>
        <r>
          <rPr>
            <sz val="9"/>
            <color indexed="81"/>
            <rFont val="Tahoma"/>
            <family val="2"/>
          </rPr>
          <t xml:space="preserve">
assumed</t>
        </r>
      </text>
    </comment>
    <comment ref="AZ49" authorId="0" shapeId="0" xr:uid="{566E4C56-4DC7-4488-9627-576D7B1B626A}">
      <text>
        <r>
          <rPr>
            <b/>
            <sz val="9"/>
            <color indexed="81"/>
            <rFont val="Tahoma"/>
            <family val="2"/>
          </rPr>
          <t>Gavin Mudd:</t>
        </r>
        <r>
          <rPr>
            <sz val="9"/>
            <color indexed="81"/>
            <rFont val="Tahoma"/>
            <family val="2"/>
          </rPr>
          <t xml:space="preserve">
assumed</t>
        </r>
      </text>
    </comment>
    <comment ref="BA49" authorId="0" shapeId="0" xr:uid="{ADF20CD3-775B-4312-A70D-B8B4708A8EC2}">
      <text>
        <r>
          <rPr>
            <b/>
            <sz val="9"/>
            <color indexed="81"/>
            <rFont val="Tahoma"/>
            <family val="2"/>
          </rPr>
          <t>Gavin Mudd:</t>
        </r>
        <r>
          <rPr>
            <sz val="9"/>
            <color indexed="81"/>
            <rFont val="Tahoma"/>
            <family val="2"/>
          </rPr>
          <t xml:space="preserve">
assumed</t>
        </r>
      </text>
    </comment>
    <comment ref="BB49" authorId="0" shapeId="0" xr:uid="{784F48A2-3001-47C2-824E-E16699779611}">
      <text>
        <r>
          <rPr>
            <b/>
            <sz val="9"/>
            <color indexed="81"/>
            <rFont val="Tahoma"/>
            <family val="2"/>
          </rPr>
          <t>Gavin Mudd:</t>
        </r>
        <r>
          <rPr>
            <sz val="9"/>
            <color indexed="81"/>
            <rFont val="Tahoma"/>
            <family val="2"/>
          </rPr>
          <t xml:space="preserve">
assumed</t>
        </r>
      </text>
    </comment>
    <comment ref="CD49" authorId="0" shapeId="0" xr:uid="{3699EE87-58A4-40B3-B06C-8510392785FE}">
      <text>
        <r>
          <rPr>
            <b/>
            <sz val="9"/>
            <color indexed="81"/>
            <rFont val="Tahoma"/>
            <family val="2"/>
          </rPr>
          <t>Gavin Mudd:</t>
        </r>
        <r>
          <rPr>
            <sz val="9"/>
            <color indexed="81"/>
            <rFont val="Tahoma"/>
            <family val="2"/>
          </rPr>
          <t xml:space="preserve">
assumed</t>
        </r>
      </text>
    </comment>
    <comment ref="CE49" authorId="0" shapeId="0" xr:uid="{3BFD5FF2-0E0C-461F-929C-19DFE69F93ED}">
      <text>
        <r>
          <rPr>
            <b/>
            <sz val="9"/>
            <color indexed="81"/>
            <rFont val="Tahoma"/>
            <family val="2"/>
          </rPr>
          <t>Gavin Mudd:</t>
        </r>
        <r>
          <rPr>
            <sz val="9"/>
            <color indexed="81"/>
            <rFont val="Tahoma"/>
            <family val="2"/>
          </rPr>
          <t xml:space="preserve">
assumed</t>
        </r>
      </text>
    </comment>
    <comment ref="CG49" authorId="0" shapeId="0" xr:uid="{4F548A2E-A6F1-4862-9269-4B8D171A9691}">
      <text>
        <r>
          <rPr>
            <b/>
            <sz val="9"/>
            <color indexed="81"/>
            <rFont val="Tahoma"/>
            <family val="2"/>
          </rPr>
          <t>Gavin Mudd:</t>
        </r>
        <r>
          <rPr>
            <sz val="9"/>
            <color indexed="81"/>
            <rFont val="Tahoma"/>
            <family val="2"/>
          </rPr>
          <t xml:space="preserve">
best estimate based on cumulative production 1891 to 1905 of 84.2 long tons</t>
        </r>
      </text>
    </comment>
    <comment ref="CH49" authorId="0" shapeId="0" xr:uid="{160AAE36-8A49-42C5-9865-99A15B06BD88}">
      <text>
        <r>
          <rPr>
            <b/>
            <sz val="9"/>
            <color indexed="81"/>
            <rFont val="Tahoma"/>
            <family val="2"/>
          </rPr>
          <t>Gavin Mudd:</t>
        </r>
        <r>
          <rPr>
            <sz val="9"/>
            <color indexed="81"/>
            <rFont val="Tahoma"/>
            <family val="2"/>
          </rPr>
          <t xml:space="preserve">
best estimate</t>
        </r>
      </text>
    </comment>
    <comment ref="CJ49" authorId="0" shapeId="0" xr:uid="{B654AA50-7F11-4605-A079-74455121FF67}">
      <text>
        <r>
          <rPr>
            <b/>
            <sz val="9"/>
            <color indexed="81"/>
            <rFont val="Tahoma"/>
            <family val="2"/>
          </rPr>
          <t>Gavin Mudd:</t>
        </r>
        <r>
          <rPr>
            <sz val="9"/>
            <color indexed="81"/>
            <rFont val="Tahoma"/>
            <family val="2"/>
          </rPr>
          <t xml:space="preserve">
assumed</t>
        </r>
      </text>
    </comment>
    <comment ref="CK49" authorId="0" shapeId="0" xr:uid="{91C5F621-531B-497A-A75B-34FAD38C2182}">
      <text>
        <r>
          <rPr>
            <b/>
            <sz val="9"/>
            <color indexed="81"/>
            <rFont val="Tahoma"/>
            <family val="2"/>
          </rPr>
          <t>Gavin Mudd:</t>
        </r>
        <r>
          <rPr>
            <sz val="9"/>
            <color indexed="81"/>
            <rFont val="Tahoma"/>
            <family val="2"/>
          </rPr>
          <t xml:space="preserve">
assumed</t>
        </r>
      </text>
    </comment>
    <comment ref="DL49" authorId="0" shapeId="0" xr:uid="{BA385234-746B-4A1C-96DD-B57593FF4C0D}">
      <text>
        <r>
          <rPr>
            <b/>
            <sz val="9"/>
            <color indexed="81"/>
            <rFont val="Tahoma"/>
            <family val="2"/>
          </rPr>
          <t>Gavin Mudd:</t>
        </r>
        <r>
          <rPr>
            <sz val="9"/>
            <color indexed="81"/>
            <rFont val="Tahoma"/>
            <family val="2"/>
          </rPr>
          <t xml:space="preserve">
assumed</t>
        </r>
      </text>
    </comment>
    <comment ref="DM49" authorId="0" shapeId="0" xr:uid="{D177F8E9-FAFC-47D0-BCAE-B7E028E8BE59}">
      <text>
        <r>
          <rPr>
            <b/>
            <sz val="9"/>
            <color indexed="81"/>
            <rFont val="Tahoma"/>
            <family val="2"/>
          </rPr>
          <t>Gavin Mudd:</t>
        </r>
        <r>
          <rPr>
            <sz val="9"/>
            <color indexed="81"/>
            <rFont val="Tahoma"/>
            <family val="2"/>
          </rPr>
          <t xml:space="preserve">
assumed</t>
        </r>
      </text>
    </comment>
    <comment ref="U50" authorId="0" shapeId="0" xr:uid="{EC4415E1-16B6-4A4F-816F-E4A33DFED6A9}">
      <text>
        <r>
          <rPr>
            <b/>
            <sz val="9"/>
            <color indexed="81"/>
            <rFont val="Tahoma"/>
            <family val="2"/>
          </rPr>
          <t>Gavin Mudd:</t>
        </r>
        <r>
          <rPr>
            <sz val="9"/>
            <color indexed="81"/>
            <rFont val="Tahoma"/>
            <family val="2"/>
          </rPr>
          <t xml:space="preserve">
assumed</t>
        </r>
      </text>
    </comment>
    <comment ref="W50" authorId="0" shapeId="0" xr:uid="{3DFC8E13-7DD5-45F2-A7C3-0FB4FFD4206A}">
      <text>
        <r>
          <rPr>
            <b/>
            <sz val="9"/>
            <color indexed="81"/>
            <rFont val="Tahoma"/>
            <family val="2"/>
          </rPr>
          <t>Gavin Mudd:</t>
        </r>
        <r>
          <rPr>
            <sz val="9"/>
            <color indexed="81"/>
            <rFont val="Tahoma"/>
            <family val="2"/>
          </rPr>
          <t xml:space="preserve">
assumed</t>
        </r>
      </text>
    </comment>
    <comment ref="Y50" authorId="0" shapeId="0" xr:uid="{E4416698-981D-419D-BCF6-1F805187C7F0}">
      <text>
        <r>
          <rPr>
            <b/>
            <sz val="9"/>
            <color indexed="81"/>
            <rFont val="Tahoma"/>
            <family val="2"/>
          </rPr>
          <t>Gavin Mudd:</t>
        </r>
        <r>
          <rPr>
            <sz val="9"/>
            <color indexed="81"/>
            <rFont val="Tahoma"/>
            <family val="2"/>
          </rPr>
          <t xml:space="preserve">
assumed</t>
        </r>
      </text>
    </comment>
    <comment ref="AG50" authorId="0" shapeId="0" xr:uid="{79BC1208-4578-4B66-A5B0-8822333DAAA0}">
      <text>
        <r>
          <rPr>
            <b/>
            <sz val="9"/>
            <color indexed="81"/>
            <rFont val="Tahoma"/>
            <family val="2"/>
          </rPr>
          <t>Gavin Mudd:</t>
        </r>
        <r>
          <rPr>
            <sz val="9"/>
            <color indexed="81"/>
            <rFont val="Tahoma"/>
            <family val="2"/>
          </rPr>
          <t xml:space="preserve">
assumed</t>
        </r>
      </text>
    </comment>
    <comment ref="AK50" authorId="0" shapeId="0" xr:uid="{5F1F0335-6164-477A-895A-80EB48A19981}">
      <text>
        <r>
          <rPr>
            <b/>
            <sz val="9"/>
            <color indexed="81"/>
            <rFont val="Tahoma"/>
            <family val="2"/>
          </rPr>
          <t>Gavin Mudd:</t>
        </r>
        <r>
          <rPr>
            <sz val="9"/>
            <color indexed="81"/>
            <rFont val="Tahoma"/>
            <family val="2"/>
          </rPr>
          <t xml:space="preserve">
assumed</t>
        </r>
      </text>
    </comment>
    <comment ref="AM50" authorId="0" shapeId="0" xr:uid="{9CB57E97-9037-44B6-8097-83E8F7DD2C0E}">
      <text>
        <r>
          <rPr>
            <b/>
            <sz val="9"/>
            <color indexed="81"/>
            <rFont val="Tahoma"/>
            <family val="2"/>
          </rPr>
          <t>Gavin Mudd:</t>
        </r>
        <r>
          <rPr>
            <sz val="9"/>
            <color indexed="81"/>
            <rFont val="Tahoma"/>
            <family val="2"/>
          </rPr>
          <t xml:space="preserve">
assumed</t>
        </r>
      </text>
    </comment>
    <comment ref="AO50" authorId="0" shapeId="0" xr:uid="{8BC6AF32-9BF8-4F8B-A5A5-A2B38B6EF892}">
      <text>
        <r>
          <rPr>
            <b/>
            <sz val="9"/>
            <color indexed="81"/>
            <rFont val="Tahoma"/>
            <family val="2"/>
          </rPr>
          <t>Gavin Mudd:</t>
        </r>
        <r>
          <rPr>
            <sz val="9"/>
            <color indexed="81"/>
            <rFont val="Tahoma"/>
            <family val="2"/>
          </rPr>
          <t xml:space="preserve">
assumed</t>
        </r>
      </text>
    </comment>
    <comment ref="AQ50" authorId="0" shapeId="0" xr:uid="{9120A01D-B10D-43D7-9D59-A703FE6B0861}">
      <text>
        <r>
          <rPr>
            <b/>
            <sz val="9"/>
            <color indexed="81"/>
            <rFont val="Tahoma"/>
            <family val="2"/>
          </rPr>
          <t>Gavin Mudd:</t>
        </r>
        <r>
          <rPr>
            <sz val="9"/>
            <color indexed="81"/>
            <rFont val="Tahoma"/>
            <family val="2"/>
          </rPr>
          <t xml:space="preserve">
assumed</t>
        </r>
      </text>
    </comment>
    <comment ref="BA50" authorId="0" shapeId="0" xr:uid="{579A3621-5973-451D-B476-BA6A6E551676}">
      <text>
        <r>
          <rPr>
            <b/>
            <sz val="9"/>
            <color indexed="81"/>
            <rFont val="Tahoma"/>
            <family val="2"/>
          </rPr>
          <t>Gavin Mudd:</t>
        </r>
        <r>
          <rPr>
            <sz val="9"/>
            <color indexed="81"/>
            <rFont val="Tahoma"/>
            <family val="2"/>
          </rPr>
          <t xml:space="preserve">
assumed</t>
        </r>
      </text>
    </comment>
    <comment ref="BB50" authorId="0" shapeId="0" xr:uid="{BFD10DE7-25D2-4B1A-AA52-4D8ADBC2217A}">
      <text>
        <r>
          <rPr>
            <b/>
            <sz val="9"/>
            <color indexed="81"/>
            <rFont val="Tahoma"/>
            <family val="2"/>
          </rPr>
          <t>Gavin Mudd:</t>
        </r>
        <r>
          <rPr>
            <sz val="9"/>
            <color indexed="81"/>
            <rFont val="Tahoma"/>
            <family val="2"/>
          </rPr>
          <t xml:space="preserve">
assumed</t>
        </r>
      </text>
    </comment>
    <comment ref="CD50" authorId="0" shapeId="0" xr:uid="{07112EE6-2BF2-4166-9620-149766D214E4}">
      <text>
        <r>
          <rPr>
            <b/>
            <sz val="9"/>
            <color indexed="81"/>
            <rFont val="Tahoma"/>
            <family val="2"/>
          </rPr>
          <t>Gavin Mudd:</t>
        </r>
        <r>
          <rPr>
            <sz val="9"/>
            <color indexed="81"/>
            <rFont val="Tahoma"/>
            <family val="2"/>
          </rPr>
          <t xml:space="preserve">
assumed</t>
        </r>
      </text>
    </comment>
    <comment ref="CE50" authorId="0" shapeId="0" xr:uid="{F5CF58EE-8655-47F6-BE69-E6BD2C7BBD1D}">
      <text>
        <r>
          <rPr>
            <b/>
            <sz val="9"/>
            <color indexed="81"/>
            <rFont val="Tahoma"/>
            <family val="2"/>
          </rPr>
          <t>Gavin Mudd:</t>
        </r>
        <r>
          <rPr>
            <sz val="9"/>
            <color indexed="81"/>
            <rFont val="Tahoma"/>
            <family val="2"/>
          </rPr>
          <t xml:space="preserve">
assumed</t>
        </r>
      </text>
    </comment>
    <comment ref="CG50" authorId="0" shapeId="0" xr:uid="{BBD486B9-6804-4C0C-A763-51684E7D284B}">
      <text>
        <r>
          <rPr>
            <b/>
            <sz val="9"/>
            <color indexed="81"/>
            <rFont val="Tahoma"/>
            <family val="2"/>
          </rPr>
          <t>Gavin Mudd:</t>
        </r>
        <r>
          <rPr>
            <sz val="9"/>
            <color indexed="81"/>
            <rFont val="Tahoma"/>
            <family val="2"/>
          </rPr>
          <t xml:space="preserve">
best estimate based on cumulative production 1891 to 1905 of 84.2 long tons</t>
        </r>
      </text>
    </comment>
    <comment ref="CH50" authorId="0" shapeId="0" xr:uid="{A8D55FD9-B87B-4D03-B729-C11D92F415A6}">
      <text>
        <r>
          <rPr>
            <b/>
            <sz val="9"/>
            <color indexed="81"/>
            <rFont val="Tahoma"/>
            <family val="2"/>
          </rPr>
          <t>Gavin Mudd:</t>
        </r>
        <r>
          <rPr>
            <sz val="9"/>
            <color indexed="81"/>
            <rFont val="Tahoma"/>
            <family val="2"/>
          </rPr>
          <t xml:space="preserve">
best estimate</t>
        </r>
      </text>
    </comment>
    <comment ref="CJ50" authorId="0" shapeId="0" xr:uid="{613039DA-827E-47D4-8F3C-6D0871E31DB5}">
      <text>
        <r>
          <rPr>
            <b/>
            <sz val="9"/>
            <color indexed="81"/>
            <rFont val="Tahoma"/>
            <family val="2"/>
          </rPr>
          <t>Gavin Mudd:</t>
        </r>
        <r>
          <rPr>
            <sz val="9"/>
            <color indexed="81"/>
            <rFont val="Tahoma"/>
            <family val="2"/>
          </rPr>
          <t xml:space="preserve">
assumed</t>
        </r>
      </text>
    </comment>
    <comment ref="CK50" authorId="0" shapeId="0" xr:uid="{9286E40E-2CB3-4854-A46D-B6CD8489F81D}">
      <text>
        <r>
          <rPr>
            <b/>
            <sz val="9"/>
            <color indexed="81"/>
            <rFont val="Tahoma"/>
            <family val="2"/>
          </rPr>
          <t>Gavin Mudd:</t>
        </r>
        <r>
          <rPr>
            <sz val="9"/>
            <color indexed="81"/>
            <rFont val="Tahoma"/>
            <family val="2"/>
          </rPr>
          <t xml:space="preserve">
assumed</t>
        </r>
      </text>
    </comment>
    <comment ref="DL50" authorId="0" shapeId="0" xr:uid="{CAB59804-BE4B-454E-A1FF-97FDAB7D4058}">
      <text>
        <r>
          <rPr>
            <b/>
            <sz val="9"/>
            <color indexed="81"/>
            <rFont val="Tahoma"/>
            <family val="2"/>
          </rPr>
          <t>Gavin Mudd:</t>
        </r>
        <r>
          <rPr>
            <sz val="9"/>
            <color indexed="81"/>
            <rFont val="Tahoma"/>
            <family val="2"/>
          </rPr>
          <t xml:space="preserve">
assumed</t>
        </r>
      </text>
    </comment>
    <comment ref="DM50" authorId="0" shapeId="0" xr:uid="{AC084109-D8FE-48F1-B4F0-DF1B75EABF7C}">
      <text>
        <r>
          <rPr>
            <b/>
            <sz val="9"/>
            <color indexed="81"/>
            <rFont val="Tahoma"/>
            <family val="2"/>
          </rPr>
          <t>Gavin Mudd:</t>
        </r>
        <r>
          <rPr>
            <sz val="9"/>
            <color indexed="81"/>
            <rFont val="Tahoma"/>
            <family val="2"/>
          </rPr>
          <t xml:space="preserve">
assumed</t>
        </r>
      </text>
    </comment>
    <comment ref="U51" authorId="0" shapeId="0" xr:uid="{FCFB4CE7-4A46-4908-B6CC-032B0B02CA3B}">
      <text>
        <r>
          <rPr>
            <b/>
            <sz val="9"/>
            <color indexed="81"/>
            <rFont val="Tahoma"/>
            <family val="2"/>
          </rPr>
          <t>Gavin Mudd:</t>
        </r>
        <r>
          <rPr>
            <sz val="9"/>
            <color indexed="81"/>
            <rFont val="Tahoma"/>
            <family val="2"/>
          </rPr>
          <t xml:space="preserve">
assumed</t>
        </r>
      </text>
    </comment>
    <comment ref="W51" authorId="0" shapeId="0" xr:uid="{3E23FA1D-590D-43C0-9EED-4AB6C8EB7783}">
      <text>
        <r>
          <rPr>
            <b/>
            <sz val="9"/>
            <color indexed="81"/>
            <rFont val="Tahoma"/>
            <family val="2"/>
          </rPr>
          <t>Gavin Mudd:</t>
        </r>
        <r>
          <rPr>
            <sz val="9"/>
            <color indexed="81"/>
            <rFont val="Tahoma"/>
            <family val="2"/>
          </rPr>
          <t xml:space="preserve">
assumed</t>
        </r>
      </text>
    </comment>
    <comment ref="X51" authorId="0" shapeId="0" xr:uid="{0E7CD829-B845-40A7-B549-7E9DD1B904E1}">
      <text>
        <r>
          <rPr>
            <b/>
            <sz val="9"/>
            <color indexed="81"/>
            <rFont val="Tahoma"/>
            <family val="2"/>
          </rPr>
          <t>Gavin Mudd:</t>
        </r>
        <r>
          <rPr>
            <sz val="9"/>
            <color indexed="81"/>
            <rFont val="Tahoma"/>
            <family val="2"/>
          </rPr>
          <t xml:space="preserve">
assumed</t>
        </r>
      </text>
    </comment>
    <comment ref="Y51" authorId="0" shapeId="0" xr:uid="{EB233400-F1C1-4A9C-973A-2FDC3E3A17F2}">
      <text>
        <r>
          <rPr>
            <b/>
            <sz val="9"/>
            <color indexed="81"/>
            <rFont val="Tahoma"/>
            <family val="2"/>
          </rPr>
          <t>Gavin Mudd:</t>
        </r>
        <r>
          <rPr>
            <sz val="9"/>
            <color indexed="81"/>
            <rFont val="Tahoma"/>
            <family val="2"/>
          </rPr>
          <t xml:space="preserve">
assumed</t>
        </r>
      </text>
    </comment>
    <comment ref="AF51" authorId="0" shapeId="0" xr:uid="{F4E06E52-0E53-433C-A4D6-174AB9A57ED0}">
      <text>
        <r>
          <rPr>
            <b/>
            <sz val="9"/>
            <color indexed="81"/>
            <rFont val="Tahoma"/>
            <family val="2"/>
          </rPr>
          <t>Gavin Mudd:</t>
        </r>
        <r>
          <rPr>
            <sz val="9"/>
            <color indexed="81"/>
            <rFont val="Tahoma"/>
            <family val="2"/>
          </rPr>
          <t xml:space="preserve">
assumed</t>
        </r>
      </text>
    </comment>
    <comment ref="AG51" authorId="0" shapeId="0" xr:uid="{46D79F2B-2CA3-4646-9763-6C7A92DD5DE8}">
      <text>
        <r>
          <rPr>
            <b/>
            <sz val="9"/>
            <color indexed="81"/>
            <rFont val="Tahoma"/>
            <family val="2"/>
          </rPr>
          <t>Gavin Mudd:</t>
        </r>
        <r>
          <rPr>
            <sz val="9"/>
            <color indexed="81"/>
            <rFont val="Tahoma"/>
            <family val="2"/>
          </rPr>
          <t xml:space="preserve">
assumed</t>
        </r>
      </text>
    </comment>
    <comment ref="AK51" authorId="0" shapeId="0" xr:uid="{44C43712-3F9A-44C0-B34C-AD9469256788}">
      <text>
        <r>
          <rPr>
            <b/>
            <sz val="9"/>
            <color indexed="81"/>
            <rFont val="Tahoma"/>
            <family val="2"/>
          </rPr>
          <t>Gavin Mudd:</t>
        </r>
        <r>
          <rPr>
            <sz val="9"/>
            <color indexed="81"/>
            <rFont val="Tahoma"/>
            <family val="2"/>
          </rPr>
          <t xml:space="preserve">
assumed</t>
        </r>
      </text>
    </comment>
    <comment ref="AM51" authorId="0" shapeId="0" xr:uid="{09EEF176-8290-43AC-9D54-4DB7B660C86B}">
      <text>
        <r>
          <rPr>
            <b/>
            <sz val="9"/>
            <color indexed="81"/>
            <rFont val="Tahoma"/>
            <family val="2"/>
          </rPr>
          <t>Gavin Mudd:</t>
        </r>
        <r>
          <rPr>
            <sz val="9"/>
            <color indexed="81"/>
            <rFont val="Tahoma"/>
            <family val="2"/>
          </rPr>
          <t xml:space="preserve">
assumed</t>
        </r>
      </text>
    </comment>
    <comment ref="AO51" authorId="0" shapeId="0" xr:uid="{EC939F0F-DD8D-4713-B531-2A3B1D5A2934}">
      <text>
        <r>
          <rPr>
            <b/>
            <sz val="9"/>
            <color indexed="81"/>
            <rFont val="Tahoma"/>
            <family val="2"/>
          </rPr>
          <t>Gavin Mudd:</t>
        </r>
        <r>
          <rPr>
            <sz val="9"/>
            <color indexed="81"/>
            <rFont val="Tahoma"/>
            <family val="2"/>
          </rPr>
          <t xml:space="preserve">
assumed</t>
        </r>
      </text>
    </comment>
    <comment ref="AS51" authorId="0" shapeId="0" xr:uid="{20E59C38-30BA-45D7-8992-5F7E63D332B3}">
      <text>
        <r>
          <rPr>
            <b/>
            <sz val="9"/>
            <color indexed="81"/>
            <rFont val="Tahoma"/>
            <family val="2"/>
          </rPr>
          <t>Gavin Mudd:</t>
        </r>
        <r>
          <rPr>
            <sz val="9"/>
            <color indexed="81"/>
            <rFont val="Tahoma"/>
            <family val="2"/>
          </rPr>
          <t xml:space="preserve">
assumed</t>
        </r>
      </text>
    </comment>
    <comment ref="BA51" authorId="0" shapeId="0" xr:uid="{1DEDCF94-2039-4B63-89BB-91BCD602744E}">
      <text>
        <r>
          <rPr>
            <b/>
            <sz val="9"/>
            <color indexed="81"/>
            <rFont val="Tahoma"/>
            <family val="2"/>
          </rPr>
          <t>Gavin Mudd:</t>
        </r>
        <r>
          <rPr>
            <sz val="9"/>
            <color indexed="81"/>
            <rFont val="Tahoma"/>
            <family val="2"/>
          </rPr>
          <t xml:space="preserve">
assumed</t>
        </r>
      </text>
    </comment>
    <comment ref="BB51" authorId="0" shapeId="0" xr:uid="{75C53BEE-F294-4DE2-AFFE-F6C67D512581}">
      <text>
        <r>
          <rPr>
            <b/>
            <sz val="9"/>
            <color indexed="81"/>
            <rFont val="Tahoma"/>
            <family val="2"/>
          </rPr>
          <t>Gavin Mudd:</t>
        </r>
        <r>
          <rPr>
            <sz val="9"/>
            <color indexed="81"/>
            <rFont val="Tahoma"/>
            <family val="2"/>
          </rPr>
          <t xml:space="preserve">
assumed</t>
        </r>
      </text>
    </comment>
    <comment ref="CD51" authorId="0" shapeId="0" xr:uid="{205FFDE8-F21B-429C-B838-D4022A223678}">
      <text>
        <r>
          <rPr>
            <b/>
            <sz val="9"/>
            <color indexed="81"/>
            <rFont val="Tahoma"/>
            <family val="2"/>
          </rPr>
          <t>Gavin Mudd:</t>
        </r>
        <r>
          <rPr>
            <sz val="9"/>
            <color indexed="81"/>
            <rFont val="Tahoma"/>
            <family val="2"/>
          </rPr>
          <t xml:space="preserve">
assumed</t>
        </r>
      </text>
    </comment>
    <comment ref="CE51" authorId="0" shapeId="0" xr:uid="{F23778DF-D0C8-4704-85E5-15FA9E540EBF}">
      <text>
        <r>
          <rPr>
            <b/>
            <sz val="9"/>
            <color indexed="81"/>
            <rFont val="Tahoma"/>
            <family val="2"/>
          </rPr>
          <t>Gavin Mudd:</t>
        </r>
        <r>
          <rPr>
            <sz val="9"/>
            <color indexed="81"/>
            <rFont val="Tahoma"/>
            <family val="2"/>
          </rPr>
          <t xml:space="preserve">
assumed</t>
        </r>
      </text>
    </comment>
    <comment ref="CG51" authorId="0" shapeId="0" xr:uid="{F8A5DC0E-67F1-472D-8AD5-88FC58B29CBA}">
      <text>
        <r>
          <rPr>
            <b/>
            <sz val="9"/>
            <color indexed="81"/>
            <rFont val="Tahoma"/>
            <family val="2"/>
          </rPr>
          <t>Gavin Mudd:</t>
        </r>
        <r>
          <rPr>
            <sz val="9"/>
            <color indexed="81"/>
            <rFont val="Tahoma"/>
            <family val="2"/>
          </rPr>
          <t xml:space="preserve">
best estimate based on cumulative production 1891 to 1905 of 84.2 long tons</t>
        </r>
      </text>
    </comment>
    <comment ref="CH51" authorId="0" shapeId="0" xr:uid="{F99AFFEE-15F2-430A-B003-026DED2EDC07}">
      <text>
        <r>
          <rPr>
            <b/>
            <sz val="9"/>
            <color indexed="81"/>
            <rFont val="Tahoma"/>
            <family val="2"/>
          </rPr>
          <t>Gavin Mudd:</t>
        </r>
        <r>
          <rPr>
            <sz val="9"/>
            <color indexed="81"/>
            <rFont val="Tahoma"/>
            <family val="2"/>
          </rPr>
          <t xml:space="preserve">
best estimate</t>
        </r>
      </text>
    </comment>
    <comment ref="CJ51" authorId="0" shapeId="0" xr:uid="{212D7C8C-C403-4C22-8D5C-76A78EAAB930}">
      <text>
        <r>
          <rPr>
            <b/>
            <sz val="9"/>
            <color indexed="81"/>
            <rFont val="Tahoma"/>
            <family val="2"/>
          </rPr>
          <t>Gavin Mudd:</t>
        </r>
        <r>
          <rPr>
            <sz val="9"/>
            <color indexed="81"/>
            <rFont val="Tahoma"/>
            <family val="2"/>
          </rPr>
          <t xml:space="preserve">
assumed</t>
        </r>
      </text>
    </comment>
    <comment ref="CK51" authorId="0" shapeId="0" xr:uid="{A009DAEB-D68D-4F43-9C9F-780CCC3B9225}">
      <text>
        <r>
          <rPr>
            <b/>
            <sz val="9"/>
            <color indexed="81"/>
            <rFont val="Tahoma"/>
            <family val="2"/>
          </rPr>
          <t>Gavin Mudd:</t>
        </r>
        <r>
          <rPr>
            <sz val="9"/>
            <color indexed="81"/>
            <rFont val="Tahoma"/>
            <family val="2"/>
          </rPr>
          <t xml:space="preserve">
assumed</t>
        </r>
      </text>
    </comment>
    <comment ref="DL51" authorId="0" shapeId="0" xr:uid="{23CD86D6-AC75-4CAF-BC38-84527E7505EC}">
      <text>
        <r>
          <rPr>
            <b/>
            <sz val="9"/>
            <color indexed="81"/>
            <rFont val="Tahoma"/>
            <family val="2"/>
          </rPr>
          <t>Gavin Mudd:</t>
        </r>
        <r>
          <rPr>
            <sz val="9"/>
            <color indexed="81"/>
            <rFont val="Tahoma"/>
            <family val="2"/>
          </rPr>
          <t xml:space="preserve">
assumed</t>
        </r>
      </text>
    </comment>
    <comment ref="DM51" authorId="0" shapeId="0" xr:uid="{C27C7668-553E-4BFC-9EC7-A6D8D9A2749D}">
      <text>
        <r>
          <rPr>
            <b/>
            <sz val="9"/>
            <color indexed="81"/>
            <rFont val="Tahoma"/>
            <family val="2"/>
          </rPr>
          <t>Gavin Mudd:</t>
        </r>
        <r>
          <rPr>
            <sz val="9"/>
            <color indexed="81"/>
            <rFont val="Tahoma"/>
            <family val="2"/>
          </rPr>
          <t xml:space="preserve">
assumed</t>
        </r>
      </text>
    </comment>
    <comment ref="W52" authorId="0" shapeId="0" xr:uid="{F28DA929-F89B-4C19-9619-8535068F5C58}">
      <text>
        <r>
          <rPr>
            <b/>
            <sz val="9"/>
            <color indexed="81"/>
            <rFont val="Tahoma"/>
            <family val="2"/>
          </rPr>
          <t>Gavin Mudd:</t>
        </r>
        <r>
          <rPr>
            <sz val="9"/>
            <color indexed="81"/>
            <rFont val="Tahoma"/>
            <family val="2"/>
          </rPr>
          <t xml:space="preserve">
assumed</t>
        </r>
      </text>
    </comment>
    <comment ref="Y52" authorId="0" shapeId="0" xr:uid="{69DF9A7F-E1FD-49FB-87C6-2C95FC93F187}">
      <text>
        <r>
          <rPr>
            <b/>
            <sz val="9"/>
            <color indexed="81"/>
            <rFont val="Tahoma"/>
            <family val="2"/>
          </rPr>
          <t>Gavin Mudd:</t>
        </r>
        <r>
          <rPr>
            <sz val="9"/>
            <color indexed="81"/>
            <rFont val="Tahoma"/>
            <family val="2"/>
          </rPr>
          <t xml:space="preserve">
assumed</t>
        </r>
      </text>
    </comment>
    <comment ref="AA52" authorId="0" shapeId="0" xr:uid="{B799DEF0-9147-4498-B611-7C9B56A10D07}">
      <text>
        <r>
          <rPr>
            <b/>
            <sz val="9"/>
            <color indexed="81"/>
            <rFont val="Tahoma"/>
            <family val="2"/>
          </rPr>
          <t>Gavin Mudd:</t>
        </r>
        <r>
          <rPr>
            <sz val="9"/>
            <color indexed="81"/>
            <rFont val="Tahoma"/>
            <family val="2"/>
          </rPr>
          <t xml:space="preserve">
assumed</t>
        </r>
      </text>
    </comment>
    <comment ref="AC52" authorId="0" shapeId="0" xr:uid="{D3555AB5-D19C-429D-A402-7AE6A03E016D}">
      <text>
        <r>
          <rPr>
            <b/>
            <sz val="9"/>
            <color indexed="81"/>
            <rFont val="Tahoma"/>
            <family val="2"/>
          </rPr>
          <t>Gavin Mudd:</t>
        </r>
        <r>
          <rPr>
            <sz val="9"/>
            <color indexed="81"/>
            <rFont val="Tahoma"/>
            <family val="2"/>
          </rPr>
          <t xml:space="preserve">
assumed</t>
        </r>
      </text>
    </comment>
    <comment ref="AG52" authorId="0" shapeId="0" xr:uid="{D681054E-091B-4D35-B8FE-0436C74799EE}">
      <text>
        <r>
          <rPr>
            <b/>
            <sz val="9"/>
            <color indexed="81"/>
            <rFont val="Tahoma"/>
            <family val="2"/>
          </rPr>
          <t>Gavin Mudd:</t>
        </r>
        <r>
          <rPr>
            <sz val="9"/>
            <color indexed="81"/>
            <rFont val="Tahoma"/>
            <family val="2"/>
          </rPr>
          <t xml:space="preserve">
assumed</t>
        </r>
      </text>
    </comment>
    <comment ref="AJ52" authorId="0" shapeId="0" xr:uid="{ABE5EA2C-7F95-46FF-896D-4CD0435F465A}">
      <text>
        <r>
          <rPr>
            <b/>
            <sz val="9"/>
            <color indexed="81"/>
            <rFont val="Tahoma"/>
            <family val="2"/>
          </rPr>
          <t>Gavin Mudd:</t>
        </r>
        <r>
          <rPr>
            <sz val="9"/>
            <color indexed="81"/>
            <rFont val="Tahoma"/>
            <family val="2"/>
          </rPr>
          <t xml:space="preserve">
assumes 80% from Emmaville</t>
        </r>
      </text>
    </comment>
    <comment ref="AK52" authorId="0" shapeId="0" xr:uid="{755D6BEF-D28E-451C-949F-8C4BA60731C9}">
      <text>
        <r>
          <rPr>
            <b/>
            <sz val="9"/>
            <color indexed="81"/>
            <rFont val="Tahoma"/>
            <family val="2"/>
          </rPr>
          <t>Gavin Mudd:</t>
        </r>
        <r>
          <rPr>
            <sz val="9"/>
            <color indexed="81"/>
            <rFont val="Tahoma"/>
            <family val="2"/>
          </rPr>
          <t xml:space="preserve">
assumed</t>
        </r>
      </text>
    </comment>
    <comment ref="AL52" authorId="0" shapeId="0" xr:uid="{DBA14E44-B668-49E6-A49A-C8C5688AEF21}">
      <text>
        <r>
          <rPr>
            <b/>
            <sz val="9"/>
            <color indexed="81"/>
            <rFont val="Tahoma"/>
            <family val="2"/>
          </rPr>
          <t>Gavin Mudd:</t>
        </r>
        <r>
          <rPr>
            <sz val="9"/>
            <color indexed="81"/>
            <rFont val="Tahoma"/>
            <family val="2"/>
          </rPr>
          <t xml:space="preserve">
assumes 20% from Deepwater</t>
        </r>
      </text>
    </comment>
    <comment ref="AM52" authorId="0" shapeId="0" xr:uid="{51317CC4-6701-475A-B351-99C24F2BF3FC}">
      <text>
        <r>
          <rPr>
            <b/>
            <sz val="9"/>
            <color indexed="81"/>
            <rFont val="Tahoma"/>
            <family val="2"/>
          </rPr>
          <t>Gavin Mudd:</t>
        </r>
        <r>
          <rPr>
            <sz val="9"/>
            <color indexed="81"/>
            <rFont val="Tahoma"/>
            <family val="2"/>
          </rPr>
          <t xml:space="preserve">
assumed</t>
        </r>
      </text>
    </comment>
    <comment ref="AO52" authorId="0" shapeId="0" xr:uid="{03A2E98E-77F4-4C90-B00C-BE21FBB7733B}">
      <text>
        <r>
          <rPr>
            <b/>
            <sz val="9"/>
            <color indexed="81"/>
            <rFont val="Tahoma"/>
            <family val="2"/>
          </rPr>
          <t>Gavin Mudd:</t>
        </r>
        <r>
          <rPr>
            <sz val="9"/>
            <color indexed="81"/>
            <rFont val="Tahoma"/>
            <family val="2"/>
          </rPr>
          <t xml:space="preserve">
assumed</t>
        </r>
      </text>
    </comment>
    <comment ref="AS52" authorId="0" shapeId="0" xr:uid="{0C4B028F-2F7F-4053-BE90-F6E05E13F88D}">
      <text>
        <r>
          <rPr>
            <b/>
            <sz val="9"/>
            <color indexed="81"/>
            <rFont val="Tahoma"/>
            <family val="2"/>
          </rPr>
          <t>Gavin Mudd:</t>
        </r>
        <r>
          <rPr>
            <sz val="9"/>
            <color indexed="81"/>
            <rFont val="Tahoma"/>
            <family val="2"/>
          </rPr>
          <t xml:space="preserve">
assumed</t>
        </r>
      </text>
    </comment>
    <comment ref="BA52" authorId="0" shapeId="0" xr:uid="{E9EDF530-D7A6-4CB8-8A76-F94948D4AAD2}">
      <text>
        <r>
          <rPr>
            <b/>
            <sz val="9"/>
            <color indexed="81"/>
            <rFont val="Tahoma"/>
            <family val="2"/>
          </rPr>
          <t>Gavin Mudd:</t>
        </r>
        <r>
          <rPr>
            <sz val="9"/>
            <color indexed="81"/>
            <rFont val="Tahoma"/>
            <family val="2"/>
          </rPr>
          <t xml:space="preserve">
assumed</t>
        </r>
      </text>
    </comment>
    <comment ref="BB52" authorId="0" shapeId="0" xr:uid="{E6B51BA7-1861-4E02-80E3-B445DB986284}">
      <text>
        <r>
          <rPr>
            <b/>
            <sz val="9"/>
            <color indexed="81"/>
            <rFont val="Tahoma"/>
            <family val="2"/>
          </rPr>
          <t>Gavin Mudd:</t>
        </r>
        <r>
          <rPr>
            <sz val="9"/>
            <color indexed="81"/>
            <rFont val="Tahoma"/>
            <family val="2"/>
          </rPr>
          <t xml:space="preserve">
assumed</t>
        </r>
      </text>
    </comment>
    <comment ref="CD52" authorId="0" shapeId="0" xr:uid="{6541D7D6-F882-4699-8BF6-2157D26E9F5C}">
      <text>
        <r>
          <rPr>
            <b/>
            <sz val="9"/>
            <color indexed="81"/>
            <rFont val="Tahoma"/>
            <family val="2"/>
          </rPr>
          <t>Gavin Mudd:</t>
        </r>
        <r>
          <rPr>
            <sz val="9"/>
            <color indexed="81"/>
            <rFont val="Tahoma"/>
            <family val="2"/>
          </rPr>
          <t xml:space="preserve">
assumed</t>
        </r>
      </text>
    </comment>
    <comment ref="CE52" authorId="0" shapeId="0" xr:uid="{8D715D98-530C-4D10-900D-38CD47DE1B85}">
      <text>
        <r>
          <rPr>
            <b/>
            <sz val="9"/>
            <color indexed="81"/>
            <rFont val="Tahoma"/>
            <family val="2"/>
          </rPr>
          <t>Gavin Mudd:</t>
        </r>
        <r>
          <rPr>
            <sz val="9"/>
            <color indexed="81"/>
            <rFont val="Tahoma"/>
            <family val="2"/>
          </rPr>
          <t xml:space="preserve">
assumed</t>
        </r>
      </text>
    </comment>
    <comment ref="CG52" authorId="0" shapeId="0" xr:uid="{FC82AE16-DCAE-455C-A913-47F0FDB28CF3}">
      <text>
        <r>
          <rPr>
            <b/>
            <sz val="9"/>
            <color indexed="81"/>
            <rFont val="Tahoma"/>
            <family val="2"/>
          </rPr>
          <t>Gavin Mudd:</t>
        </r>
        <r>
          <rPr>
            <sz val="9"/>
            <color indexed="81"/>
            <rFont val="Tahoma"/>
            <family val="2"/>
          </rPr>
          <t xml:space="preserve">
best estimate based on cumulative production 1891 to 1905 of 84.2 long tons</t>
        </r>
      </text>
    </comment>
    <comment ref="CH52" authorId="0" shapeId="0" xr:uid="{57149984-2A27-4D87-9BD2-9ABE51FAB1A5}">
      <text>
        <r>
          <rPr>
            <b/>
            <sz val="9"/>
            <color indexed="81"/>
            <rFont val="Tahoma"/>
            <family val="2"/>
          </rPr>
          <t>Gavin Mudd:</t>
        </r>
        <r>
          <rPr>
            <sz val="9"/>
            <color indexed="81"/>
            <rFont val="Tahoma"/>
            <family val="2"/>
          </rPr>
          <t xml:space="preserve">
best estimate</t>
        </r>
      </text>
    </comment>
    <comment ref="CJ52" authorId="0" shapeId="0" xr:uid="{EAA67D08-C702-4379-830F-CA0F3565ED60}">
      <text>
        <r>
          <rPr>
            <b/>
            <sz val="9"/>
            <color indexed="81"/>
            <rFont val="Tahoma"/>
            <family val="2"/>
          </rPr>
          <t>Gavin Mudd:</t>
        </r>
        <r>
          <rPr>
            <sz val="9"/>
            <color indexed="81"/>
            <rFont val="Tahoma"/>
            <family val="2"/>
          </rPr>
          <t xml:space="preserve">
assumed</t>
        </r>
      </text>
    </comment>
    <comment ref="CK52" authorId="0" shapeId="0" xr:uid="{8D3DDB93-8755-496A-B577-DD57E650C289}">
      <text>
        <r>
          <rPr>
            <b/>
            <sz val="9"/>
            <color indexed="81"/>
            <rFont val="Tahoma"/>
            <family val="2"/>
          </rPr>
          <t>Gavin Mudd:</t>
        </r>
        <r>
          <rPr>
            <sz val="9"/>
            <color indexed="81"/>
            <rFont val="Tahoma"/>
            <family val="2"/>
          </rPr>
          <t xml:space="preserve">
assumed</t>
        </r>
      </text>
    </comment>
    <comment ref="CO52" authorId="0" shapeId="0" xr:uid="{8BE22709-858A-4CB7-BF97-CEA952807D2B}">
      <text>
        <r>
          <rPr>
            <b/>
            <sz val="9"/>
            <color indexed="81"/>
            <rFont val="Tahoma"/>
            <family val="2"/>
          </rPr>
          <t>Gavin Mudd:</t>
        </r>
        <r>
          <rPr>
            <sz val="9"/>
            <color indexed="81"/>
            <rFont val="Tahoma"/>
            <family val="2"/>
          </rPr>
          <t xml:space="preserve">
assumed</t>
        </r>
      </text>
    </comment>
    <comment ref="CP52" authorId="0" shapeId="0" xr:uid="{C7E0D3AC-7C82-4AE4-92C3-EE189ACDC75B}">
      <text>
        <r>
          <rPr>
            <b/>
            <sz val="9"/>
            <color indexed="81"/>
            <rFont val="Tahoma"/>
            <family val="2"/>
          </rPr>
          <t>Gavin Mudd:</t>
        </r>
        <r>
          <rPr>
            <sz val="9"/>
            <color indexed="81"/>
            <rFont val="Tahoma"/>
            <family val="2"/>
          </rPr>
          <t xml:space="preserve">
assumed</t>
        </r>
      </text>
    </comment>
    <comment ref="K53" authorId="0" shapeId="0" xr:uid="{B254AB5F-7AE4-424C-876D-32C61D025E1A}">
      <text>
        <r>
          <rPr>
            <b/>
            <sz val="9"/>
            <color indexed="81"/>
            <rFont val="Tahoma"/>
            <family val="2"/>
          </rPr>
          <t>Gavin Mudd:</t>
        </r>
        <r>
          <rPr>
            <sz val="9"/>
            <color indexed="81"/>
            <rFont val="Tahoma"/>
            <family val="2"/>
          </rPr>
          <t xml:space="preserve">
assumed</t>
        </r>
      </text>
    </comment>
    <comment ref="W53" authorId="0" shapeId="0" xr:uid="{D9626913-5510-4734-A10E-5865A0EC665A}">
      <text>
        <r>
          <rPr>
            <b/>
            <sz val="9"/>
            <color indexed="81"/>
            <rFont val="Tahoma"/>
            <family val="2"/>
          </rPr>
          <t>Gavin Mudd:</t>
        </r>
        <r>
          <rPr>
            <sz val="9"/>
            <color indexed="81"/>
            <rFont val="Tahoma"/>
            <family val="2"/>
          </rPr>
          <t xml:space="preserve">
assumed</t>
        </r>
      </text>
    </comment>
    <comment ref="Y53" authorId="0" shapeId="0" xr:uid="{BF0F1A33-60ED-40FE-9238-7FAEAF876EB9}">
      <text>
        <r>
          <rPr>
            <b/>
            <sz val="9"/>
            <color indexed="81"/>
            <rFont val="Tahoma"/>
            <family val="2"/>
          </rPr>
          <t>Gavin Mudd:</t>
        </r>
        <r>
          <rPr>
            <sz val="9"/>
            <color indexed="81"/>
            <rFont val="Tahoma"/>
            <family val="2"/>
          </rPr>
          <t xml:space="preserve">
assumed</t>
        </r>
      </text>
    </comment>
    <comment ref="AC53" authorId="0" shapeId="0" xr:uid="{FAEDD733-93EA-4F79-9040-30C4ED34D324}">
      <text>
        <r>
          <rPr>
            <b/>
            <sz val="9"/>
            <color indexed="81"/>
            <rFont val="Tahoma"/>
            <family val="2"/>
          </rPr>
          <t>Gavin Mudd:</t>
        </r>
        <r>
          <rPr>
            <sz val="9"/>
            <color indexed="81"/>
            <rFont val="Tahoma"/>
            <family val="2"/>
          </rPr>
          <t xml:space="preserve">
assumed</t>
        </r>
      </text>
    </comment>
    <comment ref="AE53" authorId="0" shapeId="0" xr:uid="{F4E7A84E-923C-4596-90DE-E95FBF66F83D}">
      <text>
        <r>
          <rPr>
            <b/>
            <sz val="9"/>
            <color indexed="81"/>
            <rFont val="Tahoma"/>
            <family val="2"/>
          </rPr>
          <t>Gavin Mudd:</t>
        </r>
        <r>
          <rPr>
            <sz val="9"/>
            <color indexed="81"/>
            <rFont val="Tahoma"/>
            <family val="2"/>
          </rPr>
          <t xml:space="preserve">
assumed</t>
        </r>
      </text>
    </comment>
    <comment ref="AG53" authorId="0" shapeId="0" xr:uid="{F4364B19-CF17-4859-82D8-EA546C5CD506}">
      <text>
        <r>
          <rPr>
            <b/>
            <sz val="9"/>
            <color indexed="81"/>
            <rFont val="Tahoma"/>
            <family val="2"/>
          </rPr>
          <t>Gavin Mudd:</t>
        </r>
        <r>
          <rPr>
            <sz val="9"/>
            <color indexed="81"/>
            <rFont val="Tahoma"/>
            <family val="2"/>
          </rPr>
          <t xml:space="preserve">
assumed</t>
        </r>
      </text>
    </comment>
    <comment ref="AH53" authorId="0" shapeId="0" xr:uid="{9306BDF6-2ACC-4B3B-AE52-6505064CA37A}">
      <text>
        <r>
          <rPr>
            <b/>
            <sz val="9"/>
            <color indexed="81"/>
            <rFont val="Tahoma"/>
            <family val="2"/>
          </rPr>
          <t>Gavin Mudd:</t>
        </r>
        <r>
          <rPr>
            <sz val="9"/>
            <color indexed="81"/>
            <rFont val="Tahoma"/>
            <family val="2"/>
          </rPr>
          <t xml:space="preserve">
Bundarra</t>
        </r>
      </text>
    </comment>
    <comment ref="AI53" authorId="0" shapeId="0" xr:uid="{FEBB9F02-5DED-4579-91FB-35800D9D1E0D}">
      <text>
        <r>
          <rPr>
            <b/>
            <sz val="9"/>
            <color indexed="81"/>
            <rFont val="Tahoma"/>
            <family val="2"/>
          </rPr>
          <t>Gavin Mudd:</t>
        </r>
        <r>
          <rPr>
            <sz val="9"/>
            <color indexed="81"/>
            <rFont val="Tahoma"/>
            <family val="2"/>
          </rPr>
          <t xml:space="preserve">
assumed</t>
        </r>
      </text>
    </comment>
    <comment ref="AK53" authorId="0" shapeId="0" xr:uid="{BF15131C-7E72-4078-B698-C3E037A56EDA}">
      <text>
        <r>
          <rPr>
            <b/>
            <sz val="9"/>
            <color indexed="81"/>
            <rFont val="Tahoma"/>
            <family val="2"/>
          </rPr>
          <t>Gavin Mudd:</t>
        </r>
        <r>
          <rPr>
            <sz val="9"/>
            <color indexed="81"/>
            <rFont val="Tahoma"/>
            <family val="2"/>
          </rPr>
          <t xml:space="preserve">
assumed</t>
        </r>
      </text>
    </comment>
    <comment ref="AM53" authorId="0" shapeId="0" xr:uid="{F7887CCB-1F0D-4FDE-97ED-0158F05D7BCE}">
      <text>
        <r>
          <rPr>
            <b/>
            <sz val="9"/>
            <color indexed="81"/>
            <rFont val="Tahoma"/>
            <family val="2"/>
          </rPr>
          <t>Gavin Mudd:</t>
        </r>
        <r>
          <rPr>
            <sz val="9"/>
            <color indexed="81"/>
            <rFont val="Tahoma"/>
            <family val="2"/>
          </rPr>
          <t xml:space="preserve">
assumed</t>
        </r>
      </text>
    </comment>
    <comment ref="AO53" authorId="0" shapeId="0" xr:uid="{2885C5C3-A0B2-4378-ACB9-1BAF7703F252}">
      <text>
        <r>
          <rPr>
            <b/>
            <sz val="9"/>
            <color indexed="81"/>
            <rFont val="Tahoma"/>
            <family val="2"/>
          </rPr>
          <t>Gavin Mudd:</t>
        </r>
        <r>
          <rPr>
            <sz val="9"/>
            <color indexed="81"/>
            <rFont val="Tahoma"/>
            <family val="2"/>
          </rPr>
          <t xml:space="preserve">
assumed</t>
        </r>
      </text>
    </comment>
    <comment ref="AS53" authorId="0" shapeId="0" xr:uid="{11811DE2-20A0-4E43-B311-9882EC0CA64A}">
      <text>
        <r>
          <rPr>
            <b/>
            <sz val="9"/>
            <color indexed="81"/>
            <rFont val="Tahoma"/>
            <family val="2"/>
          </rPr>
          <t>Gavin Mudd:</t>
        </r>
        <r>
          <rPr>
            <sz val="9"/>
            <color indexed="81"/>
            <rFont val="Tahoma"/>
            <family val="2"/>
          </rPr>
          <t xml:space="preserve">
assumed</t>
        </r>
      </text>
    </comment>
    <comment ref="BA53" authorId="0" shapeId="0" xr:uid="{A7737DCA-E01D-4F3C-95D5-BA0645358100}">
      <text>
        <r>
          <rPr>
            <b/>
            <sz val="9"/>
            <color indexed="81"/>
            <rFont val="Tahoma"/>
            <family val="2"/>
          </rPr>
          <t>Gavin Mudd:</t>
        </r>
        <r>
          <rPr>
            <sz val="9"/>
            <color indexed="81"/>
            <rFont val="Tahoma"/>
            <family val="2"/>
          </rPr>
          <t xml:space="preserve">
assumed</t>
        </r>
      </text>
    </comment>
    <comment ref="BB53" authorId="0" shapeId="0" xr:uid="{A180B558-4FA2-454A-ADE6-3A85B4BA20A8}">
      <text>
        <r>
          <rPr>
            <b/>
            <sz val="9"/>
            <color indexed="81"/>
            <rFont val="Tahoma"/>
            <family val="2"/>
          </rPr>
          <t>Gavin Mudd:</t>
        </r>
        <r>
          <rPr>
            <sz val="9"/>
            <color indexed="81"/>
            <rFont val="Tahoma"/>
            <family val="2"/>
          </rPr>
          <t xml:space="preserve">
assumed</t>
        </r>
      </text>
    </comment>
    <comment ref="CD53" authorId="0" shapeId="0" xr:uid="{03DA639C-F1DA-47A0-AC0B-1811702DEF75}">
      <text>
        <r>
          <rPr>
            <b/>
            <sz val="9"/>
            <color indexed="81"/>
            <rFont val="Tahoma"/>
            <family val="2"/>
          </rPr>
          <t>Gavin Mudd:</t>
        </r>
        <r>
          <rPr>
            <sz val="9"/>
            <color indexed="81"/>
            <rFont val="Tahoma"/>
            <family val="2"/>
          </rPr>
          <t xml:space="preserve">
assumed</t>
        </r>
      </text>
    </comment>
    <comment ref="CE53" authorId="0" shapeId="0" xr:uid="{422A622F-198B-43AD-820D-8D2AC3AD8CB3}">
      <text>
        <r>
          <rPr>
            <b/>
            <sz val="9"/>
            <color indexed="81"/>
            <rFont val="Tahoma"/>
            <family val="2"/>
          </rPr>
          <t>Gavin Mudd:</t>
        </r>
        <r>
          <rPr>
            <sz val="9"/>
            <color indexed="81"/>
            <rFont val="Tahoma"/>
            <family val="2"/>
          </rPr>
          <t xml:space="preserve">
assumed</t>
        </r>
      </text>
    </comment>
    <comment ref="CG53" authorId="0" shapeId="0" xr:uid="{22D1584B-EC11-49AA-BAED-F95ED637EFFD}">
      <text>
        <r>
          <rPr>
            <b/>
            <sz val="9"/>
            <color indexed="81"/>
            <rFont val="Tahoma"/>
            <family val="2"/>
          </rPr>
          <t>Gavin Mudd:</t>
        </r>
        <r>
          <rPr>
            <sz val="9"/>
            <color indexed="81"/>
            <rFont val="Tahoma"/>
            <family val="2"/>
          </rPr>
          <t xml:space="preserve">
best estimate based on cumulative production 1891 to 1905 of 84.2 long tons</t>
        </r>
      </text>
    </comment>
    <comment ref="CH53" authorId="0" shapeId="0" xr:uid="{360CCA70-F19C-4F31-A3CD-D3F452328B91}">
      <text>
        <r>
          <rPr>
            <b/>
            <sz val="9"/>
            <color indexed="81"/>
            <rFont val="Tahoma"/>
            <family val="2"/>
          </rPr>
          <t>Gavin Mudd:</t>
        </r>
        <r>
          <rPr>
            <sz val="9"/>
            <color indexed="81"/>
            <rFont val="Tahoma"/>
            <family val="2"/>
          </rPr>
          <t xml:space="preserve">
best estimate</t>
        </r>
      </text>
    </comment>
    <comment ref="CJ53" authorId="0" shapeId="0" xr:uid="{E907170E-979F-4097-9136-96624F9E6415}">
      <text>
        <r>
          <rPr>
            <b/>
            <sz val="9"/>
            <color indexed="81"/>
            <rFont val="Tahoma"/>
            <family val="2"/>
          </rPr>
          <t>Gavin Mudd:</t>
        </r>
        <r>
          <rPr>
            <sz val="9"/>
            <color indexed="81"/>
            <rFont val="Tahoma"/>
            <family val="2"/>
          </rPr>
          <t xml:space="preserve">
assumed</t>
        </r>
      </text>
    </comment>
    <comment ref="CK53" authorId="0" shapeId="0" xr:uid="{F8C5BDD1-A120-4BD9-A7D5-11D0DA6F4F60}">
      <text>
        <r>
          <rPr>
            <b/>
            <sz val="9"/>
            <color indexed="81"/>
            <rFont val="Tahoma"/>
            <family val="2"/>
          </rPr>
          <t>Gavin Mudd:</t>
        </r>
        <r>
          <rPr>
            <sz val="9"/>
            <color indexed="81"/>
            <rFont val="Tahoma"/>
            <family val="2"/>
          </rPr>
          <t xml:space="preserve">
assumed</t>
        </r>
      </text>
    </comment>
    <comment ref="CO53" authorId="0" shapeId="0" xr:uid="{E9A49DF2-7ADC-4DC9-8D1E-DF1D4EB4A509}">
      <text>
        <r>
          <rPr>
            <b/>
            <sz val="9"/>
            <color indexed="81"/>
            <rFont val="Tahoma"/>
            <family val="2"/>
          </rPr>
          <t>Gavin Mudd:</t>
        </r>
        <r>
          <rPr>
            <sz val="9"/>
            <color indexed="81"/>
            <rFont val="Tahoma"/>
            <family val="2"/>
          </rPr>
          <t xml:space="preserve">
assumed</t>
        </r>
      </text>
    </comment>
    <comment ref="CP53" authorId="0" shapeId="0" xr:uid="{7ED4BD57-5F22-4003-B0CB-F7DE00468345}">
      <text>
        <r>
          <rPr>
            <b/>
            <sz val="9"/>
            <color indexed="81"/>
            <rFont val="Tahoma"/>
            <family val="2"/>
          </rPr>
          <t>Gavin Mudd:</t>
        </r>
        <r>
          <rPr>
            <sz val="9"/>
            <color indexed="81"/>
            <rFont val="Tahoma"/>
            <family val="2"/>
          </rPr>
          <t xml:space="preserve">
assumed</t>
        </r>
      </text>
    </comment>
    <comment ref="DL53" authorId="0" shapeId="0" xr:uid="{640B4737-3E6E-4C99-A7DB-E5194DEFEFD2}">
      <text>
        <r>
          <rPr>
            <b/>
            <sz val="9"/>
            <color indexed="81"/>
            <rFont val="Tahoma"/>
            <family val="2"/>
          </rPr>
          <t>Gavin Mudd:</t>
        </r>
        <r>
          <rPr>
            <sz val="9"/>
            <color indexed="81"/>
            <rFont val="Tahoma"/>
            <family val="2"/>
          </rPr>
          <t xml:space="preserve">
assumed</t>
        </r>
      </text>
    </comment>
    <comment ref="DM53" authorId="0" shapeId="0" xr:uid="{274C6205-854C-4AB8-B938-076B62C4298D}">
      <text>
        <r>
          <rPr>
            <b/>
            <sz val="9"/>
            <color indexed="81"/>
            <rFont val="Tahoma"/>
            <family val="2"/>
          </rPr>
          <t>Gavin Mudd:</t>
        </r>
        <r>
          <rPr>
            <sz val="9"/>
            <color indexed="81"/>
            <rFont val="Tahoma"/>
            <family val="2"/>
          </rPr>
          <t xml:space="preserve">
assumed</t>
        </r>
      </text>
    </comment>
    <comment ref="B54" authorId="0" shapeId="0" xr:uid="{5664A9D9-7860-487B-B1BF-AA43CAF0BF60}">
      <text>
        <r>
          <rPr>
            <b/>
            <sz val="9"/>
            <color indexed="81"/>
            <rFont val="Tahoma"/>
            <family val="2"/>
          </rPr>
          <t>Gavin Mudd:</t>
        </r>
        <r>
          <rPr>
            <sz val="9"/>
            <color indexed="81"/>
            <rFont val="Tahoma"/>
            <family val="2"/>
          </rPr>
          <t xml:space="preserve">
Fifield</t>
        </r>
      </text>
    </comment>
    <comment ref="C54" authorId="0" shapeId="0" xr:uid="{21E81764-B9B2-4A0E-8EF6-6A4E2CC5A3FC}">
      <text>
        <r>
          <rPr>
            <b/>
            <sz val="9"/>
            <color indexed="81"/>
            <rFont val="Tahoma"/>
            <family val="2"/>
          </rPr>
          <t>Gavin Mudd:</t>
        </r>
        <r>
          <rPr>
            <sz val="9"/>
            <color indexed="81"/>
            <rFont val="Tahoma"/>
            <family val="2"/>
          </rPr>
          <t xml:space="preserve">
assumed</t>
        </r>
      </text>
    </comment>
    <comment ref="K54" authorId="0" shapeId="0" xr:uid="{BFBE22AC-B3B9-4090-829D-350D1CDAE1C5}">
      <text>
        <r>
          <rPr>
            <b/>
            <sz val="9"/>
            <color indexed="81"/>
            <rFont val="Tahoma"/>
            <family val="2"/>
          </rPr>
          <t>Gavin Mudd:</t>
        </r>
        <r>
          <rPr>
            <sz val="9"/>
            <color indexed="81"/>
            <rFont val="Tahoma"/>
            <family val="2"/>
          </rPr>
          <t xml:space="preserve">
assumed</t>
        </r>
      </text>
    </comment>
    <comment ref="W54" authorId="0" shapeId="0" xr:uid="{BEA549C5-72BD-426B-9354-F8271A171892}">
      <text>
        <r>
          <rPr>
            <b/>
            <sz val="9"/>
            <color indexed="81"/>
            <rFont val="Tahoma"/>
            <family val="2"/>
          </rPr>
          <t>Gavin Mudd:</t>
        </r>
        <r>
          <rPr>
            <sz val="9"/>
            <color indexed="81"/>
            <rFont val="Tahoma"/>
            <family val="2"/>
          </rPr>
          <t xml:space="preserve">
assumed</t>
        </r>
      </text>
    </comment>
    <comment ref="Y54" authorId="0" shapeId="0" xr:uid="{9144D597-EA6F-4C9D-87BF-A2C9DA298742}">
      <text>
        <r>
          <rPr>
            <b/>
            <sz val="9"/>
            <color indexed="81"/>
            <rFont val="Tahoma"/>
            <family val="2"/>
          </rPr>
          <t>Gavin Mudd:</t>
        </r>
        <r>
          <rPr>
            <sz val="9"/>
            <color indexed="81"/>
            <rFont val="Tahoma"/>
            <family val="2"/>
          </rPr>
          <t xml:space="preserve">
assumed</t>
        </r>
      </text>
    </comment>
    <comment ref="AC54" authorId="0" shapeId="0" xr:uid="{CDFA6AEE-B9D3-476E-B32C-39A5D74A028E}">
      <text>
        <r>
          <rPr>
            <b/>
            <sz val="9"/>
            <color indexed="81"/>
            <rFont val="Tahoma"/>
            <family val="2"/>
          </rPr>
          <t>Gavin Mudd:</t>
        </r>
        <r>
          <rPr>
            <sz val="9"/>
            <color indexed="81"/>
            <rFont val="Tahoma"/>
            <family val="2"/>
          </rPr>
          <t xml:space="preserve">
assumed</t>
        </r>
      </text>
    </comment>
    <comment ref="AG54" authorId="0" shapeId="0" xr:uid="{992378A4-D6EB-4BFC-BBB7-2F9BB2AC26C5}">
      <text>
        <r>
          <rPr>
            <b/>
            <sz val="9"/>
            <color indexed="81"/>
            <rFont val="Tahoma"/>
            <family val="2"/>
          </rPr>
          <t>Gavin Mudd:</t>
        </r>
        <r>
          <rPr>
            <sz val="9"/>
            <color indexed="81"/>
            <rFont val="Tahoma"/>
            <family val="2"/>
          </rPr>
          <t xml:space="preserve">
assumed</t>
        </r>
      </text>
    </comment>
    <comment ref="AH54" authorId="0" shapeId="0" xr:uid="{585B01FB-AE68-4BD5-8913-64E1D143BDBA}">
      <text>
        <r>
          <rPr>
            <b/>
            <sz val="9"/>
            <color indexed="81"/>
            <rFont val="Tahoma"/>
            <family val="2"/>
          </rPr>
          <t>Gavin Mudd:</t>
        </r>
        <r>
          <rPr>
            <sz val="9"/>
            <color indexed="81"/>
            <rFont val="Tahoma"/>
            <family val="2"/>
          </rPr>
          <t xml:space="preserve">
Bundarra</t>
        </r>
      </text>
    </comment>
    <comment ref="AI54" authorId="0" shapeId="0" xr:uid="{234CF953-7CE9-440F-A379-E629931D0756}">
      <text>
        <r>
          <rPr>
            <b/>
            <sz val="9"/>
            <color indexed="81"/>
            <rFont val="Tahoma"/>
            <family val="2"/>
          </rPr>
          <t>Gavin Mudd:</t>
        </r>
        <r>
          <rPr>
            <sz val="9"/>
            <color indexed="81"/>
            <rFont val="Tahoma"/>
            <family val="2"/>
          </rPr>
          <t xml:space="preserve">
assumed</t>
        </r>
      </text>
    </comment>
    <comment ref="AK54" authorId="0" shapeId="0" xr:uid="{71B042D0-182C-4062-A2FB-8829898892CE}">
      <text>
        <r>
          <rPr>
            <b/>
            <sz val="9"/>
            <color indexed="81"/>
            <rFont val="Tahoma"/>
            <family val="2"/>
          </rPr>
          <t>Gavin Mudd:</t>
        </r>
        <r>
          <rPr>
            <sz val="9"/>
            <color indexed="81"/>
            <rFont val="Tahoma"/>
            <family val="2"/>
          </rPr>
          <t xml:space="preserve">
assumed</t>
        </r>
      </text>
    </comment>
    <comment ref="AM54" authorId="0" shapeId="0" xr:uid="{116FD992-11E7-4A8B-88BD-302CCE7C91A1}">
      <text>
        <r>
          <rPr>
            <b/>
            <sz val="9"/>
            <color indexed="81"/>
            <rFont val="Tahoma"/>
            <family val="2"/>
          </rPr>
          <t>Gavin Mudd:</t>
        </r>
        <r>
          <rPr>
            <sz val="9"/>
            <color indexed="81"/>
            <rFont val="Tahoma"/>
            <family val="2"/>
          </rPr>
          <t xml:space="preserve">
assumed</t>
        </r>
      </text>
    </comment>
    <comment ref="AO54" authorId="0" shapeId="0" xr:uid="{A6A6060C-D662-43A5-AEB9-80E376B298BB}">
      <text>
        <r>
          <rPr>
            <b/>
            <sz val="9"/>
            <color indexed="81"/>
            <rFont val="Tahoma"/>
            <family val="2"/>
          </rPr>
          <t>Gavin Mudd:</t>
        </r>
        <r>
          <rPr>
            <sz val="9"/>
            <color indexed="81"/>
            <rFont val="Tahoma"/>
            <family val="2"/>
          </rPr>
          <t xml:space="preserve">
assumed</t>
        </r>
      </text>
    </comment>
    <comment ref="AS54" authorId="0" shapeId="0" xr:uid="{FCBA2D54-E6AD-4D3E-BAFB-B759515A1638}">
      <text>
        <r>
          <rPr>
            <b/>
            <sz val="9"/>
            <color indexed="81"/>
            <rFont val="Tahoma"/>
            <family val="2"/>
          </rPr>
          <t>Gavin Mudd:</t>
        </r>
        <r>
          <rPr>
            <sz val="9"/>
            <color indexed="81"/>
            <rFont val="Tahoma"/>
            <family val="2"/>
          </rPr>
          <t xml:space="preserve">
assumed</t>
        </r>
      </text>
    </comment>
    <comment ref="BA54" authorId="0" shapeId="0" xr:uid="{7E6FA5B0-AE9D-4538-A071-0057B9CF579C}">
      <text>
        <r>
          <rPr>
            <b/>
            <sz val="9"/>
            <color indexed="81"/>
            <rFont val="Tahoma"/>
            <family val="2"/>
          </rPr>
          <t>Gavin Mudd:</t>
        </r>
        <r>
          <rPr>
            <sz val="9"/>
            <color indexed="81"/>
            <rFont val="Tahoma"/>
            <family val="2"/>
          </rPr>
          <t xml:space="preserve">
assumed</t>
        </r>
      </text>
    </comment>
    <comment ref="BB54" authorId="0" shapeId="0" xr:uid="{31C75109-BB24-4546-B94D-3F00DBC26AA9}">
      <text>
        <r>
          <rPr>
            <b/>
            <sz val="9"/>
            <color indexed="81"/>
            <rFont val="Tahoma"/>
            <family val="2"/>
          </rPr>
          <t>Gavin Mudd:</t>
        </r>
        <r>
          <rPr>
            <sz val="9"/>
            <color indexed="81"/>
            <rFont val="Tahoma"/>
            <family val="2"/>
          </rPr>
          <t xml:space="preserve">
assumed</t>
        </r>
      </text>
    </comment>
    <comment ref="CD54" authorId="0" shapeId="0" xr:uid="{9E17C298-C42D-4FA7-B632-E322FFB7EDB1}">
      <text>
        <r>
          <rPr>
            <b/>
            <sz val="9"/>
            <color indexed="81"/>
            <rFont val="Tahoma"/>
            <family val="2"/>
          </rPr>
          <t>Gavin Mudd:</t>
        </r>
        <r>
          <rPr>
            <sz val="9"/>
            <color indexed="81"/>
            <rFont val="Tahoma"/>
            <family val="2"/>
          </rPr>
          <t xml:space="preserve">
assumed</t>
        </r>
      </text>
    </comment>
    <comment ref="CE54" authorId="0" shapeId="0" xr:uid="{6FC2DC80-CC51-4A91-98AE-234CEBE0AFD9}">
      <text>
        <r>
          <rPr>
            <b/>
            <sz val="9"/>
            <color indexed="81"/>
            <rFont val="Tahoma"/>
            <family val="2"/>
          </rPr>
          <t>Gavin Mudd:</t>
        </r>
        <r>
          <rPr>
            <sz val="9"/>
            <color indexed="81"/>
            <rFont val="Tahoma"/>
            <family val="2"/>
          </rPr>
          <t xml:space="preserve">
assumed</t>
        </r>
      </text>
    </comment>
    <comment ref="CG54" authorId="0" shapeId="0" xr:uid="{5F4525CF-9FE6-4648-8EEF-511C57720F71}">
      <text>
        <r>
          <rPr>
            <b/>
            <sz val="9"/>
            <color indexed="81"/>
            <rFont val="Tahoma"/>
            <family val="2"/>
          </rPr>
          <t>Gavin Mudd:</t>
        </r>
        <r>
          <rPr>
            <sz val="9"/>
            <color indexed="81"/>
            <rFont val="Tahoma"/>
            <family val="2"/>
          </rPr>
          <t xml:space="preserve">
best estimate based on cumulative production 1891 to 1905 of 84.2 long tons</t>
        </r>
      </text>
    </comment>
    <comment ref="CH54" authorId="0" shapeId="0" xr:uid="{CFE8425D-205D-4A48-B966-9B8B9312F38B}">
      <text>
        <r>
          <rPr>
            <b/>
            <sz val="9"/>
            <color indexed="81"/>
            <rFont val="Tahoma"/>
            <family val="2"/>
          </rPr>
          <t>Gavin Mudd:</t>
        </r>
        <r>
          <rPr>
            <sz val="9"/>
            <color indexed="81"/>
            <rFont val="Tahoma"/>
            <family val="2"/>
          </rPr>
          <t xml:space="preserve">
best estimate</t>
        </r>
      </text>
    </comment>
    <comment ref="CJ54" authorId="0" shapeId="0" xr:uid="{1DAEF3D5-CE87-4133-B382-87D2B85EF487}">
      <text>
        <r>
          <rPr>
            <b/>
            <sz val="9"/>
            <color indexed="81"/>
            <rFont val="Tahoma"/>
            <family val="2"/>
          </rPr>
          <t>Gavin Mudd:</t>
        </r>
        <r>
          <rPr>
            <sz val="9"/>
            <color indexed="81"/>
            <rFont val="Tahoma"/>
            <family val="2"/>
          </rPr>
          <t xml:space="preserve">
assumed</t>
        </r>
      </text>
    </comment>
    <comment ref="CK54" authorId="0" shapeId="0" xr:uid="{61F2F51C-79D7-404A-BDEE-1637B1908EFF}">
      <text>
        <r>
          <rPr>
            <b/>
            <sz val="9"/>
            <color indexed="81"/>
            <rFont val="Tahoma"/>
            <family val="2"/>
          </rPr>
          <t>Gavin Mudd:</t>
        </r>
        <r>
          <rPr>
            <sz val="9"/>
            <color indexed="81"/>
            <rFont val="Tahoma"/>
            <family val="2"/>
          </rPr>
          <t xml:space="preserve">
assumed</t>
        </r>
      </text>
    </comment>
    <comment ref="CO54" authorId="0" shapeId="0" xr:uid="{71CAEE17-23EB-4221-9E4C-51535C10861D}">
      <text>
        <r>
          <rPr>
            <b/>
            <sz val="9"/>
            <color indexed="81"/>
            <rFont val="Tahoma"/>
            <family val="2"/>
          </rPr>
          <t>Gavin Mudd:</t>
        </r>
        <r>
          <rPr>
            <sz val="9"/>
            <color indexed="81"/>
            <rFont val="Tahoma"/>
            <family val="2"/>
          </rPr>
          <t xml:space="preserve">
assumed</t>
        </r>
      </text>
    </comment>
    <comment ref="CP54" authorId="0" shapeId="0" xr:uid="{3908A820-4E2E-4056-BF4C-69C1865D6E28}">
      <text>
        <r>
          <rPr>
            <b/>
            <sz val="9"/>
            <color indexed="81"/>
            <rFont val="Tahoma"/>
            <family val="2"/>
          </rPr>
          <t>Gavin Mudd:</t>
        </r>
        <r>
          <rPr>
            <sz val="9"/>
            <color indexed="81"/>
            <rFont val="Tahoma"/>
            <family val="2"/>
          </rPr>
          <t xml:space="preserve">
assumed</t>
        </r>
      </text>
    </comment>
    <comment ref="DL54" authorId="0" shapeId="0" xr:uid="{1AD626D6-22C2-45C3-B0D0-0D75AD4CAAC1}">
      <text>
        <r>
          <rPr>
            <b/>
            <sz val="9"/>
            <color indexed="81"/>
            <rFont val="Tahoma"/>
            <family val="2"/>
          </rPr>
          <t>Gavin Mudd:</t>
        </r>
        <r>
          <rPr>
            <sz val="9"/>
            <color indexed="81"/>
            <rFont val="Tahoma"/>
            <family val="2"/>
          </rPr>
          <t xml:space="preserve">
assumed</t>
        </r>
      </text>
    </comment>
    <comment ref="DM54" authorId="0" shapeId="0" xr:uid="{A4E298D9-1388-4BCC-AD41-308BD2FA2EBE}">
      <text>
        <r>
          <rPr>
            <b/>
            <sz val="9"/>
            <color indexed="81"/>
            <rFont val="Tahoma"/>
            <family val="2"/>
          </rPr>
          <t>Gavin Mudd:</t>
        </r>
        <r>
          <rPr>
            <sz val="9"/>
            <color indexed="81"/>
            <rFont val="Tahoma"/>
            <family val="2"/>
          </rPr>
          <t xml:space="preserve">
assumed</t>
        </r>
      </text>
    </comment>
    <comment ref="B55" authorId="0" shapeId="0" xr:uid="{5DC02E46-CDBD-46DA-AE37-196340CC1A4A}">
      <text>
        <r>
          <rPr>
            <b/>
            <sz val="9"/>
            <color indexed="81"/>
            <rFont val="Tahoma"/>
            <family val="2"/>
          </rPr>
          <t>Gavin Mudd:</t>
        </r>
        <r>
          <rPr>
            <sz val="9"/>
            <color indexed="81"/>
            <rFont val="Tahoma"/>
            <family val="2"/>
          </rPr>
          <t xml:space="preserve">
Fifield</t>
        </r>
      </text>
    </comment>
    <comment ref="C55" authorId="0" shapeId="0" xr:uid="{359F68A0-4EC4-461C-AAA0-BE58035F8345}">
      <text>
        <r>
          <rPr>
            <b/>
            <sz val="9"/>
            <color indexed="81"/>
            <rFont val="Tahoma"/>
            <family val="2"/>
          </rPr>
          <t>Gavin Mudd:</t>
        </r>
        <r>
          <rPr>
            <sz val="9"/>
            <color indexed="81"/>
            <rFont val="Tahoma"/>
            <family val="2"/>
          </rPr>
          <t xml:space="preserve">
assumed</t>
        </r>
      </text>
    </comment>
    <comment ref="J55" authorId="0" shapeId="0" xr:uid="{F22A042F-C011-428A-A6D7-B7275D1BF7FE}">
      <text>
        <r>
          <rPr>
            <b/>
            <sz val="9"/>
            <color indexed="81"/>
            <rFont val="Tahoma"/>
            <family val="2"/>
          </rPr>
          <t>Gavin Mudd:</t>
        </r>
        <r>
          <rPr>
            <sz val="9"/>
            <color indexed="81"/>
            <rFont val="Tahoma"/>
            <family val="2"/>
          </rPr>
          <t xml:space="preserve">
"small quantity"</t>
        </r>
      </text>
    </comment>
    <comment ref="K55" authorId="0" shapeId="0" xr:uid="{6FBE6356-9C33-45C7-85B8-DEF607F47097}">
      <text>
        <r>
          <rPr>
            <b/>
            <sz val="9"/>
            <color indexed="81"/>
            <rFont val="Tahoma"/>
            <family val="2"/>
          </rPr>
          <t>Gavin Mudd:</t>
        </r>
        <r>
          <rPr>
            <sz val="9"/>
            <color indexed="81"/>
            <rFont val="Tahoma"/>
            <family val="2"/>
          </rPr>
          <t xml:space="preserve">
assumed</t>
        </r>
      </text>
    </comment>
    <comment ref="U55" authorId="0" shapeId="0" xr:uid="{E9332C92-E43B-4302-9885-121CA6EEC5A9}">
      <text>
        <r>
          <rPr>
            <b/>
            <sz val="9"/>
            <color indexed="81"/>
            <rFont val="Tahoma"/>
            <family val="2"/>
          </rPr>
          <t>Gavin Mudd:</t>
        </r>
        <r>
          <rPr>
            <sz val="9"/>
            <color indexed="81"/>
            <rFont val="Tahoma"/>
            <family val="2"/>
          </rPr>
          <t xml:space="preserve">
assumed</t>
        </r>
      </text>
    </comment>
    <comment ref="W55" authorId="0" shapeId="0" xr:uid="{DF65EA53-552F-4D2B-A246-B3A37F1DDC52}">
      <text>
        <r>
          <rPr>
            <b/>
            <sz val="9"/>
            <color indexed="81"/>
            <rFont val="Tahoma"/>
            <family val="2"/>
          </rPr>
          <t>Gavin Mudd:</t>
        </r>
        <r>
          <rPr>
            <sz val="9"/>
            <color indexed="81"/>
            <rFont val="Tahoma"/>
            <family val="2"/>
          </rPr>
          <t xml:space="preserve">
assumed</t>
        </r>
      </text>
    </comment>
    <comment ref="Y55" authorId="0" shapeId="0" xr:uid="{2AFE2DF6-8EBB-4C6C-BB35-138D6D5D9D89}">
      <text>
        <r>
          <rPr>
            <b/>
            <sz val="9"/>
            <color indexed="81"/>
            <rFont val="Tahoma"/>
            <family val="2"/>
          </rPr>
          <t>Gavin Mudd:</t>
        </r>
        <r>
          <rPr>
            <sz val="9"/>
            <color indexed="81"/>
            <rFont val="Tahoma"/>
            <family val="2"/>
          </rPr>
          <t xml:space="preserve">
assumed</t>
        </r>
      </text>
    </comment>
    <comment ref="AC55" authorId="0" shapeId="0" xr:uid="{E8661174-013E-43A0-9E3E-5CBFA7ED04A1}">
      <text>
        <r>
          <rPr>
            <b/>
            <sz val="9"/>
            <color indexed="81"/>
            <rFont val="Tahoma"/>
            <family val="2"/>
          </rPr>
          <t>Gavin Mudd:</t>
        </r>
        <r>
          <rPr>
            <sz val="9"/>
            <color indexed="81"/>
            <rFont val="Tahoma"/>
            <family val="2"/>
          </rPr>
          <t xml:space="preserve">
assumed</t>
        </r>
      </text>
    </comment>
    <comment ref="AG55" authorId="0" shapeId="0" xr:uid="{891AC318-6F5F-4596-979E-F8FEC2514C70}">
      <text>
        <r>
          <rPr>
            <b/>
            <sz val="9"/>
            <color indexed="81"/>
            <rFont val="Tahoma"/>
            <family val="2"/>
          </rPr>
          <t>Gavin Mudd:</t>
        </r>
        <r>
          <rPr>
            <sz val="9"/>
            <color indexed="81"/>
            <rFont val="Tahoma"/>
            <family val="2"/>
          </rPr>
          <t xml:space="preserve">
assumed</t>
        </r>
      </text>
    </comment>
    <comment ref="AK55" authorId="0" shapeId="0" xr:uid="{BB85B4E2-5770-4D92-9644-AEC3167E8D1E}">
      <text>
        <r>
          <rPr>
            <b/>
            <sz val="9"/>
            <color indexed="81"/>
            <rFont val="Tahoma"/>
            <family val="2"/>
          </rPr>
          <t>Gavin Mudd:</t>
        </r>
        <r>
          <rPr>
            <sz val="9"/>
            <color indexed="81"/>
            <rFont val="Tahoma"/>
            <family val="2"/>
          </rPr>
          <t xml:space="preserve">
assumed</t>
        </r>
      </text>
    </comment>
    <comment ref="AM55" authorId="0" shapeId="0" xr:uid="{466CC4EB-D59D-467D-B55A-155C7C9DC403}">
      <text>
        <r>
          <rPr>
            <b/>
            <sz val="9"/>
            <color indexed="81"/>
            <rFont val="Tahoma"/>
            <family val="2"/>
          </rPr>
          <t>Gavin Mudd:</t>
        </r>
        <r>
          <rPr>
            <sz val="9"/>
            <color indexed="81"/>
            <rFont val="Tahoma"/>
            <family val="2"/>
          </rPr>
          <t xml:space="preserve">
assumed</t>
        </r>
      </text>
    </comment>
    <comment ref="AO55" authorId="0" shapeId="0" xr:uid="{0D6D286C-9C33-426A-B927-E984483813A1}">
      <text>
        <r>
          <rPr>
            <b/>
            <sz val="9"/>
            <color indexed="81"/>
            <rFont val="Tahoma"/>
            <family val="2"/>
          </rPr>
          <t>Gavin Mudd:</t>
        </r>
        <r>
          <rPr>
            <sz val="9"/>
            <color indexed="81"/>
            <rFont val="Tahoma"/>
            <family val="2"/>
          </rPr>
          <t xml:space="preserve">
assumed</t>
        </r>
      </text>
    </comment>
    <comment ref="AS55" authorId="0" shapeId="0" xr:uid="{B731CA20-7456-4D9D-9899-6442EBECB84A}">
      <text>
        <r>
          <rPr>
            <b/>
            <sz val="9"/>
            <color indexed="81"/>
            <rFont val="Tahoma"/>
            <family val="2"/>
          </rPr>
          <t>Gavin Mudd:</t>
        </r>
        <r>
          <rPr>
            <sz val="9"/>
            <color indexed="81"/>
            <rFont val="Tahoma"/>
            <family val="2"/>
          </rPr>
          <t xml:space="preserve">
assumed</t>
        </r>
      </text>
    </comment>
    <comment ref="BA55" authorId="0" shapeId="0" xr:uid="{D843E3E7-57E9-4E97-9AFD-297B32F089BA}">
      <text>
        <r>
          <rPr>
            <b/>
            <sz val="9"/>
            <color indexed="81"/>
            <rFont val="Tahoma"/>
            <family val="2"/>
          </rPr>
          <t>Gavin Mudd:</t>
        </r>
        <r>
          <rPr>
            <sz val="9"/>
            <color indexed="81"/>
            <rFont val="Tahoma"/>
            <family val="2"/>
          </rPr>
          <t xml:space="preserve">
assumed</t>
        </r>
      </text>
    </comment>
    <comment ref="BB55" authorId="0" shapeId="0" xr:uid="{4CB98018-5109-4507-89E6-CFDBD7A4AA08}">
      <text>
        <r>
          <rPr>
            <b/>
            <sz val="9"/>
            <color indexed="81"/>
            <rFont val="Tahoma"/>
            <family val="2"/>
          </rPr>
          <t>Gavin Mudd:</t>
        </r>
        <r>
          <rPr>
            <sz val="9"/>
            <color indexed="81"/>
            <rFont val="Tahoma"/>
            <family val="2"/>
          </rPr>
          <t xml:space="preserve">
assumed</t>
        </r>
      </text>
    </comment>
    <comment ref="CD55" authorId="0" shapeId="0" xr:uid="{E7BB8582-EC1C-4BF7-811B-8C0733A739DB}">
      <text>
        <r>
          <rPr>
            <b/>
            <sz val="9"/>
            <color indexed="81"/>
            <rFont val="Tahoma"/>
            <family val="2"/>
          </rPr>
          <t>Gavin Mudd:</t>
        </r>
        <r>
          <rPr>
            <sz val="9"/>
            <color indexed="81"/>
            <rFont val="Tahoma"/>
            <family val="2"/>
          </rPr>
          <t xml:space="preserve">
assumed</t>
        </r>
      </text>
    </comment>
    <comment ref="CE55" authorId="0" shapeId="0" xr:uid="{AE85FABC-43A3-4331-AF65-BF7619D07DF7}">
      <text>
        <r>
          <rPr>
            <b/>
            <sz val="9"/>
            <color indexed="81"/>
            <rFont val="Tahoma"/>
            <family val="2"/>
          </rPr>
          <t>Gavin Mudd:</t>
        </r>
        <r>
          <rPr>
            <sz val="9"/>
            <color indexed="81"/>
            <rFont val="Tahoma"/>
            <family val="2"/>
          </rPr>
          <t xml:space="preserve">
assumed</t>
        </r>
      </text>
    </comment>
    <comment ref="CG55" authorId="0" shapeId="0" xr:uid="{35EFB745-36A2-4A15-8FD8-625EA377584D}">
      <text>
        <r>
          <rPr>
            <b/>
            <sz val="9"/>
            <color indexed="81"/>
            <rFont val="Tahoma"/>
            <family val="2"/>
          </rPr>
          <t>Gavin Mudd:</t>
        </r>
        <r>
          <rPr>
            <sz val="9"/>
            <color indexed="81"/>
            <rFont val="Tahoma"/>
            <family val="2"/>
          </rPr>
          <t xml:space="preserve">
best estimate based on cumulative production 1891 to 1905 of 84.2 long tons</t>
        </r>
      </text>
    </comment>
    <comment ref="CH55" authorId="0" shapeId="0" xr:uid="{ED167552-C702-4FCC-AD0D-16FFBA89B618}">
      <text>
        <r>
          <rPr>
            <b/>
            <sz val="9"/>
            <color indexed="81"/>
            <rFont val="Tahoma"/>
            <family val="2"/>
          </rPr>
          <t>Gavin Mudd:</t>
        </r>
        <r>
          <rPr>
            <sz val="9"/>
            <color indexed="81"/>
            <rFont val="Tahoma"/>
            <family val="2"/>
          </rPr>
          <t xml:space="preserve">
best estimate</t>
        </r>
      </text>
    </comment>
    <comment ref="CJ55" authorId="0" shapeId="0" xr:uid="{0B8C61E5-B1E3-431B-B569-4CA4DE663E58}">
      <text>
        <r>
          <rPr>
            <b/>
            <sz val="9"/>
            <color indexed="81"/>
            <rFont val="Tahoma"/>
            <family val="2"/>
          </rPr>
          <t>Gavin Mudd:</t>
        </r>
        <r>
          <rPr>
            <sz val="9"/>
            <color indexed="81"/>
            <rFont val="Tahoma"/>
            <family val="2"/>
          </rPr>
          <t xml:space="preserve">
assumed</t>
        </r>
      </text>
    </comment>
    <comment ref="CK55" authorId="0" shapeId="0" xr:uid="{3C5BE5D0-39B8-4F78-9325-E2F5DB280240}">
      <text>
        <r>
          <rPr>
            <b/>
            <sz val="9"/>
            <color indexed="81"/>
            <rFont val="Tahoma"/>
            <family val="2"/>
          </rPr>
          <t>Gavin Mudd:</t>
        </r>
        <r>
          <rPr>
            <sz val="9"/>
            <color indexed="81"/>
            <rFont val="Tahoma"/>
            <family val="2"/>
          </rPr>
          <t xml:space="preserve">
assumed</t>
        </r>
      </text>
    </comment>
    <comment ref="CO55" authorId="0" shapeId="0" xr:uid="{62FE0DE3-47DD-46D0-808E-6DCCD1FDA9DD}">
      <text>
        <r>
          <rPr>
            <b/>
            <sz val="9"/>
            <color indexed="81"/>
            <rFont val="Tahoma"/>
            <family val="2"/>
          </rPr>
          <t>Gavin Mudd:</t>
        </r>
        <r>
          <rPr>
            <sz val="9"/>
            <color indexed="81"/>
            <rFont val="Tahoma"/>
            <family val="2"/>
          </rPr>
          <t xml:space="preserve">
assumed</t>
        </r>
      </text>
    </comment>
    <comment ref="CP55" authorId="0" shapeId="0" xr:uid="{4107ABED-C9A0-4FD1-BAB0-59DCF8DE01B3}">
      <text>
        <r>
          <rPr>
            <b/>
            <sz val="9"/>
            <color indexed="81"/>
            <rFont val="Tahoma"/>
            <family val="2"/>
          </rPr>
          <t>Gavin Mudd:</t>
        </r>
        <r>
          <rPr>
            <sz val="9"/>
            <color indexed="81"/>
            <rFont val="Tahoma"/>
            <family val="2"/>
          </rPr>
          <t xml:space="preserve">
assumed</t>
        </r>
      </text>
    </comment>
    <comment ref="DL55" authorId="0" shapeId="0" xr:uid="{F6AC1E56-5833-4357-AD1D-06FC2D16E429}">
      <text>
        <r>
          <rPr>
            <b/>
            <sz val="9"/>
            <color indexed="81"/>
            <rFont val="Tahoma"/>
            <family val="2"/>
          </rPr>
          <t>Gavin Mudd:</t>
        </r>
        <r>
          <rPr>
            <sz val="9"/>
            <color indexed="81"/>
            <rFont val="Tahoma"/>
            <family val="2"/>
          </rPr>
          <t xml:space="preserve">
assumed</t>
        </r>
      </text>
    </comment>
    <comment ref="DM55" authorId="0" shapeId="0" xr:uid="{25E12ECA-0D8F-47A3-AF9F-2AB59238ECF7}">
      <text>
        <r>
          <rPr>
            <b/>
            <sz val="9"/>
            <color indexed="81"/>
            <rFont val="Tahoma"/>
            <family val="2"/>
          </rPr>
          <t>Gavin Mudd:</t>
        </r>
        <r>
          <rPr>
            <sz val="9"/>
            <color indexed="81"/>
            <rFont val="Tahoma"/>
            <family val="2"/>
          </rPr>
          <t xml:space="preserve">
assumed</t>
        </r>
      </text>
    </comment>
    <comment ref="E56" authorId="0" shapeId="0" xr:uid="{88397DCE-4B19-4A7A-A121-9871F47B83E2}">
      <text>
        <r>
          <rPr>
            <b/>
            <sz val="9"/>
            <color indexed="81"/>
            <rFont val="Tahoma"/>
            <family val="2"/>
          </rPr>
          <t>Gavin Mudd:</t>
        </r>
        <r>
          <rPr>
            <sz val="9"/>
            <color indexed="81"/>
            <rFont val="Tahoma"/>
            <family val="2"/>
          </rPr>
          <t xml:space="preserve">
assumed</t>
        </r>
      </text>
    </comment>
    <comment ref="U56" authorId="0" shapeId="0" xr:uid="{7148DA06-F25A-467E-B580-E0E0EF943EFC}">
      <text>
        <r>
          <rPr>
            <b/>
            <sz val="9"/>
            <color indexed="81"/>
            <rFont val="Tahoma"/>
            <family val="2"/>
          </rPr>
          <t>Gavin Mudd:</t>
        </r>
        <r>
          <rPr>
            <sz val="9"/>
            <color indexed="81"/>
            <rFont val="Tahoma"/>
            <family val="2"/>
          </rPr>
          <t xml:space="preserve">
assumed</t>
        </r>
      </text>
    </comment>
    <comment ref="W56" authorId="0" shapeId="0" xr:uid="{BD53FC73-35F4-41AA-8166-6C9F7E23ACCE}">
      <text>
        <r>
          <rPr>
            <b/>
            <sz val="9"/>
            <color indexed="81"/>
            <rFont val="Tahoma"/>
            <family val="2"/>
          </rPr>
          <t>Gavin Mudd:</t>
        </r>
        <r>
          <rPr>
            <sz val="9"/>
            <color indexed="81"/>
            <rFont val="Tahoma"/>
            <family val="2"/>
          </rPr>
          <t xml:space="preserve">
assumed</t>
        </r>
      </text>
    </comment>
    <comment ref="Y56" authorId="0" shapeId="0" xr:uid="{0752F018-A90C-44D8-A044-F208B6510863}">
      <text>
        <r>
          <rPr>
            <b/>
            <sz val="9"/>
            <color indexed="81"/>
            <rFont val="Tahoma"/>
            <family val="2"/>
          </rPr>
          <t>Gavin Mudd:</t>
        </r>
        <r>
          <rPr>
            <sz val="9"/>
            <color indexed="81"/>
            <rFont val="Tahoma"/>
            <family val="2"/>
          </rPr>
          <t xml:space="preserve">
assumed</t>
        </r>
      </text>
    </comment>
    <comment ref="AC56" authorId="0" shapeId="0" xr:uid="{CC2699F1-EB13-46BA-AB3D-1DD9C6A8C0C8}">
      <text>
        <r>
          <rPr>
            <b/>
            <sz val="9"/>
            <color indexed="81"/>
            <rFont val="Tahoma"/>
            <family val="2"/>
          </rPr>
          <t>Gavin Mudd:</t>
        </r>
        <r>
          <rPr>
            <sz val="9"/>
            <color indexed="81"/>
            <rFont val="Tahoma"/>
            <family val="2"/>
          </rPr>
          <t xml:space="preserve">
assumed</t>
        </r>
      </text>
    </comment>
    <comment ref="AE56" authorId="0" shapeId="0" xr:uid="{7B1C94B7-76F9-42CE-95C2-784ED70B6EF8}">
      <text>
        <r>
          <rPr>
            <b/>
            <sz val="9"/>
            <color indexed="81"/>
            <rFont val="Tahoma"/>
            <family val="2"/>
          </rPr>
          <t>Gavin Mudd:</t>
        </r>
        <r>
          <rPr>
            <sz val="9"/>
            <color indexed="81"/>
            <rFont val="Tahoma"/>
            <family val="2"/>
          </rPr>
          <t xml:space="preserve">
assumed</t>
        </r>
      </text>
    </comment>
    <comment ref="AG56" authorId="0" shapeId="0" xr:uid="{04CEBFB1-2E7B-4B3A-8458-8AF632EC29A3}">
      <text>
        <r>
          <rPr>
            <b/>
            <sz val="9"/>
            <color indexed="81"/>
            <rFont val="Tahoma"/>
            <family val="2"/>
          </rPr>
          <t>Gavin Mudd:</t>
        </r>
        <r>
          <rPr>
            <sz val="9"/>
            <color indexed="81"/>
            <rFont val="Tahoma"/>
            <family val="2"/>
          </rPr>
          <t xml:space="preserve">
assumed</t>
        </r>
      </text>
    </comment>
    <comment ref="AK56" authorId="0" shapeId="0" xr:uid="{03759236-DFCA-4863-A667-86B29FF5F7A6}">
      <text>
        <r>
          <rPr>
            <b/>
            <sz val="9"/>
            <color indexed="81"/>
            <rFont val="Tahoma"/>
            <family val="2"/>
          </rPr>
          <t>Gavin Mudd:</t>
        </r>
        <r>
          <rPr>
            <sz val="9"/>
            <color indexed="81"/>
            <rFont val="Tahoma"/>
            <family val="2"/>
          </rPr>
          <t xml:space="preserve">
assumed</t>
        </r>
      </text>
    </comment>
    <comment ref="AM56" authorId="0" shapeId="0" xr:uid="{7530F32E-0CC5-498C-BF5D-3BCCEC6620A6}">
      <text>
        <r>
          <rPr>
            <b/>
            <sz val="9"/>
            <color indexed="81"/>
            <rFont val="Tahoma"/>
            <family val="2"/>
          </rPr>
          <t>Gavin Mudd:</t>
        </r>
        <r>
          <rPr>
            <sz val="9"/>
            <color indexed="81"/>
            <rFont val="Tahoma"/>
            <family val="2"/>
          </rPr>
          <t xml:space="preserve">
assumed</t>
        </r>
      </text>
    </comment>
    <comment ref="AO56" authorId="0" shapeId="0" xr:uid="{EFEC30E7-B84A-454A-885A-20854EB0677B}">
      <text>
        <r>
          <rPr>
            <b/>
            <sz val="9"/>
            <color indexed="81"/>
            <rFont val="Tahoma"/>
            <family val="2"/>
          </rPr>
          <t>Gavin Mudd:</t>
        </r>
        <r>
          <rPr>
            <sz val="9"/>
            <color indexed="81"/>
            <rFont val="Tahoma"/>
            <family val="2"/>
          </rPr>
          <t xml:space="preserve">
assumed</t>
        </r>
      </text>
    </comment>
    <comment ref="AS56" authorId="0" shapeId="0" xr:uid="{68A9D083-EFA2-43A1-933D-D885878FF61A}">
      <text>
        <r>
          <rPr>
            <b/>
            <sz val="9"/>
            <color indexed="81"/>
            <rFont val="Tahoma"/>
            <family val="2"/>
          </rPr>
          <t>Gavin Mudd:</t>
        </r>
        <r>
          <rPr>
            <sz val="9"/>
            <color indexed="81"/>
            <rFont val="Tahoma"/>
            <family val="2"/>
          </rPr>
          <t xml:space="preserve">
assumed</t>
        </r>
      </text>
    </comment>
    <comment ref="BA56" authorId="0" shapeId="0" xr:uid="{47571971-3003-4850-89BC-1DC3282DDC48}">
      <text>
        <r>
          <rPr>
            <b/>
            <sz val="9"/>
            <color indexed="81"/>
            <rFont val="Tahoma"/>
            <family val="2"/>
          </rPr>
          <t>Gavin Mudd:</t>
        </r>
        <r>
          <rPr>
            <sz val="9"/>
            <color indexed="81"/>
            <rFont val="Tahoma"/>
            <family val="2"/>
          </rPr>
          <t xml:space="preserve">
assumed</t>
        </r>
      </text>
    </comment>
    <comment ref="BB56" authorId="0" shapeId="0" xr:uid="{DC47BF8E-B71D-45AB-BBE5-6C13BFC769F0}">
      <text>
        <r>
          <rPr>
            <b/>
            <sz val="9"/>
            <color indexed="81"/>
            <rFont val="Tahoma"/>
            <family val="2"/>
          </rPr>
          <t>Gavin Mudd:</t>
        </r>
        <r>
          <rPr>
            <sz val="9"/>
            <color indexed="81"/>
            <rFont val="Tahoma"/>
            <family val="2"/>
          </rPr>
          <t xml:space="preserve">
assumed</t>
        </r>
      </text>
    </comment>
    <comment ref="CD56" authorId="0" shapeId="0" xr:uid="{312531F3-8AD2-4930-B7A3-F1D9D08AF42F}">
      <text>
        <r>
          <rPr>
            <b/>
            <sz val="9"/>
            <color indexed="81"/>
            <rFont val="Tahoma"/>
            <family val="2"/>
          </rPr>
          <t>Gavin Mudd:</t>
        </r>
        <r>
          <rPr>
            <sz val="9"/>
            <color indexed="81"/>
            <rFont val="Tahoma"/>
            <family val="2"/>
          </rPr>
          <t xml:space="preserve">
assumed</t>
        </r>
      </text>
    </comment>
    <comment ref="CE56" authorId="0" shapeId="0" xr:uid="{6AF217CE-CDE9-417F-BA89-7440A7C54077}">
      <text>
        <r>
          <rPr>
            <b/>
            <sz val="9"/>
            <color indexed="81"/>
            <rFont val="Tahoma"/>
            <family val="2"/>
          </rPr>
          <t>Gavin Mudd:</t>
        </r>
        <r>
          <rPr>
            <sz val="9"/>
            <color indexed="81"/>
            <rFont val="Tahoma"/>
            <family val="2"/>
          </rPr>
          <t xml:space="preserve">
assumed</t>
        </r>
      </text>
    </comment>
    <comment ref="CG56" authorId="0" shapeId="0" xr:uid="{BB5D5E1B-1562-4677-80CE-229E9029F123}">
      <text>
        <r>
          <rPr>
            <b/>
            <sz val="9"/>
            <color indexed="81"/>
            <rFont val="Tahoma"/>
            <family val="2"/>
          </rPr>
          <t>Gavin Mudd:</t>
        </r>
        <r>
          <rPr>
            <sz val="9"/>
            <color indexed="81"/>
            <rFont val="Tahoma"/>
            <family val="2"/>
          </rPr>
          <t xml:space="preserve">
best estimate based on cumulative production 1891 to 1905 of 84.2 long tons</t>
        </r>
      </text>
    </comment>
    <comment ref="CH56" authorId="0" shapeId="0" xr:uid="{2D02172E-3554-4A38-94DC-B6EF0B17D7A0}">
      <text>
        <r>
          <rPr>
            <b/>
            <sz val="9"/>
            <color indexed="81"/>
            <rFont val="Tahoma"/>
            <family val="2"/>
          </rPr>
          <t>Gavin Mudd:</t>
        </r>
        <r>
          <rPr>
            <sz val="9"/>
            <color indexed="81"/>
            <rFont val="Tahoma"/>
            <family val="2"/>
          </rPr>
          <t xml:space="preserve">
best estimate</t>
        </r>
      </text>
    </comment>
    <comment ref="CJ56" authorId="0" shapeId="0" xr:uid="{F3D42255-4836-46D8-A0FC-F58D7F1EE4CD}">
      <text>
        <r>
          <rPr>
            <b/>
            <sz val="9"/>
            <color indexed="81"/>
            <rFont val="Tahoma"/>
            <family val="2"/>
          </rPr>
          <t>Gavin Mudd:</t>
        </r>
        <r>
          <rPr>
            <sz val="9"/>
            <color indexed="81"/>
            <rFont val="Tahoma"/>
            <family val="2"/>
          </rPr>
          <t xml:space="preserve">
assumed</t>
        </r>
      </text>
    </comment>
    <comment ref="CK56" authorId="0" shapeId="0" xr:uid="{4C9A7D56-E627-4676-BDC6-F14971D0C1FA}">
      <text>
        <r>
          <rPr>
            <b/>
            <sz val="9"/>
            <color indexed="81"/>
            <rFont val="Tahoma"/>
            <family val="2"/>
          </rPr>
          <t>Gavin Mudd:</t>
        </r>
        <r>
          <rPr>
            <sz val="9"/>
            <color indexed="81"/>
            <rFont val="Tahoma"/>
            <family val="2"/>
          </rPr>
          <t xml:space="preserve">
assumed</t>
        </r>
      </text>
    </comment>
    <comment ref="CO56" authorId="0" shapeId="0" xr:uid="{1BE1981E-2744-453B-863E-71015AD9C61D}">
      <text>
        <r>
          <rPr>
            <b/>
            <sz val="9"/>
            <color indexed="81"/>
            <rFont val="Tahoma"/>
            <family val="2"/>
          </rPr>
          <t>Gavin Mudd:</t>
        </r>
        <r>
          <rPr>
            <sz val="9"/>
            <color indexed="81"/>
            <rFont val="Tahoma"/>
            <family val="2"/>
          </rPr>
          <t xml:space="preserve">
assumed</t>
        </r>
      </text>
    </comment>
    <comment ref="CP56" authorId="0" shapeId="0" xr:uid="{0C07FDEE-074B-443C-883D-51E1B9D3C764}">
      <text>
        <r>
          <rPr>
            <b/>
            <sz val="9"/>
            <color indexed="81"/>
            <rFont val="Tahoma"/>
            <family val="2"/>
          </rPr>
          <t>Gavin Mudd:</t>
        </r>
        <r>
          <rPr>
            <sz val="9"/>
            <color indexed="81"/>
            <rFont val="Tahoma"/>
            <family val="2"/>
          </rPr>
          <t xml:space="preserve">
assumed</t>
        </r>
      </text>
    </comment>
    <comment ref="DL56" authorId="0" shapeId="0" xr:uid="{FE5A66CB-C16A-4D77-BC6B-9A742A073EFE}">
      <text>
        <r>
          <rPr>
            <b/>
            <sz val="9"/>
            <color indexed="81"/>
            <rFont val="Tahoma"/>
            <family val="2"/>
          </rPr>
          <t>Gavin Mudd:</t>
        </r>
        <r>
          <rPr>
            <sz val="9"/>
            <color indexed="81"/>
            <rFont val="Tahoma"/>
            <family val="2"/>
          </rPr>
          <t xml:space="preserve">
assumed</t>
        </r>
      </text>
    </comment>
    <comment ref="DM56" authorId="0" shapeId="0" xr:uid="{AD4DA388-8611-43AC-8A74-4264A2BE147D}">
      <text>
        <r>
          <rPr>
            <b/>
            <sz val="9"/>
            <color indexed="81"/>
            <rFont val="Tahoma"/>
            <family val="2"/>
          </rPr>
          <t>Gavin Mudd:</t>
        </r>
        <r>
          <rPr>
            <sz val="9"/>
            <color indexed="81"/>
            <rFont val="Tahoma"/>
            <family val="2"/>
          </rPr>
          <t xml:space="preserve">
assumed</t>
        </r>
      </text>
    </comment>
    <comment ref="B57" authorId="0" shapeId="0" xr:uid="{63CEBBDB-3620-4EEA-B08D-413DC38F8936}">
      <text>
        <r>
          <rPr>
            <b/>
            <sz val="9"/>
            <color indexed="81"/>
            <rFont val="Tahoma"/>
            <family val="2"/>
          </rPr>
          <t>Gavin Mudd:</t>
        </r>
        <r>
          <rPr>
            <sz val="9"/>
            <color indexed="81"/>
            <rFont val="Tahoma"/>
            <family val="2"/>
          </rPr>
          <t xml:space="preserve">
Wyalong</t>
        </r>
      </text>
    </comment>
    <comment ref="C57" authorId="0" shapeId="0" xr:uid="{68A591C6-7B81-46A6-82BF-32C05ADB5D53}">
      <text>
        <r>
          <rPr>
            <b/>
            <sz val="9"/>
            <color indexed="81"/>
            <rFont val="Tahoma"/>
            <family val="2"/>
          </rPr>
          <t>Gavin Mudd:</t>
        </r>
        <r>
          <rPr>
            <sz val="9"/>
            <color indexed="81"/>
            <rFont val="Tahoma"/>
            <family val="2"/>
          </rPr>
          <t xml:space="preserve">
assumed</t>
        </r>
      </text>
    </comment>
    <comment ref="P57" authorId="0" shapeId="0" xr:uid="{5705F15B-FB6F-4235-9084-12DD2B79D2EC}">
      <text>
        <r>
          <rPr>
            <b/>
            <sz val="9"/>
            <color indexed="81"/>
            <rFont val="Tahoma"/>
            <family val="2"/>
          </rPr>
          <t>Gavin Mudd:</t>
        </r>
        <r>
          <rPr>
            <sz val="9"/>
            <color indexed="81"/>
            <rFont val="Tahoma"/>
            <family val="2"/>
          </rPr>
          <t xml:space="preserve">
Tumbarumba</t>
        </r>
      </text>
    </comment>
    <comment ref="Q57" authorId="0" shapeId="0" xr:uid="{2432275C-F006-4123-8207-92BEA14C8CCC}">
      <text>
        <r>
          <rPr>
            <b/>
            <sz val="9"/>
            <color indexed="81"/>
            <rFont val="Tahoma"/>
            <family val="2"/>
          </rPr>
          <t>Gavin Mudd:</t>
        </r>
        <r>
          <rPr>
            <sz val="9"/>
            <color indexed="81"/>
            <rFont val="Tahoma"/>
            <family val="2"/>
          </rPr>
          <t xml:space="preserve">
assumed</t>
        </r>
      </text>
    </comment>
    <comment ref="U57" authorId="0" shapeId="0" xr:uid="{137792AB-73B6-4447-BA56-853804FEB528}">
      <text>
        <r>
          <rPr>
            <b/>
            <sz val="9"/>
            <color indexed="81"/>
            <rFont val="Tahoma"/>
            <family val="2"/>
          </rPr>
          <t>Gavin Mudd:</t>
        </r>
        <r>
          <rPr>
            <sz val="9"/>
            <color indexed="81"/>
            <rFont val="Tahoma"/>
            <family val="2"/>
          </rPr>
          <t xml:space="preserve">
assumed</t>
        </r>
      </text>
    </comment>
    <comment ref="W57" authorId="0" shapeId="0" xr:uid="{4B05CF4F-A874-459C-8DA7-2A9CFBE00C90}">
      <text>
        <r>
          <rPr>
            <b/>
            <sz val="9"/>
            <color indexed="81"/>
            <rFont val="Tahoma"/>
            <family val="2"/>
          </rPr>
          <t>Gavin Mudd:</t>
        </r>
        <r>
          <rPr>
            <sz val="9"/>
            <color indexed="81"/>
            <rFont val="Tahoma"/>
            <family val="2"/>
          </rPr>
          <t xml:space="preserve">
assumed</t>
        </r>
      </text>
    </comment>
    <comment ref="Y57" authorId="0" shapeId="0" xr:uid="{67C4BB26-0063-4C9A-B1AA-186E74A30565}">
      <text>
        <r>
          <rPr>
            <b/>
            <sz val="9"/>
            <color indexed="81"/>
            <rFont val="Tahoma"/>
            <family val="2"/>
          </rPr>
          <t>Gavin Mudd:</t>
        </r>
        <r>
          <rPr>
            <sz val="9"/>
            <color indexed="81"/>
            <rFont val="Tahoma"/>
            <family val="2"/>
          </rPr>
          <t xml:space="preserve">
assumed</t>
        </r>
      </text>
    </comment>
    <comment ref="AC57" authorId="0" shapeId="0" xr:uid="{FEAEEB17-4467-45B8-AA1F-214CBC3B7F48}">
      <text>
        <r>
          <rPr>
            <b/>
            <sz val="9"/>
            <color indexed="81"/>
            <rFont val="Tahoma"/>
            <family val="2"/>
          </rPr>
          <t>Gavin Mudd:</t>
        </r>
        <r>
          <rPr>
            <sz val="9"/>
            <color indexed="81"/>
            <rFont val="Tahoma"/>
            <family val="2"/>
          </rPr>
          <t xml:space="preserve">
assumed</t>
        </r>
      </text>
    </comment>
    <comment ref="AG57" authorId="0" shapeId="0" xr:uid="{08FB5ED2-DF86-4F51-8358-F190BE041A73}">
      <text>
        <r>
          <rPr>
            <b/>
            <sz val="9"/>
            <color indexed="81"/>
            <rFont val="Tahoma"/>
            <family val="2"/>
          </rPr>
          <t>Gavin Mudd:</t>
        </r>
        <r>
          <rPr>
            <sz val="9"/>
            <color indexed="81"/>
            <rFont val="Tahoma"/>
            <family val="2"/>
          </rPr>
          <t xml:space="preserve">
assumed</t>
        </r>
      </text>
    </comment>
    <comment ref="AK57" authorId="0" shapeId="0" xr:uid="{981FFC26-7424-4940-8DA4-8EBC0452D7AD}">
      <text>
        <r>
          <rPr>
            <b/>
            <sz val="9"/>
            <color indexed="81"/>
            <rFont val="Tahoma"/>
            <family val="2"/>
          </rPr>
          <t>Gavin Mudd:</t>
        </r>
        <r>
          <rPr>
            <sz val="9"/>
            <color indexed="81"/>
            <rFont val="Tahoma"/>
            <family val="2"/>
          </rPr>
          <t xml:space="preserve">
assumed</t>
        </r>
      </text>
    </comment>
    <comment ref="AM57" authorId="0" shapeId="0" xr:uid="{9058F916-2DF1-4BBC-B2D2-BE175C2902B8}">
      <text>
        <r>
          <rPr>
            <b/>
            <sz val="9"/>
            <color indexed="81"/>
            <rFont val="Tahoma"/>
            <family val="2"/>
          </rPr>
          <t>Gavin Mudd:</t>
        </r>
        <r>
          <rPr>
            <sz val="9"/>
            <color indexed="81"/>
            <rFont val="Tahoma"/>
            <family val="2"/>
          </rPr>
          <t xml:space="preserve">
assumed</t>
        </r>
      </text>
    </comment>
    <comment ref="AO57" authorId="0" shapeId="0" xr:uid="{88D2AD9B-14B8-4BA4-8E16-6E52B6039BEF}">
      <text>
        <r>
          <rPr>
            <b/>
            <sz val="9"/>
            <color indexed="81"/>
            <rFont val="Tahoma"/>
            <family val="2"/>
          </rPr>
          <t>Gavin Mudd:</t>
        </r>
        <r>
          <rPr>
            <sz val="9"/>
            <color indexed="81"/>
            <rFont val="Tahoma"/>
            <family val="2"/>
          </rPr>
          <t xml:space="preserve">
assumed</t>
        </r>
      </text>
    </comment>
    <comment ref="AS57" authorId="0" shapeId="0" xr:uid="{4AED0C5E-4CF6-4209-B688-92C88E57A42E}">
      <text>
        <r>
          <rPr>
            <b/>
            <sz val="9"/>
            <color indexed="81"/>
            <rFont val="Tahoma"/>
            <family val="2"/>
          </rPr>
          <t>Gavin Mudd:</t>
        </r>
        <r>
          <rPr>
            <sz val="9"/>
            <color indexed="81"/>
            <rFont val="Tahoma"/>
            <family val="2"/>
          </rPr>
          <t xml:space="preserve">
assumed</t>
        </r>
      </text>
    </comment>
    <comment ref="BA57" authorId="0" shapeId="0" xr:uid="{C4E567F2-48BF-4A5A-A7F0-52B2432AEABF}">
      <text>
        <r>
          <rPr>
            <b/>
            <sz val="9"/>
            <color indexed="81"/>
            <rFont val="Tahoma"/>
            <family val="2"/>
          </rPr>
          <t>Gavin Mudd:</t>
        </r>
        <r>
          <rPr>
            <sz val="9"/>
            <color indexed="81"/>
            <rFont val="Tahoma"/>
            <family val="2"/>
          </rPr>
          <t xml:space="preserve">
assumed</t>
        </r>
      </text>
    </comment>
    <comment ref="BB57" authorId="0" shapeId="0" xr:uid="{33B7CD50-ECE3-4950-9C04-4E4CDC755C95}">
      <text>
        <r>
          <rPr>
            <b/>
            <sz val="9"/>
            <color indexed="81"/>
            <rFont val="Tahoma"/>
            <family val="2"/>
          </rPr>
          <t>Gavin Mudd:</t>
        </r>
        <r>
          <rPr>
            <sz val="9"/>
            <color indexed="81"/>
            <rFont val="Tahoma"/>
            <family val="2"/>
          </rPr>
          <t xml:space="preserve">
assumed</t>
        </r>
      </text>
    </comment>
    <comment ref="CD57" authorId="0" shapeId="0" xr:uid="{8F485061-E842-4F5D-9238-A777D03868F5}">
      <text>
        <r>
          <rPr>
            <b/>
            <sz val="9"/>
            <color indexed="81"/>
            <rFont val="Tahoma"/>
            <family val="2"/>
          </rPr>
          <t>Gavin Mudd:</t>
        </r>
        <r>
          <rPr>
            <sz val="9"/>
            <color indexed="81"/>
            <rFont val="Tahoma"/>
            <family val="2"/>
          </rPr>
          <t xml:space="preserve">
assumed</t>
        </r>
      </text>
    </comment>
    <comment ref="CE57" authorId="0" shapeId="0" xr:uid="{48D57EBB-6FCB-4FC2-8085-CAD681D6BBB4}">
      <text>
        <r>
          <rPr>
            <b/>
            <sz val="9"/>
            <color indexed="81"/>
            <rFont val="Tahoma"/>
            <family val="2"/>
          </rPr>
          <t>Gavin Mudd:</t>
        </r>
        <r>
          <rPr>
            <sz val="9"/>
            <color indexed="81"/>
            <rFont val="Tahoma"/>
            <family val="2"/>
          </rPr>
          <t xml:space="preserve">
assumed</t>
        </r>
      </text>
    </comment>
    <comment ref="CG57" authorId="0" shapeId="0" xr:uid="{130329D1-B23C-448F-B178-A3243ABDCD44}">
      <text>
        <r>
          <rPr>
            <b/>
            <sz val="9"/>
            <color indexed="81"/>
            <rFont val="Tahoma"/>
            <family val="2"/>
          </rPr>
          <t>Gavin Mudd:</t>
        </r>
        <r>
          <rPr>
            <sz val="9"/>
            <color indexed="81"/>
            <rFont val="Tahoma"/>
            <family val="2"/>
          </rPr>
          <t xml:space="preserve">
best estimate based on cumulative production 1891 to 1905 of 84.2 long tons</t>
        </r>
      </text>
    </comment>
    <comment ref="CH57" authorId="0" shapeId="0" xr:uid="{BC73CC0B-0C3B-468F-9D6E-DED3FB2D368D}">
      <text>
        <r>
          <rPr>
            <b/>
            <sz val="9"/>
            <color indexed="81"/>
            <rFont val="Tahoma"/>
            <family val="2"/>
          </rPr>
          <t>Gavin Mudd:</t>
        </r>
        <r>
          <rPr>
            <sz val="9"/>
            <color indexed="81"/>
            <rFont val="Tahoma"/>
            <family val="2"/>
          </rPr>
          <t xml:space="preserve">
best estimate</t>
        </r>
      </text>
    </comment>
    <comment ref="CJ57" authorId="0" shapeId="0" xr:uid="{BABB2430-134A-4C62-9C16-69CE1E66C0DF}">
      <text>
        <r>
          <rPr>
            <b/>
            <sz val="9"/>
            <color indexed="81"/>
            <rFont val="Tahoma"/>
            <family val="2"/>
          </rPr>
          <t>Gavin Mudd:</t>
        </r>
        <r>
          <rPr>
            <sz val="9"/>
            <color indexed="81"/>
            <rFont val="Tahoma"/>
            <family val="2"/>
          </rPr>
          <t xml:space="preserve">
assumed</t>
        </r>
      </text>
    </comment>
    <comment ref="CK57" authorId="0" shapeId="0" xr:uid="{E045C960-7F99-4BF6-A211-0C419E541F9B}">
      <text>
        <r>
          <rPr>
            <b/>
            <sz val="9"/>
            <color indexed="81"/>
            <rFont val="Tahoma"/>
            <family val="2"/>
          </rPr>
          <t>Gavin Mudd:</t>
        </r>
        <r>
          <rPr>
            <sz val="9"/>
            <color indexed="81"/>
            <rFont val="Tahoma"/>
            <family val="2"/>
          </rPr>
          <t xml:space="preserve">
assumed</t>
        </r>
      </text>
    </comment>
    <comment ref="CO57" authorId="0" shapeId="0" xr:uid="{AA971F1E-64EA-4E6E-892B-F3AFAE92A989}">
      <text>
        <r>
          <rPr>
            <b/>
            <sz val="9"/>
            <color indexed="81"/>
            <rFont val="Tahoma"/>
            <family val="2"/>
          </rPr>
          <t>Gavin Mudd:</t>
        </r>
        <r>
          <rPr>
            <sz val="9"/>
            <color indexed="81"/>
            <rFont val="Tahoma"/>
            <family val="2"/>
          </rPr>
          <t xml:space="preserve">
assumed</t>
        </r>
      </text>
    </comment>
    <comment ref="CP57" authorId="0" shapeId="0" xr:uid="{99D6E1B3-4450-404C-B251-FAFE31FDCD9C}">
      <text>
        <r>
          <rPr>
            <b/>
            <sz val="9"/>
            <color indexed="81"/>
            <rFont val="Tahoma"/>
            <family val="2"/>
          </rPr>
          <t>Gavin Mudd:</t>
        </r>
        <r>
          <rPr>
            <sz val="9"/>
            <color indexed="81"/>
            <rFont val="Tahoma"/>
            <family val="2"/>
          </rPr>
          <t xml:space="preserve">
assumed</t>
        </r>
      </text>
    </comment>
    <comment ref="DL57" authorId="0" shapeId="0" xr:uid="{CB43B115-0232-4C53-97A4-1375E8A9C1C3}">
      <text>
        <r>
          <rPr>
            <b/>
            <sz val="9"/>
            <color indexed="81"/>
            <rFont val="Tahoma"/>
            <family val="2"/>
          </rPr>
          <t>Gavin Mudd:</t>
        </r>
        <r>
          <rPr>
            <sz val="9"/>
            <color indexed="81"/>
            <rFont val="Tahoma"/>
            <family val="2"/>
          </rPr>
          <t xml:space="preserve">
assumed</t>
        </r>
      </text>
    </comment>
    <comment ref="DM57" authorId="0" shapeId="0" xr:uid="{172BB772-2146-4FB4-82E2-A6B08D93F9FE}">
      <text>
        <r>
          <rPr>
            <b/>
            <sz val="9"/>
            <color indexed="81"/>
            <rFont val="Tahoma"/>
            <family val="2"/>
          </rPr>
          <t>Gavin Mudd:</t>
        </r>
        <r>
          <rPr>
            <sz val="9"/>
            <color indexed="81"/>
            <rFont val="Tahoma"/>
            <family val="2"/>
          </rPr>
          <t xml:space="preserve">
assumed</t>
        </r>
      </text>
    </comment>
    <comment ref="B58" authorId="0" shapeId="0" xr:uid="{2E1649DD-AE4F-4B43-A5D5-1D45435CC013}">
      <text>
        <r>
          <rPr>
            <b/>
            <sz val="9"/>
            <color indexed="81"/>
            <rFont val="Tahoma"/>
            <family val="2"/>
          </rPr>
          <t>Gavin Mudd:</t>
        </r>
        <r>
          <rPr>
            <sz val="9"/>
            <color indexed="81"/>
            <rFont val="Tahoma"/>
            <family val="2"/>
          </rPr>
          <t xml:space="preserve">
Wyalong &amp; Fifield</t>
        </r>
      </text>
    </comment>
    <comment ref="C58" authorId="0" shapeId="0" xr:uid="{99711BD6-7BE1-4282-8F3A-F8E1EE5B16B0}">
      <text>
        <r>
          <rPr>
            <b/>
            <sz val="9"/>
            <color indexed="81"/>
            <rFont val="Tahoma"/>
            <family val="2"/>
          </rPr>
          <t>Gavin Mudd:</t>
        </r>
        <r>
          <rPr>
            <sz val="9"/>
            <color indexed="81"/>
            <rFont val="Tahoma"/>
            <family val="2"/>
          </rPr>
          <t xml:space="preserve">
assumed</t>
        </r>
      </text>
    </comment>
    <comment ref="P58" authorId="0" shapeId="0" xr:uid="{74B72364-BD86-436F-B6B2-115011271702}">
      <text>
        <r>
          <rPr>
            <b/>
            <sz val="9"/>
            <color indexed="81"/>
            <rFont val="Tahoma"/>
            <family val="2"/>
          </rPr>
          <t>Gavin Mudd:</t>
        </r>
        <r>
          <rPr>
            <sz val="9"/>
            <color indexed="81"/>
            <rFont val="Tahoma"/>
            <family val="2"/>
          </rPr>
          <t xml:space="preserve">
Tumbarumba</t>
        </r>
      </text>
    </comment>
    <comment ref="Q58" authorId="0" shapeId="0" xr:uid="{715B0B3E-C414-4F47-BFD3-801A2F7AE91A}">
      <text>
        <r>
          <rPr>
            <b/>
            <sz val="9"/>
            <color indexed="81"/>
            <rFont val="Tahoma"/>
            <family val="2"/>
          </rPr>
          <t>Gavin Mudd:</t>
        </r>
        <r>
          <rPr>
            <sz val="9"/>
            <color indexed="81"/>
            <rFont val="Tahoma"/>
            <family val="2"/>
          </rPr>
          <t xml:space="preserve">
assumed</t>
        </r>
      </text>
    </comment>
    <comment ref="U58" authorId="0" shapeId="0" xr:uid="{48ED8C58-1F27-485D-BE8A-D786BE674333}">
      <text>
        <r>
          <rPr>
            <b/>
            <sz val="9"/>
            <color indexed="81"/>
            <rFont val="Tahoma"/>
            <family val="2"/>
          </rPr>
          <t>Gavin Mudd:</t>
        </r>
        <r>
          <rPr>
            <sz val="9"/>
            <color indexed="81"/>
            <rFont val="Tahoma"/>
            <family val="2"/>
          </rPr>
          <t xml:space="preserve">
assumed</t>
        </r>
      </text>
    </comment>
    <comment ref="W58" authorId="0" shapeId="0" xr:uid="{BA3A81A3-D300-45A5-B9D6-103CE8E7EF45}">
      <text>
        <r>
          <rPr>
            <b/>
            <sz val="9"/>
            <color indexed="81"/>
            <rFont val="Tahoma"/>
            <family val="2"/>
          </rPr>
          <t>Gavin Mudd:</t>
        </r>
        <r>
          <rPr>
            <sz val="9"/>
            <color indexed="81"/>
            <rFont val="Tahoma"/>
            <family val="2"/>
          </rPr>
          <t xml:space="preserve">
assumed</t>
        </r>
      </text>
    </comment>
    <comment ref="Y58" authorId="0" shapeId="0" xr:uid="{66064860-B4D6-41D3-8348-FF88981DA874}">
      <text>
        <r>
          <rPr>
            <b/>
            <sz val="9"/>
            <color indexed="81"/>
            <rFont val="Tahoma"/>
            <family val="2"/>
          </rPr>
          <t>Gavin Mudd:</t>
        </r>
        <r>
          <rPr>
            <sz val="9"/>
            <color indexed="81"/>
            <rFont val="Tahoma"/>
            <family val="2"/>
          </rPr>
          <t xml:space="preserve">
assumed</t>
        </r>
      </text>
    </comment>
    <comment ref="AG58" authorId="0" shapeId="0" xr:uid="{F1490748-A146-45F1-850D-98599B9C757A}">
      <text>
        <r>
          <rPr>
            <b/>
            <sz val="9"/>
            <color indexed="81"/>
            <rFont val="Tahoma"/>
            <family val="2"/>
          </rPr>
          <t>Gavin Mudd:</t>
        </r>
        <r>
          <rPr>
            <sz val="9"/>
            <color indexed="81"/>
            <rFont val="Tahoma"/>
            <family val="2"/>
          </rPr>
          <t xml:space="preserve">
assumed</t>
        </r>
      </text>
    </comment>
    <comment ref="AK58" authorId="0" shapeId="0" xr:uid="{A8C64ECF-8B5E-42E3-8B60-91F108A7FADF}">
      <text>
        <r>
          <rPr>
            <b/>
            <sz val="9"/>
            <color indexed="81"/>
            <rFont val="Tahoma"/>
            <family val="2"/>
          </rPr>
          <t>Gavin Mudd:</t>
        </r>
        <r>
          <rPr>
            <sz val="9"/>
            <color indexed="81"/>
            <rFont val="Tahoma"/>
            <family val="2"/>
          </rPr>
          <t xml:space="preserve">
assumed</t>
        </r>
      </text>
    </comment>
    <comment ref="AM58" authorId="0" shapeId="0" xr:uid="{9602D223-58B5-4AD8-91ED-90A0AB466E31}">
      <text>
        <r>
          <rPr>
            <b/>
            <sz val="9"/>
            <color indexed="81"/>
            <rFont val="Tahoma"/>
            <family val="2"/>
          </rPr>
          <t>Gavin Mudd:</t>
        </r>
        <r>
          <rPr>
            <sz val="9"/>
            <color indexed="81"/>
            <rFont val="Tahoma"/>
            <family val="2"/>
          </rPr>
          <t xml:space="preserve">
assumed</t>
        </r>
      </text>
    </comment>
    <comment ref="AO58" authorId="0" shapeId="0" xr:uid="{F2285CCD-FEC3-4211-9142-AA8424D48B0F}">
      <text>
        <r>
          <rPr>
            <b/>
            <sz val="9"/>
            <color indexed="81"/>
            <rFont val="Tahoma"/>
            <family val="2"/>
          </rPr>
          <t>Gavin Mudd:</t>
        </r>
        <r>
          <rPr>
            <sz val="9"/>
            <color indexed="81"/>
            <rFont val="Tahoma"/>
            <family val="2"/>
          </rPr>
          <t xml:space="preserve">
assumed</t>
        </r>
      </text>
    </comment>
    <comment ref="AS58" authorId="0" shapeId="0" xr:uid="{2AD24D2B-26EB-444C-8446-20A382E5C711}">
      <text>
        <r>
          <rPr>
            <b/>
            <sz val="9"/>
            <color indexed="81"/>
            <rFont val="Tahoma"/>
            <family val="2"/>
          </rPr>
          <t>Gavin Mudd:</t>
        </r>
        <r>
          <rPr>
            <sz val="9"/>
            <color indexed="81"/>
            <rFont val="Tahoma"/>
            <family val="2"/>
          </rPr>
          <t xml:space="preserve">
assumed</t>
        </r>
      </text>
    </comment>
    <comment ref="BA58" authorId="0" shapeId="0" xr:uid="{2C761584-B2BC-4054-AD75-ACAFFDA45824}">
      <text>
        <r>
          <rPr>
            <b/>
            <sz val="9"/>
            <color indexed="81"/>
            <rFont val="Tahoma"/>
            <family val="2"/>
          </rPr>
          <t>Gavin Mudd:</t>
        </r>
        <r>
          <rPr>
            <sz val="9"/>
            <color indexed="81"/>
            <rFont val="Tahoma"/>
            <family val="2"/>
          </rPr>
          <t xml:space="preserve">
assumed</t>
        </r>
      </text>
    </comment>
    <comment ref="BB58" authorId="0" shapeId="0" xr:uid="{62D0BAF1-03E7-4DAC-8BA1-FC7B67CFD10C}">
      <text>
        <r>
          <rPr>
            <b/>
            <sz val="9"/>
            <color indexed="81"/>
            <rFont val="Tahoma"/>
            <family val="2"/>
          </rPr>
          <t>Gavin Mudd:</t>
        </r>
        <r>
          <rPr>
            <sz val="9"/>
            <color indexed="81"/>
            <rFont val="Tahoma"/>
            <family val="2"/>
          </rPr>
          <t xml:space="preserve">
assumed</t>
        </r>
      </text>
    </comment>
    <comment ref="CD58" authorId="0" shapeId="0" xr:uid="{667F988C-7F94-473C-852A-8CB7BE4C93FA}">
      <text>
        <r>
          <rPr>
            <b/>
            <sz val="9"/>
            <color indexed="81"/>
            <rFont val="Tahoma"/>
            <family val="2"/>
          </rPr>
          <t>Gavin Mudd:</t>
        </r>
        <r>
          <rPr>
            <sz val="9"/>
            <color indexed="81"/>
            <rFont val="Tahoma"/>
            <family val="2"/>
          </rPr>
          <t xml:space="preserve">
assumed</t>
        </r>
      </text>
    </comment>
    <comment ref="CE58" authorId="0" shapeId="0" xr:uid="{56C47879-430C-4015-AB65-C582285AB658}">
      <text>
        <r>
          <rPr>
            <b/>
            <sz val="9"/>
            <color indexed="81"/>
            <rFont val="Tahoma"/>
            <family val="2"/>
          </rPr>
          <t>Gavin Mudd:</t>
        </r>
        <r>
          <rPr>
            <sz val="9"/>
            <color indexed="81"/>
            <rFont val="Tahoma"/>
            <family val="2"/>
          </rPr>
          <t xml:space="preserve">
assumed</t>
        </r>
      </text>
    </comment>
    <comment ref="CG58" authorId="0" shapeId="0" xr:uid="{724A1F2D-30DB-4E2C-B91B-00BF29F532BB}">
      <text>
        <r>
          <rPr>
            <b/>
            <sz val="9"/>
            <color indexed="81"/>
            <rFont val="Tahoma"/>
            <family val="2"/>
          </rPr>
          <t>Gavin Mudd:</t>
        </r>
        <r>
          <rPr>
            <sz val="9"/>
            <color indexed="81"/>
            <rFont val="Tahoma"/>
            <family val="2"/>
          </rPr>
          <t xml:space="preserve">
best estimate based on cumulative production 1891 to 1905 of 84.2 long tons</t>
        </r>
      </text>
    </comment>
    <comment ref="CH58" authorId="0" shapeId="0" xr:uid="{07713E2B-2715-4F7A-AA59-CB4E54E34F35}">
      <text>
        <r>
          <rPr>
            <b/>
            <sz val="9"/>
            <color indexed="81"/>
            <rFont val="Tahoma"/>
            <family val="2"/>
          </rPr>
          <t>Gavin Mudd:</t>
        </r>
        <r>
          <rPr>
            <sz val="9"/>
            <color indexed="81"/>
            <rFont val="Tahoma"/>
            <family val="2"/>
          </rPr>
          <t xml:space="preserve">
best estimate</t>
        </r>
      </text>
    </comment>
    <comment ref="CJ58" authorId="0" shapeId="0" xr:uid="{03BA66DB-8B42-42EB-B36E-80BD8C630C20}">
      <text>
        <r>
          <rPr>
            <b/>
            <sz val="9"/>
            <color indexed="81"/>
            <rFont val="Tahoma"/>
            <family val="2"/>
          </rPr>
          <t>Gavin Mudd:</t>
        </r>
        <r>
          <rPr>
            <sz val="9"/>
            <color indexed="81"/>
            <rFont val="Tahoma"/>
            <family val="2"/>
          </rPr>
          <t xml:space="preserve">
assumed</t>
        </r>
      </text>
    </comment>
    <comment ref="CK58" authorId="0" shapeId="0" xr:uid="{D689E965-AADA-48CA-8680-1CE015E6CD6E}">
      <text>
        <r>
          <rPr>
            <b/>
            <sz val="9"/>
            <color indexed="81"/>
            <rFont val="Tahoma"/>
            <family val="2"/>
          </rPr>
          <t>Gavin Mudd:</t>
        </r>
        <r>
          <rPr>
            <sz val="9"/>
            <color indexed="81"/>
            <rFont val="Tahoma"/>
            <family val="2"/>
          </rPr>
          <t xml:space="preserve">
assumed</t>
        </r>
      </text>
    </comment>
    <comment ref="CO58" authorId="0" shapeId="0" xr:uid="{64970007-2769-4EF1-8AD6-0F38CF4DE1BC}">
      <text>
        <r>
          <rPr>
            <b/>
            <sz val="9"/>
            <color indexed="81"/>
            <rFont val="Tahoma"/>
            <family val="2"/>
          </rPr>
          <t>Gavin Mudd:</t>
        </r>
        <r>
          <rPr>
            <sz val="9"/>
            <color indexed="81"/>
            <rFont val="Tahoma"/>
            <family val="2"/>
          </rPr>
          <t xml:space="preserve">
assumed</t>
        </r>
      </text>
    </comment>
    <comment ref="CP58" authorId="0" shapeId="0" xr:uid="{CFFA0546-263D-4677-B34B-D0F35E5A02F0}">
      <text>
        <r>
          <rPr>
            <b/>
            <sz val="9"/>
            <color indexed="81"/>
            <rFont val="Tahoma"/>
            <family val="2"/>
          </rPr>
          <t>Gavin Mudd:</t>
        </r>
        <r>
          <rPr>
            <sz val="9"/>
            <color indexed="81"/>
            <rFont val="Tahoma"/>
            <family val="2"/>
          </rPr>
          <t xml:space="preserve">
assumed</t>
        </r>
      </text>
    </comment>
    <comment ref="DL58" authorId="0" shapeId="0" xr:uid="{44BEA881-E999-4442-BD3B-DA4554F71B0F}">
      <text>
        <r>
          <rPr>
            <b/>
            <sz val="9"/>
            <color indexed="81"/>
            <rFont val="Tahoma"/>
            <family val="2"/>
          </rPr>
          <t>Gavin Mudd:</t>
        </r>
        <r>
          <rPr>
            <sz val="9"/>
            <color indexed="81"/>
            <rFont val="Tahoma"/>
            <family val="2"/>
          </rPr>
          <t xml:space="preserve">
assumed</t>
        </r>
      </text>
    </comment>
    <comment ref="DM58" authorId="0" shapeId="0" xr:uid="{317A8B67-0492-47E7-8673-A0A4D6A94BA0}">
      <text>
        <r>
          <rPr>
            <b/>
            <sz val="9"/>
            <color indexed="81"/>
            <rFont val="Tahoma"/>
            <family val="2"/>
          </rPr>
          <t>Gavin Mudd:</t>
        </r>
        <r>
          <rPr>
            <sz val="9"/>
            <color indexed="81"/>
            <rFont val="Tahoma"/>
            <family val="2"/>
          </rPr>
          <t xml:space="preserve">
assumed</t>
        </r>
      </text>
    </comment>
    <comment ref="B59" authorId="0" shapeId="0" xr:uid="{A9707B72-F5EB-42DF-AFEE-68BA018D18F4}">
      <text>
        <r>
          <rPr>
            <b/>
            <sz val="9"/>
            <color indexed="81"/>
            <rFont val="Tahoma"/>
            <family val="2"/>
          </rPr>
          <t>Gavin Mudd:</t>
        </r>
        <r>
          <rPr>
            <sz val="9"/>
            <color indexed="81"/>
            <rFont val="Tahoma"/>
            <family val="2"/>
          </rPr>
          <t xml:space="preserve">
Wyalong &amp; Fifield</t>
        </r>
      </text>
    </comment>
    <comment ref="C59" authorId="0" shapeId="0" xr:uid="{D2A3E31F-749B-4FDE-895F-231A122F3D48}">
      <text>
        <r>
          <rPr>
            <b/>
            <sz val="9"/>
            <color indexed="81"/>
            <rFont val="Tahoma"/>
            <family val="2"/>
          </rPr>
          <t>Gavin Mudd:</t>
        </r>
        <r>
          <rPr>
            <sz val="9"/>
            <color indexed="81"/>
            <rFont val="Tahoma"/>
            <family val="2"/>
          </rPr>
          <t xml:space="preserve">
assumed</t>
        </r>
      </text>
    </comment>
    <comment ref="E59" authorId="0" shapeId="0" xr:uid="{22B2A72E-3741-49FF-8A0C-486A400E6772}">
      <text>
        <r>
          <rPr>
            <b/>
            <sz val="9"/>
            <color indexed="81"/>
            <rFont val="Tahoma"/>
            <family val="2"/>
          </rPr>
          <t>Gavin Mudd:</t>
        </r>
        <r>
          <rPr>
            <sz val="9"/>
            <color indexed="81"/>
            <rFont val="Tahoma"/>
            <family val="2"/>
          </rPr>
          <t xml:space="preserve">
assumed</t>
        </r>
      </text>
    </comment>
    <comment ref="K59" authorId="0" shapeId="0" xr:uid="{562F9903-6B6D-4D2C-86E3-1C658FBE94CD}">
      <text>
        <r>
          <rPr>
            <b/>
            <sz val="9"/>
            <color indexed="81"/>
            <rFont val="Tahoma"/>
            <family val="2"/>
          </rPr>
          <t>Gavin Mudd:</t>
        </r>
        <r>
          <rPr>
            <sz val="9"/>
            <color indexed="81"/>
            <rFont val="Tahoma"/>
            <family val="2"/>
          </rPr>
          <t xml:space="preserve">
assumed</t>
        </r>
      </text>
    </comment>
    <comment ref="U59" authorId="0" shapeId="0" xr:uid="{4EE8B7DF-C825-4D62-89A7-36D726ABDB68}">
      <text>
        <r>
          <rPr>
            <b/>
            <sz val="9"/>
            <color indexed="81"/>
            <rFont val="Tahoma"/>
            <family val="2"/>
          </rPr>
          <t>Gavin Mudd:</t>
        </r>
        <r>
          <rPr>
            <sz val="9"/>
            <color indexed="81"/>
            <rFont val="Tahoma"/>
            <family val="2"/>
          </rPr>
          <t xml:space="preserve">
assumed</t>
        </r>
      </text>
    </comment>
    <comment ref="W59" authorId="0" shapeId="0" xr:uid="{67208DB9-4916-4776-AE5E-21DDEB94724B}">
      <text>
        <r>
          <rPr>
            <b/>
            <sz val="9"/>
            <color indexed="81"/>
            <rFont val="Tahoma"/>
            <family val="2"/>
          </rPr>
          <t>Gavin Mudd:</t>
        </r>
        <r>
          <rPr>
            <sz val="9"/>
            <color indexed="81"/>
            <rFont val="Tahoma"/>
            <family val="2"/>
          </rPr>
          <t xml:space="preserve">
assumed</t>
        </r>
      </text>
    </comment>
    <comment ref="Y59" authorId="0" shapeId="0" xr:uid="{C74148F2-E2FB-4827-9D40-4906D8493368}">
      <text>
        <r>
          <rPr>
            <b/>
            <sz val="9"/>
            <color indexed="81"/>
            <rFont val="Tahoma"/>
            <family val="2"/>
          </rPr>
          <t>Gavin Mudd:</t>
        </r>
        <r>
          <rPr>
            <sz val="9"/>
            <color indexed="81"/>
            <rFont val="Tahoma"/>
            <family val="2"/>
          </rPr>
          <t xml:space="preserve">
assumed</t>
        </r>
      </text>
    </comment>
    <comment ref="AC59" authorId="0" shapeId="0" xr:uid="{2EA2093B-7A73-4C64-8F89-CB38D5DA7F28}">
      <text>
        <r>
          <rPr>
            <b/>
            <sz val="9"/>
            <color indexed="81"/>
            <rFont val="Tahoma"/>
            <family val="2"/>
          </rPr>
          <t>Gavin Mudd:</t>
        </r>
        <r>
          <rPr>
            <sz val="9"/>
            <color indexed="81"/>
            <rFont val="Tahoma"/>
            <family val="2"/>
          </rPr>
          <t xml:space="preserve">
assumed</t>
        </r>
      </text>
    </comment>
    <comment ref="AG59" authorId="0" shapeId="0" xr:uid="{84E46867-19A4-44C9-907D-1C089BC03E37}">
      <text>
        <r>
          <rPr>
            <b/>
            <sz val="9"/>
            <color indexed="81"/>
            <rFont val="Tahoma"/>
            <family val="2"/>
          </rPr>
          <t>Gavin Mudd:</t>
        </r>
        <r>
          <rPr>
            <sz val="9"/>
            <color indexed="81"/>
            <rFont val="Tahoma"/>
            <family val="2"/>
          </rPr>
          <t xml:space="preserve">
assumed</t>
        </r>
      </text>
    </comment>
    <comment ref="AK59" authorId="0" shapeId="0" xr:uid="{745E0E12-B9CB-49A6-BA44-600FF4EF1FB0}">
      <text>
        <r>
          <rPr>
            <b/>
            <sz val="9"/>
            <color indexed="81"/>
            <rFont val="Tahoma"/>
            <family val="2"/>
          </rPr>
          <t>Gavin Mudd:</t>
        </r>
        <r>
          <rPr>
            <sz val="9"/>
            <color indexed="81"/>
            <rFont val="Tahoma"/>
            <family val="2"/>
          </rPr>
          <t xml:space="preserve">
assumed</t>
        </r>
      </text>
    </comment>
    <comment ref="AL59" authorId="0" shapeId="0" xr:uid="{924D748E-7F3B-4395-8827-A31E4B03CA6E}">
      <text>
        <r>
          <rPr>
            <b/>
            <sz val="9"/>
            <color indexed="81"/>
            <rFont val="Tahoma"/>
            <family val="2"/>
          </rPr>
          <t>Gavin Mudd:</t>
        </r>
        <r>
          <rPr>
            <sz val="9"/>
            <color indexed="81"/>
            <rFont val="Tahoma"/>
            <family val="2"/>
          </rPr>
          <t xml:space="preserve">
best guesstimate</t>
        </r>
      </text>
    </comment>
    <comment ref="AM59" authorId="0" shapeId="0" xr:uid="{6609D24F-6F0C-4631-A8F6-B8FA2E80E609}">
      <text>
        <r>
          <rPr>
            <b/>
            <sz val="9"/>
            <color indexed="81"/>
            <rFont val="Tahoma"/>
            <family val="2"/>
          </rPr>
          <t>Gavin Mudd:</t>
        </r>
        <r>
          <rPr>
            <sz val="9"/>
            <color indexed="81"/>
            <rFont val="Tahoma"/>
            <family val="2"/>
          </rPr>
          <t xml:space="preserve">
assumed</t>
        </r>
      </text>
    </comment>
    <comment ref="AO59" authorId="0" shapeId="0" xr:uid="{379F8F91-809C-419E-8584-1944024BB28B}">
      <text>
        <r>
          <rPr>
            <b/>
            <sz val="9"/>
            <color indexed="81"/>
            <rFont val="Tahoma"/>
            <family val="2"/>
          </rPr>
          <t>Gavin Mudd:</t>
        </r>
        <r>
          <rPr>
            <sz val="9"/>
            <color indexed="81"/>
            <rFont val="Tahoma"/>
            <family val="2"/>
          </rPr>
          <t xml:space="preserve">
assumed</t>
        </r>
      </text>
    </comment>
    <comment ref="AS59" authorId="0" shapeId="0" xr:uid="{C4A22B1D-A628-4DBF-B47C-CF477061433D}">
      <text>
        <r>
          <rPr>
            <b/>
            <sz val="9"/>
            <color indexed="81"/>
            <rFont val="Tahoma"/>
            <family val="2"/>
          </rPr>
          <t>Gavin Mudd:</t>
        </r>
        <r>
          <rPr>
            <sz val="9"/>
            <color indexed="81"/>
            <rFont val="Tahoma"/>
            <family val="2"/>
          </rPr>
          <t xml:space="preserve">
assumed</t>
        </r>
      </text>
    </comment>
    <comment ref="BA59" authorId="0" shapeId="0" xr:uid="{5CF7D389-92DA-4CBF-91EB-F5C669161165}">
      <text>
        <r>
          <rPr>
            <b/>
            <sz val="9"/>
            <color indexed="81"/>
            <rFont val="Tahoma"/>
            <family val="2"/>
          </rPr>
          <t>Gavin Mudd:</t>
        </r>
        <r>
          <rPr>
            <sz val="9"/>
            <color indexed="81"/>
            <rFont val="Tahoma"/>
            <family val="2"/>
          </rPr>
          <t xml:space="preserve">
assumed</t>
        </r>
      </text>
    </comment>
    <comment ref="BB59" authorId="0" shapeId="0" xr:uid="{FC41995C-C4EB-4D6D-9B46-FBB3BC86E1BB}">
      <text>
        <r>
          <rPr>
            <b/>
            <sz val="9"/>
            <color indexed="81"/>
            <rFont val="Tahoma"/>
            <family val="2"/>
          </rPr>
          <t>Gavin Mudd:</t>
        </r>
        <r>
          <rPr>
            <sz val="9"/>
            <color indexed="81"/>
            <rFont val="Tahoma"/>
            <family val="2"/>
          </rPr>
          <t xml:space="preserve">
assumed</t>
        </r>
      </text>
    </comment>
    <comment ref="CD59" authorId="0" shapeId="0" xr:uid="{55166AFE-9C72-4CD6-898E-2BD83BDE1465}">
      <text>
        <r>
          <rPr>
            <b/>
            <sz val="9"/>
            <color indexed="81"/>
            <rFont val="Tahoma"/>
            <family val="2"/>
          </rPr>
          <t>Gavin Mudd:</t>
        </r>
        <r>
          <rPr>
            <sz val="9"/>
            <color indexed="81"/>
            <rFont val="Tahoma"/>
            <family val="2"/>
          </rPr>
          <t xml:space="preserve">
assumed</t>
        </r>
      </text>
    </comment>
    <comment ref="CE59" authorId="0" shapeId="0" xr:uid="{BECD3172-496F-4525-B7BC-1F5191D5CB02}">
      <text>
        <r>
          <rPr>
            <b/>
            <sz val="9"/>
            <color indexed="81"/>
            <rFont val="Tahoma"/>
            <family val="2"/>
          </rPr>
          <t>Gavin Mudd:</t>
        </r>
        <r>
          <rPr>
            <sz val="9"/>
            <color indexed="81"/>
            <rFont val="Tahoma"/>
            <family val="2"/>
          </rPr>
          <t xml:space="preserve">
assumed</t>
        </r>
      </text>
    </comment>
    <comment ref="CJ59" authorId="0" shapeId="0" xr:uid="{9B2397D7-E1EB-4141-BBBA-0452888972A6}">
      <text>
        <r>
          <rPr>
            <b/>
            <sz val="9"/>
            <color indexed="81"/>
            <rFont val="Tahoma"/>
            <family val="2"/>
          </rPr>
          <t>Gavin Mudd:</t>
        </r>
        <r>
          <rPr>
            <sz val="9"/>
            <color indexed="81"/>
            <rFont val="Tahoma"/>
            <family val="2"/>
          </rPr>
          <t xml:space="preserve">
assumed</t>
        </r>
      </text>
    </comment>
    <comment ref="CK59" authorId="0" shapeId="0" xr:uid="{B1EB831C-48F3-4B1C-9071-F8FE5DA0548A}">
      <text>
        <r>
          <rPr>
            <b/>
            <sz val="9"/>
            <color indexed="81"/>
            <rFont val="Tahoma"/>
            <family val="2"/>
          </rPr>
          <t>Gavin Mudd:</t>
        </r>
        <r>
          <rPr>
            <sz val="9"/>
            <color indexed="81"/>
            <rFont val="Tahoma"/>
            <family val="2"/>
          </rPr>
          <t xml:space="preserve">
assumed</t>
        </r>
      </text>
    </comment>
    <comment ref="CO59" authorId="0" shapeId="0" xr:uid="{4C00B7BC-9655-4B14-BC42-DA96E5BDF902}">
      <text>
        <r>
          <rPr>
            <b/>
            <sz val="9"/>
            <color indexed="81"/>
            <rFont val="Tahoma"/>
            <family val="2"/>
          </rPr>
          <t>Gavin Mudd:</t>
        </r>
        <r>
          <rPr>
            <sz val="9"/>
            <color indexed="81"/>
            <rFont val="Tahoma"/>
            <family val="2"/>
          </rPr>
          <t xml:space="preserve">
assumed</t>
        </r>
      </text>
    </comment>
    <comment ref="CP59" authorId="0" shapeId="0" xr:uid="{724E2CE9-2DAD-4FB8-BF96-365D430923C1}">
      <text>
        <r>
          <rPr>
            <b/>
            <sz val="9"/>
            <color indexed="81"/>
            <rFont val="Tahoma"/>
            <family val="2"/>
          </rPr>
          <t>Gavin Mudd:</t>
        </r>
        <r>
          <rPr>
            <sz val="9"/>
            <color indexed="81"/>
            <rFont val="Tahoma"/>
            <family val="2"/>
          </rPr>
          <t xml:space="preserve">
assumed</t>
        </r>
      </text>
    </comment>
    <comment ref="DL59" authorId="0" shapeId="0" xr:uid="{6BB40FB0-7E66-47F0-91EA-A408E7700495}">
      <text>
        <r>
          <rPr>
            <b/>
            <sz val="9"/>
            <color indexed="81"/>
            <rFont val="Tahoma"/>
            <family val="2"/>
          </rPr>
          <t>Gavin Mudd:</t>
        </r>
        <r>
          <rPr>
            <sz val="9"/>
            <color indexed="81"/>
            <rFont val="Tahoma"/>
            <family val="2"/>
          </rPr>
          <t xml:space="preserve">
assumed</t>
        </r>
      </text>
    </comment>
    <comment ref="DM59" authorId="0" shapeId="0" xr:uid="{D39E80E5-F10E-45E1-8B9D-F9ED98E8E433}">
      <text>
        <r>
          <rPr>
            <b/>
            <sz val="9"/>
            <color indexed="81"/>
            <rFont val="Tahoma"/>
            <family val="2"/>
          </rPr>
          <t>Gavin Mudd:</t>
        </r>
        <r>
          <rPr>
            <sz val="9"/>
            <color indexed="81"/>
            <rFont val="Tahoma"/>
            <family val="2"/>
          </rPr>
          <t xml:space="preserve">
assumed</t>
        </r>
      </text>
    </comment>
    <comment ref="E60" authorId="0" shapeId="0" xr:uid="{FFCC42B7-467C-4735-8E20-293619F0A15B}">
      <text>
        <r>
          <rPr>
            <b/>
            <sz val="9"/>
            <color indexed="81"/>
            <rFont val="Tahoma"/>
            <family val="2"/>
          </rPr>
          <t>Gavin Mudd:</t>
        </r>
        <r>
          <rPr>
            <sz val="9"/>
            <color indexed="81"/>
            <rFont val="Tahoma"/>
            <family val="2"/>
          </rPr>
          <t xml:space="preserve">
assumed</t>
        </r>
      </text>
    </comment>
    <comment ref="K60" authorId="0" shapeId="0" xr:uid="{02F5A7F9-B785-4FC2-99CA-542B951A400E}">
      <text>
        <r>
          <rPr>
            <b/>
            <sz val="9"/>
            <color indexed="81"/>
            <rFont val="Tahoma"/>
            <family val="2"/>
          </rPr>
          <t>Gavin Mudd:</t>
        </r>
        <r>
          <rPr>
            <sz val="9"/>
            <color indexed="81"/>
            <rFont val="Tahoma"/>
            <family val="2"/>
          </rPr>
          <t xml:space="preserve">
assumed</t>
        </r>
      </text>
    </comment>
    <comment ref="U60" authorId="0" shapeId="0" xr:uid="{481E485B-CEAF-4F5F-B150-158C9188B44A}">
      <text>
        <r>
          <rPr>
            <b/>
            <sz val="9"/>
            <color indexed="81"/>
            <rFont val="Tahoma"/>
            <family val="2"/>
          </rPr>
          <t>Gavin Mudd:</t>
        </r>
        <r>
          <rPr>
            <sz val="9"/>
            <color indexed="81"/>
            <rFont val="Tahoma"/>
            <family val="2"/>
          </rPr>
          <t xml:space="preserve">
assumed</t>
        </r>
      </text>
    </comment>
    <comment ref="W60" authorId="0" shapeId="0" xr:uid="{D4AF236B-A9BF-4BD5-97CC-7E91F542EBBB}">
      <text>
        <r>
          <rPr>
            <b/>
            <sz val="9"/>
            <color indexed="81"/>
            <rFont val="Tahoma"/>
            <family val="2"/>
          </rPr>
          <t>Gavin Mudd:</t>
        </r>
        <r>
          <rPr>
            <sz val="9"/>
            <color indexed="81"/>
            <rFont val="Tahoma"/>
            <family val="2"/>
          </rPr>
          <t xml:space="preserve">
assumed</t>
        </r>
      </text>
    </comment>
    <comment ref="Y60" authorId="0" shapeId="0" xr:uid="{C525FB35-F0C7-460A-BF0A-86EEFF7CA3C6}">
      <text>
        <r>
          <rPr>
            <b/>
            <sz val="9"/>
            <color indexed="81"/>
            <rFont val="Tahoma"/>
            <family val="2"/>
          </rPr>
          <t>Gavin Mudd:</t>
        </r>
        <r>
          <rPr>
            <sz val="9"/>
            <color indexed="81"/>
            <rFont val="Tahoma"/>
            <family val="2"/>
          </rPr>
          <t xml:space="preserve">
assumed</t>
        </r>
      </text>
    </comment>
    <comment ref="AA60" authorId="0" shapeId="0" xr:uid="{48D84957-D85E-4C09-A70C-03FEB9CFC6F7}">
      <text>
        <r>
          <rPr>
            <b/>
            <sz val="9"/>
            <color indexed="81"/>
            <rFont val="Tahoma"/>
            <family val="2"/>
          </rPr>
          <t>Gavin Mudd:</t>
        </r>
        <r>
          <rPr>
            <sz val="9"/>
            <color indexed="81"/>
            <rFont val="Tahoma"/>
            <family val="2"/>
          </rPr>
          <t xml:space="preserve">
assumed</t>
        </r>
      </text>
    </comment>
    <comment ref="AG60" authorId="0" shapeId="0" xr:uid="{A2C81DA8-1F08-4E07-8585-AA67F9A5FCC7}">
      <text>
        <r>
          <rPr>
            <b/>
            <sz val="9"/>
            <color indexed="81"/>
            <rFont val="Tahoma"/>
            <family val="2"/>
          </rPr>
          <t>Gavin Mudd:</t>
        </r>
        <r>
          <rPr>
            <sz val="9"/>
            <color indexed="81"/>
            <rFont val="Tahoma"/>
            <family val="2"/>
          </rPr>
          <t xml:space="preserve">
assumed</t>
        </r>
      </text>
    </comment>
    <comment ref="AK60" authorId="0" shapeId="0" xr:uid="{EB7E96DE-1314-445A-B289-BD25033F549E}">
      <text>
        <r>
          <rPr>
            <b/>
            <sz val="9"/>
            <color indexed="81"/>
            <rFont val="Tahoma"/>
            <family val="2"/>
          </rPr>
          <t>Gavin Mudd:</t>
        </r>
        <r>
          <rPr>
            <sz val="9"/>
            <color indexed="81"/>
            <rFont val="Tahoma"/>
            <family val="2"/>
          </rPr>
          <t xml:space="preserve">
assumed</t>
        </r>
      </text>
    </comment>
    <comment ref="AM60" authorId="0" shapeId="0" xr:uid="{A8E4D073-E95E-4521-9E5B-942E3F6EF12F}">
      <text>
        <r>
          <rPr>
            <b/>
            <sz val="9"/>
            <color indexed="81"/>
            <rFont val="Tahoma"/>
            <family val="2"/>
          </rPr>
          <t>Gavin Mudd:</t>
        </r>
        <r>
          <rPr>
            <sz val="9"/>
            <color indexed="81"/>
            <rFont val="Tahoma"/>
            <family val="2"/>
          </rPr>
          <t xml:space="preserve">
assumed</t>
        </r>
      </text>
    </comment>
    <comment ref="AO60" authorId="0" shapeId="0" xr:uid="{AF1EE7E5-0BDE-479C-8F85-1C3E658CD7D7}">
      <text>
        <r>
          <rPr>
            <b/>
            <sz val="9"/>
            <color indexed="81"/>
            <rFont val="Tahoma"/>
            <family val="2"/>
          </rPr>
          <t>Gavin Mudd:</t>
        </r>
        <r>
          <rPr>
            <sz val="9"/>
            <color indexed="81"/>
            <rFont val="Tahoma"/>
            <family val="2"/>
          </rPr>
          <t xml:space="preserve">
assumed</t>
        </r>
      </text>
    </comment>
    <comment ref="AS60" authorId="0" shapeId="0" xr:uid="{A0CA5819-CE49-4CB2-BC93-5227D725014F}">
      <text>
        <r>
          <rPr>
            <b/>
            <sz val="9"/>
            <color indexed="81"/>
            <rFont val="Tahoma"/>
            <family val="2"/>
          </rPr>
          <t>Gavin Mudd:</t>
        </r>
        <r>
          <rPr>
            <sz val="9"/>
            <color indexed="81"/>
            <rFont val="Tahoma"/>
            <family val="2"/>
          </rPr>
          <t xml:space="preserve">
assumed</t>
        </r>
      </text>
    </comment>
    <comment ref="BA60" authorId="0" shapeId="0" xr:uid="{765ED512-CEA0-4195-8424-A100166E8766}">
      <text>
        <r>
          <rPr>
            <b/>
            <sz val="9"/>
            <color indexed="81"/>
            <rFont val="Tahoma"/>
            <family val="2"/>
          </rPr>
          <t>Gavin Mudd:</t>
        </r>
        <r>
          <rPr>
            <sz val="9"/>
            <color indexed="81"/>
            <rFont val="Tahoma"/>
            <family val="2"/>
          </rPr>
          <t xml:space="preserve">
assumed</t>
        </r>
      </text>
    </comment>
    <comment ref="BB60" authorId="0" shapeId="0" xr:uid="{31D8A25A-618D-4832-B327-98E7EDAA1BFB}">
      <text>
        <r>
          <rPr>
            <b/>
            <sz val="9"/>
            <color indexed="81"/>
            <rFont val="Tahoma"/>
            <family val="2"/>
          </rPr>
          <t>Gavin Mudd:</t>
        </r>
        <r>
          <rPr>
            <sz val="9"/>
            <color indexed="81"/>
            <rFont val="Tahoma"/>
            <family val="2"/>
          </rPr>
          <t xml:space="preserve">
assumed</t>
        </r>
      </text>
    </comment>
    <comment ref="CD60" authorId="0" shapeId="0" xr:uid="{599A1A47-F573-403F-856C-9C7560E1AF96}">
      <text>
        <r>
          <rPr>
            <b/>
            <sz val="9"/>
            <color indexed="81"/>
            <rFont val="Tahoma"/>
            <family val="2"/>
          </rPr>
          <t>Gavin Mudd:</t>
        </r>
        <r>
          <rPr>
            <sz val="9"/>
            <color indexed="81"/>
            <rFont val="Tahoma"/>
            <family val="2"/>
          </rPr>
          <t xml:space="preserve">
assumed</t>
        </r>
      </text>
    </comment>
    <comment ref="CE60" authorId="0" shapeId="0" xr:uid="{989CB8EB-7A6D-49CD-8D9F-B9861A9F3A10}">
      <text>
        <r>
          <rPr>
            <b/>
            <sz val="9"/>
            <color indexed="81"/>
            <rFont val="Tahoma"/>
            <family val="2"/>
          </rPr>
          <t>Gavin Mudd:</t>
        </r>
        <r>
          <rPr>
            <sz val="9"/>
            <color indexed="81"/>
            <rFont val="Tahoma"/>
            <family val="2"/>
          </rPr>
          <t xml:space="preserve">
assumed</t>
        </r>
      </text>
    </comment>
    <comment ref="CJ60" authorId="0" shapeId="0" xr:uid="{F31B36A2-E364-4436-A941-1672D1EAAE37}">
      <text>
        <r>
          <rPr>
            <b/>
            <sz val="9"/>
            <color indexed="81"/>
            <rFont val="Tahoma"/>
            <family val="2"/>
          </rPr>
          <t>Gavin Mudd:</t>
        </r>
        <r>
          <rPr>
            <sz val="9"/>
            <color indexed="81"/>
            <rFont val="Tahoma"/>
            <family val="2"/>
          </rPr>
          <t xml:space="preserve">
assumed</t>
        </r>
      </text>
    </comment>
    <comment ref="CK60" authorId="0" shapeId="0" xr:uid="{1EDED4DC-A2F4-405A-AB4F-063402114360}">
      <text>
        <r>
          <rPr>
            <b/>
            <sz val="9"/>
            <color indexed="81"/>
            <rFont val="Tahoma"/>
            <family val="2"/>
          </rPr>
          <t>Gavin Mudd:</t>
        </r>
        <r>
          <rPr>
            <sz val="9"/>
            <color indexed="81"/>
            <rFont val="Tahoma"/>
            <family val="2"/>
          </rPr>
          <t xml:space="preserve">
assumed</t>
        </r>
      </text>
    </comment>
    <comment ref="CO60" authorId="0" shapeId="0" xr:uid="{EFD1FD3F-38A0-4CB8-981D-FC23142903B3}">
      <text>
        <r>
          <rPr>
            <b/>
            <sz val="9"/>
            <color indexed="81"/>
            <rFont val="Tahoma"/>
            <family val="2"/>
          </rPr>
          <t>Gavin Mudd:</t>
        </r>
        <r>
          <rPr>
            <sz val="9"/>
            <color indexed="81"/>
            <rFont val="Tahoma"/>
            <family val="2"/>
          </rPr>
          <t xml:space="preserve">
assumed</t>
        </r>
      </text>
    </comment>
    <comment ref="CP60" authorId="0" shapeId="0" xr:uid="{36B643AF-7FBE-4239-B98B-4879C3592116}">
      <text>
        <r>
          <rPr>
            <b/>
            <sz val="9"/>
            <color indexed="81"/>
            <rFont val="Tahoma"/>
            <family val="2"/>
          </rPr>
          <t>Gavin Mudd:</t>
        </r>
        <r>
          <rPr>
            <sz val="9"/>
            <color indexed="81"/>
            <rFont val="Tahoma"/>
            <family val="2"/>
          </rPr>
          <t xml:space="preserve">
assumed</t>
        </r>
      </text>
    </comment>
    <comment ref="DL60" authorId="0" shapeId="0" xr:uid="{C8D6BAD7-D28F-49D2-BB9A-5E67F40A8E48}">
      <text>
        <r>
          <rPr>
            <b/>
            <sz val="9"/>
            <color indexed="81"/>
            <rFont val="Tahoma"/>
            <family val="2"/>
          </rPr>
          <t>Gavin Mudd:</t>
        </r>
        <r>
          <rPr>
            <sz val="9"/>
            <color indexed="81"/>
            <rFont val="Tahoma"/>
            <family val="2"/>
          </rPr>
          <t xml:space="preserve">
assumed</t>
        </r>
      </text>
    </comment>
    <comment ref="DM60" authorId="0" shapeId="0" xr:uid="{F406186C-8B84-45F0-863E-502504D256B8}">
      <text>
        <r>
          <rPr>
            <b/>
            <sz val="9"/>
            <color indexed="81"/>
            <rFont val="Tahoma"/>
            <family val="2"/>
          </rPr>
          <t>Gavin Mudd:</t>
        </r>
        <r>
          <rPr>
            <sz val="9"/>
            <color indexed="81"/>
            <rFont val="Tahoma"/>
            <family val="2"/>
          </rPr>
          <t xml:space="preserve">
assumed</t>
        </r>
      </text>
    </comment>
    <comment ref="B61" authorId="0" shapeId="0" xr:uid="{FF85BF17-916B-4544-A7F7-C250401968E2}">
      <text>
        <r>
          <rPr>
            <b/>
            <sz val="9"/>
            <color indexed="81"/>
            <rFont val="Tahoma"/>
            <family val="2"/>
          </rPr>
          <t>Gavin Mudd:</t>
        </r>
        <r>
          <rPr>
            <sz val="9"/>
            <color indexed="81"/>
            <rFont val="Tahoma"/>
            <family val="2"/>
          </rPr>
          <t xml:space="preserve">
Fifield</t>
        </r>
      </text>
    </comment>
    <comment ref="C61" authorId="0" shapeId="0" xr:uid="{A3E3C7C9-C90E-4267-81A4-22A842E3A31B}">
      <text>
        <r>
          <rPr>
            <b/>
            <sz val="9"/>
            <color indexed="81"/>
            <rFont val="Tahoma"/>
            <family val="2"/>
          </rPr>
          <t>Gavin Mudd:</t>
        </r>
        <r>
          <rPr>
            <sz val="9"/>
            <color indexed="81"/>
            <rFont val="Tahoma"/>
            <family val="2"/>
          </rPr>
          <t xml:space="preserve">
assumed</t>
        </r>
      </text>
    </comment>
    <comment ref="E61" authorId="0" shapeId="0" xr:uid="{F82FC38A-A796-414B-A199-0569DF2867AC}">
      <text>
        <r>
          <rPr>
            <b/>
            <sz val="9"/>
            <color indexed="81"/>
            <rFont val="Tahoma"/>
            <family val="2"/>
          </rPr>
          <t>Gavin Mudd:</t>
        </r>
        <r>
          <rPr>
            <sz val="9"/>
            <color indexed="81"/>
            <rFont val="Tahoma"/>
            <family val="2"/>
          </rPr>
          <t xml:space="preserve">
assumed</t>
        </r>
      </text>
    </comment>
    <comment ref="K61" authorId="0" shapeId="0" xr:uid="{70DCDFE3-C46F-47DF-819B-67C4B06C01F3}">
      <text>
        <r>
          <rPr>
            <b/>
            <sz val="9"/>
            <color indexed="81"/>
            <rFont val="Tahoma"/>
            <family val="2"/>
          </rPr>
          <t>Gavin Mudd:</t>
        </r>
        <r>
          <rPr>
            <sz val="9"/>
            <color indexed="81"/>
            <rFont val="Tahoma"/>
            <family val="2"/>
          </rPr>
          <t xml:space="preserve">
assumed</t>
        </r>
      </text>
    </comment>
    <comment ref="W61" authorId="0" shapeId="0" xr:uid="{F99DD015-C54C-48DA-946F-AC2CF24C618B}">
      <text>
        <r>
          <rPr>
            <b/>
            <sz val="9"/>
            <color indexed="81"/>
            <rFont val="Tahoma"/>
            <family val="2"/>
          </rPr>
          <t>Gavin Mudd:</t>
        </r>
        <r>
          <rPr>
            <sz val="9"/>
            <color indexed="81"/>
            <rFont val="Tahoma"/>
            <family val="2"/>
          </rPr>
          <t xml:space="preserve">
assumed</t>
        </r>
      </text>
    </comment>
    <comment ref="Y61" authorId="0" shapeId="0" xr:uid="{A6BCE0AE-1F1D-474F-A3EC-5D0875836DCE}">
      <text>
        <r>
          <rPr>
            <b/>
            <sz val="9"/>
            <color indexed="81"/>
            <rFont val="Tahoma"/>
            <family val="2"/>
          </rPr>
          <t>Gavin Mudd:</t>
        </r>
        <r>
          <rPr>
            <sz val="9"/>
            <color indexed="81"/>
            <rFont val="Tahoma"/>
            <family val="2"/>
          </rPr>
          <t xml:space="preserve">
assumed</t>
        </r>
      </text>
    </comment>
    <comment ref="AA61" authorId="0" shapeId="0" xr:uid="{09D8691D-7C8D-4508-B2A2-B0E9924FCFB9}">
      <text>
        <r>
          <rPr>
            <b/>
            <sz val="9"/>
            <color indexed="81"/>
            <rFont val="Tahoma"/>
            <family val="2"/>
          </rPr>
          <t>Gavin Mudd:</t>
        </r>
        <r>
          <rPr>
            <sz val="9"/>
            <color indexed="81"/>
            <rFont val="Tahoma"/>
            <family val="2"/>
          </rPr>
          <t xml:space="preserve">
assumed</t>
        </r>
      </text>
    </comment>
    <comment ref="AG61" authorId="0" shapeId="0" xr:uid="{38325E27-E174-451D-B5FA-2079FDB976F4}">
      <text>
        <r>
          <rPr>
            <b/>
            <sz val="9"/>
            <color indexed="81"/>
            <rFont val="Tahoma"/>
            <family val="2"/>
          </rPr>
          <t>Gavin Mudd:</t>
        </r>
        <r>
          <rPr>
            <sz val="9"/>
            <color indexed="81"/>
            <rFont val="Tahoma"/>
            <family val="2"/>
          </rPr>
          <t xml:space="preserve">
assumed</t>
        </r>
      </text>
    </comment>
    <comment ref="AK61" authorId="0" shapeId="0" xr:uid="{F47EC05B-F6CB-482A-8568-6194D53528A9}">
      <text>
        <r>
          <rPr>
            <b/>
            <sz val="9"/>
            <color indexed="81"/>
            <rFont val="Tahoma"/>
            <family val="2"/>
          </rPr>
          <t>Gavin Mudd:</t>
        </r>
        <r>
          <rPr>
            <sz val="9"/>
            <color indexed="81"/>
            <rFont val="Tahoma"/>
            <family val="2"/>
          </rPr>
          <t xml:space="preserve">
assumed</t>
        </r>
      </text>
    </comment>
    <comment ref="AM61" authorId="0" shapeId="0" xr:uid="{0D828318-3139-4C6A-8FC8-2476AB40C56E}">
      <text>
        <r>
          <rPr>
            <b/>
            <sz val="9"/>
            <color indexed="81"/>
            <rFont val="Tahoma"/>
            <family val="2"/>
          </rPr>
          <t>Gavin Mudd:</t>
        </r>
        <r>
          <rPr>
            <sz val="9"/>
            <color indexed="81"/>
            <rFont val="Tahoma"/>
            <family val="2"/>
          </rPr>
          <t xml:space="preserve">
assumed</t>
        </r>
      </text>
    </comment>
    <comment ref="AO61" authorId="0" shapeId="0" xr:uid="{3CF828A9-C6A4-4ECA-B449-9263DE9D0511}">
      <text>
        <r>
          <rPr>
            <b/>
            <sz val="9"/>
            <color indexed="81"/>
            <rFont val="Tahoma"/>
            <family val="2"/>
          </rPr>
          <t>Gavin Mudd:</t>
        </r>
        <r>
          <rPr>
            <sz val="9"/>
            <color indexed="81"/>
            <rFont val="Tahoma"/>
            <family val="2"/>
          </rPr>
          <t xml:space="preserve">
assumed</t>
        </r>
      </text>
    </comment>
    <comment ref="AQ61" authorId="0" shapeId="0" xr:uid="{8CD35475-5949-4F96-8BB0-64598EAA4D80}">
      <text>
        <r>
          <rPr>
            <b/>
            <sz val="9"/>
            <color indexed="81"/>
            <rFont val="Tahoma"/>
            <family val="2"/>
          </rPr>
          <t>Gavin Mudd:</t>
        </r>
        <r>
          <rPr>
            <sz val="9"/>
            <color indexed="81"/>
            <rFont val="Tahoma"/>
            <family val="2"/>
          </rPr>
          <t xml:space="preserve">
assumed</t>
        </r>
      </text>
    </comment>
    <comment ref="BA61" authorId="0" shapeId="0" xr:uid="{2D78CAFE-C889-45A2-A3C2-5492DA3F0D59}">
      <text>
        <r>
          <rPr>
            <b/>
            <sz val="9"/>
            <color indexed="81"/>
            <rFont val="Tahoma"/>
            <family val="2"/>
          </rPr>
          <t>Gavin Mudd:</t>
        </r>
        <r>
          <rPr>
            <sz val="9"/>
            <color indexed="81"/>
            <rFont val="Tahoma"/>
            <family val="2"/>
          </rPr>
          <t xml:space="preserve">
assumed</t>
        </r>
      </text>
    </comment>
    <comment ref="BB61" authorId="0" shapeId="0" xr:uid="{6B3F3E92-4307-41B9-86FC-80A1DC582C72}">
      <text>
        <r>
          <rPr>
            <b/>
            <sz val="9"/>
            <color indexed="81"/>
            <rFont val="Tahoma"/>
            <family val="2"/>
          </rPr>
          <t>Gavin Mudd:</t>
        </r>
        <r>
          <rPr>
            <sz val="9"/>
            <color indexed="81"/>
            <rFont val="Tahoma"/>
            <family val="2"/>
          </rPr>
          <t xml:space="preserve">
assumed</t>
        </r>
      </text>
    </comment>
    <comment ref="CD61" authorId="0" shapeId="0" xr:uid="{AB9A73A3-099F-49AD-A49C-B5CCC05BD5F5}">
      <text>
        <r>
          <rPr>
            <b/>
            <sz val="9"/>
            <color indexed="81"/>
            <rFont val="Tahoma"/>
            <family val="2"/>
          </rPr>
          <t>Gavin Mudd:</t>
        </r>
        <r>
          <rPr>
            <sz val="9"/>
            <color indexed="81"/>
            <rFont val="Tahoma"/>
            <family val="2"/>
          </rPr>
          <t xml:space="preserve">
assumed</t>
        </r>
      </text>
    </comment>
    <comment ref="CE61" authorId="0" shapeId="0" xr:uid="{B58493FD-E76E-4AA1-9F42-59CFE795CC71}">
      <text>
        <r>
          <rPr>
            <b/>
            <sz val="9"/>
            <color indexed="81"/>
            <rFont val="Tahoma"/>
            <family val="2"/>
          </rPr>
          <t>Gavin Mudd:</t>
        </r>
        <r>
          <rPr>
            <sz val="9"/>
            <color indexed="81"/>
            <rFont val="Tahoma"/>
            <family val="2"/>
          </rPr>
          <t xml:space="preserve">
assumed</t>
        </r>
      </text>
    </comment>
    <comment ref="CJ61" authorId="0" shapeId="0" xr:uid="{4A2BC4B7-1C1E-498D-A955-C7916FDCB1DB}">
      <text>
        <r>
          <rPr>
            <b/>
            <sz val="9"/>
            <color indexed="81"/>
            <rFont val="Tahoma"/>
            <family val="2"/>
          </rPr>
          <t>Gavin Mudd:</t>
        </r>
        <r>
          <rPr>
            <sz val="9"/>
            <color indexed="81"/>
            <rFont val="Tahoma"/>
            <family val="2"/>
          </rPr>
          <t xml:space="preserve">
assumed</t>
        </r>
      </text>
    </comment>
    <comment ref="CK61" authorId="0" shapeId="0" xr:uid="{AAB844B7-CFCE-46E4-8DB6-66BECBBA54DC}">
      <text>
        <r>
          <rPr>
            <b/>
            <sz val="9"/>
            <color indexed="81"/>
            <rFont val="Tahoma"/>
            <family val="2"/>
          </rPr>
          <t>Gavin Mudd:</t>
        </r>
        <r>
          <rPr>
            <sz val="9"/>
            <color indexed="81"/>
            <rFont val="Tahoma"/>
            <family val="2"/>
          </rPr>
          <t xml:space="preserve">
assumed</t>
        </r>
      </text>
    </comment>
    <comment ref="CO61" authorId="0" shapeId="0" xr:uid="{E0B52163-74CC-438B-B116-444FAA461509}">
      <text>
        <r>
          <rPr>
            <b/>
            <sz val="9"/>
            <color indexed="81"/>
            <rFont val="Tahoma"/>
            <family val="2"/>
          </rPr>
          <t>Gavin Mudd:</t>
        </r>
        <r>
          <rPr>
            <sz val="9"/>
            <color indexed="81"/>
            <rFont val="Tahoma"/>
            <family val="2"/>
          </rPr>
          <t xml:space="preserve">
assumed</t>
        </r>
      </text>
    </comment>
    <comment ref="CP61" authorId="0" shapeId="0" xr:uid="{E12E71BE-0D80-452F-B692-6BA867A52513}">
      <text>
        <r>
          <rPr>
            <b/>
            <sz val="9"/>
            <color indexed="81"/>
            <rFont val="Tahoma"/>
            <family val="2"/>
          </rPr>
          <t>Gavin Mudd:</t>
        </r>
        <r>
          <rPr>
            <sz val="9"/>
            <color indexed="81"/>
            <rFont val="Tahoma"/>
            <family val="2"/>
          </rPr>
          <t xml:space="preserve">
assumed</t>
        </r>
      </text>
    </comment>
    <comment ref="DL61" authorId="0" shapeId="0" xr:uid="{A07F6979-2806-4FF0-9E96-E2760A3990F4}">
      <text>
        <r>
          <rPr>
            <b/>
            <sz val="9"/>
            <color indexed="81"/>
            <rFont val="Tahoma"/>
            <family val="2"/>
          </rPr>
          <t>Gavin Mudd:</t>
        </r>
        <r>
          <rPr>
            <sz val="9"/>
            <color indexed="81"/>
            <rFont val="Tahoma"/>
            <family val="2"/>
          </rPr>
          <t xml:space="preserve">
assumed</t>
        </r>
      </text>
    </comment>
    <comment ref="DM61" authorId="0" shapeId="0" xr:uid="{42BD21B1-CBD2-4813-BA71-B0751356F69F}">
      <text>
        <r>
          <rPr>
            <b/>
            <sz val="9"/>
            <color indexed="81"/>
            <rFont val="Tahoma"/>
            <family val="2"/>
          </rPr>
          <t>Gavin Mudd:</t>
        </r>
        <r>
          <rPr>
            <sz val="9"/>
            <color indexed="81"/>
            <rFont val="Tahoma"/>
            <family val="2"/>
          </rPr>
          <t xml:space="preserve">
assumed</t>
        </r>
      </text>
    </comment>
    <comment ref="K62" authorId="0" shapeId="0" xr:uid="{E34BD9A3-7E06-4D88-AD4D-D3A34124B199}">
      <text>
        <r>
          <rPr>
            <b/>
            <sz val="9"/>
            <color indexed="81"/>
            <rFont val="Tahoma"/>
            <family val="2"/>
          </rPr>
          <t>Gavin Mudd:</t>
        </r>
        <r>
          <rPr>
            <sz val="9"/>
            <color indexed="81"/>
            <rFont val="Tahoma"/>
            <family val="2"/>
          </rPr>
          <t xml:space="preserve">
assumed</t>
        </r>
      </text>
    </comment>
    <comment ref="U62" authorId="0" shapeId="0" xr:uid="{BD3FF0E1-4440-4391-9750-BA8A86B67BBF}">
      <text>
        <r>
          <rPr>
            <b/>
            <sz val="9"/>
            <color indexed="81"/>
            <rFont val="Tahoma"/>
            <family val="2"/>
          </rPr>
          <t>Gavin Mudd:</t>
        </r>
        <r>
          <rPr>
            <sz val="9"/>
            <color indexed="81"/>
            <rFont val="Tahoma"/>
            <family val="2"/>
          </rPr>
          <t xml:space="preserve">
assumed</t>
        </r>
      </text>
    </comment>
    <comment ref="W62" authorId="0" shapeId="0" xr:uid="{A114E84F-91C3-4750-A00D-AC0CE6E28158}">
      <text>
        <r>
          <rPr>
            <b/>
            <sz val="9"/>
            <color indexed="81"/>
            <rFont val="Tahoma"/>
            <family val="2"/>
          </rPr>
          <t>Gavin Mudd:</t>
        </r>
        <r>
          <rPr>
            <sz val="9"/>
            <color indexed="81"/>
            <rFont val="Tahoma"/>
            <family val="2"/>
          </rPr>
          <t xml:space="preserve">
assumed</t>
        </r>
      </text>
    </comment>
    <comment ref="Y62" authorId="0" shapeId="0" xr:uid="{4463F8D6-4C1C-4AE9-B334-B8F4F871BE93}">
      <text>
        <r>
          <rPr>
            <b/>
            <sz val="9"/>
            <color indexed="81"/>
            <rFont val="Tahoma"/>
            <family val="2"/>
          </rPr>
          <t>Gavin Mudd:</t>
        </r>
        <r>
          <rPr>
            <sz val="9"/>
            <color indexed="81"/>
            <rFont val="Tahoma"/>
            <family val="2"/>
          </rPr>
          <t xml:space="preserve">
assumed</t>
        </r>
      </text>
    </comment>
    <comment ref="AA62" authorId="0" shapeId="0" xr:uid="{52E8C8EC-704B-4369-A048-01C727978F9A}">
      <text>
        <r>
          <rPr>
            <b/>
            <sz val="9"/>
            <color indexed="81"/>
            <rFont val="Tahoma"/>
            <family val="2"/>
          </rPr>
          <t>Gavin Mudd:</t>
        </r>
        <r>
          <rPr>
            <sz val="9"/>
            <color indexed="81"/>
            <rFont val="Tahoma"/>
            <family val="2"/>
          </rPr>
          <t xml:space="preserve">
assumed</t>
        </r>
      </text>
    </comment>
    <comment ref="AF62" authorId="0" shapeId="0" xr:uid="{46B4FF91-0224-4A31-B181-208159E3DC08}">
      <text>
        <r>
          <rPr>
            <b/>
            <sz val="9"/>
            <color indexed="81"/>
            <rFont val="Tahoma"/>
            <family val="2"/>
          </rPr>
          <t>Gavin Mudd:</t>
        </r>
        <r>
          <rPr>
            <sz val="9"/>
            <color indexed="81"/>
            <rFont val="Tahoma"/>
            <family val="2"/>
          </rPr>
          <t xml:space="preserve">
assumed</t>
        </r>
      </text>
    </comment>
    <comment ref="AG62" authorId="0" shapeId="0" xr:uid="{ADCBF366-D8FF-41FA-88F1-3445E8144D1B}">
      <text>
        <r>
          <rPr>
            <b/>
            <sz val="9"/>
            <color indexed="81"/>
            <rFont val="Tahoma"/>
            <family val="2"/>
          </rPr>
          <t>Gavin Mudd:</t>
        </r>
        <r>
          <rPr>
            <sz val="9"/>
            <color indexed="81"/>
            <rFont val="Tahoma"/>
            <family val="2"/>
          </rPr>
          <t xml:space="preserve">
assumed</t>
        </r>
      </text>
    </comment>
    <comment ref="AK62" authorId="0" shapeId="0" xr:uid="{22BB9ECC-F9D7-45B1-8ACE-2D9BF2EA6577}">
      <text>
        <r>
          <rPr>
            <b/>
            <sz val="9"/>
            <color indexed="81"/>
            <rFont val="Tahoma"/>
            <family val="2"/>
          </rPr>
          <t>Gavin Mudd:</t>
        </r>
        <r>
          <rPr>
            <sz val="9"/>
            <color indexed="81"/>
            <rFont val="Tahoma"/>
            <family val="2"/>
          </rPr>
          <t xml:space="preserve">
assumed</t>
        </r>
      </text>
    </comment>
    <comment ref="AM62" authorId="0" shapeId="0" xr:uid="{ABBBC96D-2F3F-4589-B550-0F416537A755}">
      <text>
        <r>
          <rPr>
            <b/>
            <sz val="9"/>
            <color indexed="81"/>
            <rFont val="Tahoma"/>
            <family val="2"/>
          </rPr>
          <t>Gavin Mudd:</t>
        </r>
        <r>
          <rPr>
            <sz val="9"/>
            <color indexed="81"/>
            <rFont val="Tahoma"/>
            <family val="2"/>
          </rPr>
          <t xml:space="preserve">
assumed</t>
        </r>
      </text>
    </comment>
    <comment ref="AO62" authorId="0" shapeId="0" xr:uid="{10D79A17-2B09-49EB-9174-BACEA3C514B6}">
      <text>
        <r>
          <rPr>
            <b/>
            <sz val="9"/>
            <color indexed="81"/>
            <rFont val="Tahoma"/>
            <family val="2"/>
          </rPr>
          <t>Gavin Mudd:</t>
        </r>
        <r>
          <rPr>
            <sz val="9"/>
            <color indexed="81"/>
            <rFont val="Tahoma"/>
            <family val="2"/>
          </rPr>
          <t xml:space="preserve">
assumed</t>
        </r>
      </text>
    </comment>
    <comment ref="AQ62" authorId="0" shapeId="0" xr:uid="{D6FDDC3A-A84C-4724-803A-79F1B479A7D7}">
      <text>
        <r>
          <rPr>
            <b/>
            <sz val="9"/>
            <color indexed="81"/>
            <rFont val="Tahoma"/>
            <family val="2"/>
          </rPr>
          <t>Gavin Mudd:</t>
        </r>
        <r>
          <rPr>
            <sz val="9"/>
            <color indexed="81"/>
            <rFont val="Tahoma"/>
            <family val="2"/>
          </rPr>
          <t xml:space="preserve">
assumed</t>
        </r>
      </text>
    </comment>
    <comment ref="AS62" authorId="0" shapeId="0" xr:uid="{79C175CA-2AF7-48B9-A6A7-B7BF061F52E3}">
      <text>
        <r>
          <rPr>
            <b/>
            <sz val="9"/>
            <color indexed="81"/>
            <rFont val="Tahoma"/>
            <family val="2"/>
          </rPr>
          <t>Gavin Mudd:</t>
        </r>
        <r>
          <rPr>
            <sz val="9"/>
            <color indexed="81"/>
            <rFont val="Tahoma"/>
            <family val="2"/>
          </rPr>
          <t xml:space="preserve">
assumed</t>
        </r>
      </text>
    </comment>
    <comment ref="BA62" authorId="0" shapeId="0" xr:uid="{AA60E17C-B8AB-4FE8-917D-654D24596C90}">
      <text>
        <r>
          <rPr>
            <b/>
            <sz val="9"/>
            <color indexed="81"/>
            <rFont val="Tahoma"/>
            <family val="2"/>
          </rPr>
          <t>Gavin Mudd:</t>
        </r>
        <r>
          <rPr>
            <sz val="9"/>
            <color indexed="81"/>
            <rFont val="Tahoma"/>
            <family val="2"/>
          </rPr>
          <t xml:space="preserve">
assumed</t>
        </r>
      </text>
    </comment>
    <comment ref="BB62" authorId="0" shapeId="0" xr:uid="{BF59D929-20ED-4400-913E-E902AC82526F}">
      <text>
        <r>
          <rPr>
            <b/>
            <sz val="9"/>
            <color indexed="81"/>
            <rFont val="Tahoma"/>
            <family val="2"/>
          </rPr>
          <t>Gavin Mudd:</t>
        </r>
        <r>
          <rPr>
            <sz val="9"/>
            <color indexed="81"/>
            <rFont val="Tahoma"/>
            <family val="2"/>
          </rPr>
          <t xml:space="preserve">
assumed</t>
        </r>
      </text>
    </comment>
    <comment ref="CD62" authorId="0" shapeId="0" xr:uid="{ADEE18D8-C9FE-4B73-9719-C6A4C1D2CEE8}">
      <text>
        <r>
          <rPr>
            <b/>
            <sz val="9"/>
            <color indexed="81"/>
            <rFont val="Tahoma"/>
            <family val="2"/>
          </rPr>
          <t>Gavin Mudd:</t>
        </r>
        <r>
          <rPr>
            <sz val="9"/>
            <color indexed="81"/>
            <rFont val="Tahoma"/>
            <family val="2"/>
          </rPr>
          <t xml:space="preserve">
assumed</t>
        </r>
      </text>
    </comment>
    <comment ref="CE62" authorId="0" shapeId="0" xr:uid="{6811EDD5-6250-49FF-9EF2-C0E2743833C7}">
      <text>
        <r>
          <rPr>
            <b/>
            <sz val="9"/>
            <color indexed="81"/>
            <rFont val="Tahoma"/>
            <family val="2"/>
          </rPr>
          <t>Gavin Mudd:</t>
        </r>
        <r>
          <rPr>
            <sz val="9"/>
            <color indexed="81"/>
            <rFont val="Tahoma"/>
            <family val="2"/>
          </rPr>
          <t xml:space="preserve">
assumed</t>
        </r>
      </text>
    </comment>
    <comment ref="CJ62" authorId="0" shapeId="0" xr:uid="{CE663142-6712-4BD2-876B-B2A87F6BC83D}">
      <text>
        <r>
          <rPr>
            <b/>
            <sz val="9"/>
            <color indexed="81"/>
            <rFont val="Tahoma"/>
            <family val="2"/>
          </rPr>
          <t>Gavin Mudd:</t>
        </r>
        <r>
          <rPr>
            <sz val="9"/>
            <color indexed="81"/>
            <rFont val="Tahoma"/>
            <family val="2"/>
          </rPr>
          <t xml:space="preserve">
assumed</t>
        </r>
      </text>
    </comment>
    <comment ref="CK62" authorId="0" shapeId="0" xr:uid="{BFA11FD9-7224-40F1-AA82-76827F560EAB}">
      <text>
        <r>
          <rPr>
            <b/>
            <sz val="9"/>
            <color indexed="81"/>
            <rFont val="Tahoma"/>
            <family val="2"/>
          </rPr>
          <t>Gavin Mudd:</t>
        </r>
        <r>
          <rPr>
            <sz val="9"/>
            <color indexed="81"/>
            <rFont val="Tahoma"/>
            <family val="2"/>
          </rPr>
          <t xml:space="preserve">
assumed</t>
        </r>
      </text>
    </comment>
    <comment ref="CO62" authorId="0" shapeId="0" xr:uid="{306829AB-0715-4A87-896C-73F79A79CB22}">
      <text>
        <r>
          <rPr>
            <b/>
            <sz val="9"/>
            <color indexed="81"/>
            <rFont val="Tahoma"/>
            <family val="2"/>
          </rPr>
          <t>Gavin Mudd:</t>
        </r>
        <r>
          <rPr>
            <sz val="9"/>
            <color indexed="81"/>
            <rFont val="Tahoma"/>
            <family val="2"/>
          </rPr>
          <t xml:space="preserve">
assumed</t>
        </r>
      </text>
    </comment>
    <comment ref="CP62" authorId="0" shapeId="0" xr:uid="{D1EF21A0-E07E-41B5-A123-53035AB61A6A}">
      <text>
        <r>
          <rPr>
            <b/>
            <sz val="9"/>
            <color indexed="81"/>
            <rFont val="Tahoma"/>
            <family val="2"/>
          </rPr>
          <t>Gavin Mudd:</t>
        </r>
        <r>
          <rPr>
            <sz val="9"/>
            <color indexed="81"/>
            <rFont val="Tahoma"/>
            <family val="2"/>
          </rPr>
          <t xml:space="preserve">
assumed</t>
        </r>
      </text>
    </comment>
    <comment ref="CT62" authorId="0" shapeId="0" xr:uid="{DA7B7B05-9838-4462-919B-7163E102D323}">
      <text>
        <r>
          <rPr>
            <b/>
            <sz val="9"/>
            <color indexed="81"/>
            <rFont val="Tahoma"/>
            <family val="2"/>
          </rPr>
          <t>Gavin Mudd:</t>
        </r>
        <r>
          <rPr>
            <sz val="9"/>
            <color indexed="81"/>
            <rFont val="Tahoma"/>
            <family val="2"/>
          </rPr>
          <t xml:space="preserve">
assumed</t>
        </r>
      </text>
    </comment>
    <comment ref="CU62" authorId="0" shapeId="0" xr:uid="{8FE2BFD7-9B09-4936-894A-2E9FB433FC22}">
      <text>
        <r>
          <rPr>
            <b/>
            <sz val="9"/>
            <color indexed="81"/>
            <rFont val="Tahoma"/>
            <family val="2"/>
          </rPr>
          <t>Gavin Mudd:</t>
        </r>
        <r>
          <rPr>
            <sz val="9"/>
            <color indexed="81"/>
            <rFont val="Tahoma"/>
            <family val="2"/>
          </rPr>
          <t xml:space="preserve">
assumed</t>
        </r>
      </text>
    </comment>
    <comment ref="DL62" authorId="0" shapeId="0" xr:uid="{C8E2D5E4-5494-43D6-855D-71CACECB43BB}">
      <text>
        <r>
          <rPr>
            <b/>
            <sz val="9"/>
            <color indexed="81"/>
            <rFont val="Tahoma"/>
            <family val="2"/>
          </rPr>
          <t>Gavin Mudd:</t>
        </r>
        <r>
          <rPr>
            <sz val="9"/>
            <color indexed="81"/>
            <rFont val="Tahoma"/>
            <family val="2"/>
          </rPr>
          <t xml:space="preserve">
assumed</t>
        </r>
      </text>
    </comment>
    <comment ref="DM62" authorId="0" shapeId="0" xr:uid="{AA47C411-3079-4FCA-B2A1-E4F6864CEAF4}">
      <text>
        <r>
          <rPr>
            <b/>
            <sz val="9"/>
            <color indexed="81"/>
            <rFont val="Tahoma"/>
            <family val="2"/>
          </rPr>
          <t>Gavin Mudd:</t>
        </r>
        <r>
          <rPr>
            <sz val="9"/>
            <color indexed="81"/>
            <rFont val="Tahoma"/>
            <family val="2"/>
          </rPr>
          <t xml:space="preserve">
assumed</t>
        </r>
      </text>
    </comment>
    <comment ref="B63" authorId="0" shapeId="0" xr:uid="{51D84DCE-C55E-4BF5-A712-EDD71B88C242}">
      <text>
        <r>
          <rPr>
            <b/>
            <sz val="9"/>
            <color indexed="81"/>
            <rFont val="Tahoma"/>
            <family val="2"/>
          </rPr>
          <t>Gavin Mudd:</t>
        </r>
        <r>
          <rPr>
            <sz val="9"/>
            <color indexed="81"/>
            <rFont val="Tahoma"/>
            <family val="2"/>
          </rPr>
          <t xml:space="preserve">
Fifield</t>
        </r>
      </text>
    </comment>
    <comment ref="C63" authorId="0" shapeId="0" xr:uid="{0CC86737-68B7-4B29-8B93-98F5B1944813}">
      <text>
        <r>
          <rPr>
            <b/>
            <sz val="9"/>
            <color indexed="81"/>
            <rFont val="Tahoma"/>
            <family val="2"/>
          </rPr>
          <t>Gavin Mudd:</t>
        </r>
        <r>
          <rPr>
            <sz val="9"/>
            <color indexed="81"/>
            <rFont val="Tahoma"/>
            <family val="2"/>
          </rPr>
          <t xml:space="preserve">
assumed</t>
        </r>
      </text>
    </comment>
    <comment ref="K63" authorId="0" shapeId="0" xr:uid="{41A3C032-21D1-4C5F-893F-A480ED1E724E}">
      <text>
        <r>
          <rPr>
            <b/>
            <sz val="9"/>
            <color indexed="81"/>
            <rFont val="Tahoma"/>
            <family val="2"/>
          </rPr>
          <t>Gavin Mudd:</t>
        </r>
        <r>
          <rPr>
            <sz val="9"/>
            <color indexed="81"/>
            <rFont val="Tahoma"/>
            <family val="2"/>
          </rPr>
          <t xml:space="preserve">
assumed</t>
        </r>
      </text>
    </comment>
    <comment ref="N63" authorId="0" shapeId="0" xr:uid="{72936ABE-E4D0-42A4-B5D9-1F93A11FA75F}">
      <text>
        <r>
          <rPr>
            <b/>
            <sz val="9"/>
            <color indexed="81"/>
            <rFont val="Tahoma"/>
            <family val="2"/>
          </rPr>
          <t>Gavin Mudd:</t>
        </r>
        <r>
          <rPr>
            <sz val="9"/>
            <color indexed="81"/>
            <rFont val="Tahoma"/>
            <family val="2"/>
          </rPr>
          <t xml:space="preserve">
Tumbarumba</t>
        </r>
      </text>
    </comment>
    <comment ref="O63" authorId="0" shapeId="0" xr:uid="{3D3667D2-F9A1-4227-9614-CCA82E42E4B6}">
      <text>
        <r>
          <rPr>
            <b/>
            <sz val="9"/>
            <color indexed="81"/>
            <rFont val="Tahoma"/>
            <family val="2"/>
          </rPr>
          <t>Gavin Mudd:</t>
        </r>
        <r>
          <rPr>
            <sz val="9"/>
            <color indexed="81"/>
            <rFont val="Tahoma"/>
            <family val="2"/>
          </rPr>
          <t xml:space="preserve">
assumed</t>
        </r>
      </text>
    </comment>
    <comment ref="P63" authorId="0" shapeId="0" xr:uid="{AEDFE0E4-B8F5-4762-BFD2-8CEBB4F5D8BB}">
      <text>
        <r>
          <rPr>
            <b/>
            <sz val="9"/>
            <color indexed="81"/>
            <rFont val="Tahoma"/>
            <family val="2"/>
          </rPr>
          <t>Gavin Mudd:</t>
        </r>
        <r>
          <rPr>
            <sz val="9"/>
            <color indexed="81"/>
            <rFont val="Tahoma"/>
            <family val="2"/>
          </rPr>
          <t xml:space="preserve">
Tumbarumba</t>
        </r>
      </text>
    </comment>
    <comment ref="Q63" authorId="0" shapeId="0" xr:uid="{33BA2A85-B71A-4722-8CBA-D0E851B716FA}">
      <text>
        <r>
          <rPr>
            <b/>
            <sz val="9"/>
            <color indexed="81"/>
            <rFont val="Tahoma"/>
            <family val="2"/>
          </rPr>
          <t>Gavin Mudd:</t>
        </r>
        <r>
          <rPr>
            <sz val="9"/>
            <color indexed="81"/>
            <rFont val="Tahoma"/>
            <family val="2"/>
          </rPr>
          <t xml:space="preserve">
assumed</t>
        </r>
      </text>
    </comment>
    <comment ref="W63" authorId="0" shapeId="0" xr:uid="{FA66E4C5-3E6B-4C52-8E56-F205A6596C01}">
      <text>
        <r>
          <rPr>
            <b/>
            <sz val="9"/>
            <color indexed="81"/>
            <rFont val="Tahoma"/>
            <family val="2"/>
          </rPr>
          <t>Gavin Mudd:</t>
        </r>
        <r>
          <rPr>
            <sz val="9"/>
            <color indexed="81"/>
            <rFont val="Tahoma"/>
            <family val="2"/>
          </rPr>
          <t xml:space="preserve">
assumed</t>
        </r>
      </text>
    </comment>
    <comment ref="Y63" authorId="0" shapeId="0" xr:uid="{0DE49C3D-D14C-428E-9D49-8AC26A26B6C1}">
      <text>
        <r>
          <rPr>
            <b/>
            <sz val="9"/>
            <color indexed="81"/>
            <rFont val="Tahoma"/>
            <family val="2"/>
          </rPr>
          <t>Gavin Mudd:</t>
        </r>
        <r>
          <rPr>
            <sz val="9"/>
            <color indexed="81"/>
            <rFont val="Tahoma"/>
            <family val="2"/>
          </rPr>
          <t xml:space="preserve">
assumed</t>
        </r>
      </text>
    </comment>
    <comment ref="AA63" authorId="0" shapeId="0" xr:uid="{567C7DD2-0055-48A5-BAB6-FDC9060AECA8}">
      <text>
        <r>
          <rPr>
            <b/>
            <sz val="9"/>
            <color indexed="81"/>
            <rFont val="Tahoma"/>
            <family val="2"/>
          </rPr>
          <t>Gavin Mudd:</t>
        </r>
        <r>
          <rPr>
            <sz val="9"/>
            <color indexed="81"/>
            <rFont val="Tahoma"/>
            <family val="2"/>
          </rPr>
          <t xml:space="preserve">
assumed</t>
        </r>
      </text>
    </comment>
    <comment ref="AG63" authorId="0" shapeId="0" xr:uid="{7199C3B9-8486-4B82-9558-ED3BD5FDC69C}">
      <text>
        <r>
          <rPr>
            <b/>
            <sz val="9"/>
            <color indexed="81"/>
            <rFont val="Tahoma"/>
            <family val="2"/>
          </rPr>
          <t>Gavin Mudd:</t>
        </r>
        <r>
          <rPr>
            <sz val="9"/>
            <color indexed="81"/>
            <rFont val="Tahoma"/>
            <family val="2"/>
          </rPr>
          <t xml:space="preserve">
assumed</t>
        </r>
      </text>
    </comment>
    <comment ref="AK63" authorId="0" shapeId="0" xr:uid="{11215D7C-6415-4748-8658-2F56F38C0F0D}">
      <text>
        <r>
          <rPr>
            <b/>
            <sz val="9"/>
            <color indexed="81"/>
            <rFont val="Tahoma"/>
            <family val="2"/>
          </rPr>
          <t>Gavin Mudd:</t>
        </r>
        <r>
          <rPr>
            <sz val="9"/>
            <color indexed="81"/>
            <rFont val="Tahoma"/>
            <family val="2"/>
          </rPr>
          <t xml:space="preserve">
assumed</t>
        </r>
      </text>
    </comment>
    <comment ref="AM63" authorId="0" shapeId="0" xr:uid="{2799E7AB-039E-40E8-AD35-59F96FDAAA1A}">
      <text>
        <r>
          <rPr>
            <b/>
            <sz val="9"/>
            <color indexed="81"/>
            <rFont val="Tahoma"/>
            <family val="2"/>
          </rPr>
          <t>Gavin Mudd:</t>
        </r>
        <r>
          <rPr>
            <sz val="9"/>
            <color indexed="81"/>
            <rFont val="Tahoma"/>
            <family val="2"/>
          </rPr>
          <t xml:space="preserve">
assumed</t>
        </r>
      </text>
    </comment>
    <comment ref="AO63" authorId="0" shapeId="0" xr:uid="{DB7FD10A-B5F1-4B98-BC86-271CCE173790}">
      <text>
        <r>
          <rPr>
            <b/>
            <sz val="9"/>
            <color indexed="81"/>
            <rFont val="Tahoma"/>
            <family val="2"/>
          </rPr>
          <t>Gavin Mudd:</t>
        </r>
        <r>
          <rPr>
            <sz val="9"/>
            <color indexed="81"/>
            <rFont val="Tahoma"/>
            <family val="2"/>
          </rPr>
          <t xml:space="preserve">
assumed</t>
        </r>
      </text>
    </comment>
    <comment ref="AS63" authorId="0" shapeId="0" xr:uid="{518A6CE4-36D0-408E-9299-AC7941C754A9}">
      <text>
        <r>
          <rPr>
            <b/>
            <sz val="9"/>
            <color indexed="81"/>
            <rFont val="Tahoma"/>
            <family val="2"/>
          </rPr>
          <t>Gavin Mudd:</t>
        </r>
        <r>
          <rPr>
            <sz val="9"/>
            <color indexed="81"/>
            <rFont val="Tahoma"/>
            <family val="2"/>
          </rPr>
          <t xml:space="preserve">
assumed</t>
        </r>
      </text>
    </comment>
    <comment ref="BA63" authorId="0" shapeId="0" xr:uid="{CA1178CE-81E1-44FA-A2BE-1C299635DB86}">
      <text>
        <r>
          <rPr>
            <b/>
            <sz val="9"/>
            <color indexed="81"/>
            <rFont val="Tahoma"/>
            <family val="2"/>
          </rPr>
          <t>Gavin Mudd:</t>
        </r>
        <r>
          <rPr>
            <sz val="9"/>
            <color indexed="81"/>
            <rFont val="Tahoma"/>
            <family val="2"/>
          </rPr>
          <t xml:space="preserve">
assumed</t>
        </r>
      </text>
    </comment>
    <comment ref="BB63" authorId="0" shapeId="0" xr:uid="{E90219AB-AAE8-4264-B66D-85D9C05DC2A7}">
      <text>
        <r>
          <rPr>
            <b/>
            <sz val="9"/>
            <color indexed="81"/>
            <rFont val="Tahoma"/>
            <family val="2"/>
          </rPr>
          <t>Gavin Mudd:</t>
        </r>
        <r>
          <rPr>
            <sz val="9"/>
            <color indexed="81"/>
            <rFont val="Tahoma"/>
            <family val="2"/>
          </rPr>
          <t xml:space="preserve">
assumed</t>
        </r>
      </text>
    </comment>
    <comment ref="CD63" authorId="0" shapeId="0" xr:uid="{0F81A4B6-2E54-4E28-97C9-8A4FA0B4E7B3}">
      <text>
        <r>
          <rPr>
            <b/>
            <sz val="9"/>
            <color indexed="81"/>
            <rFont val="Tahoma"/>
            <family val="2"/>
          </rPr>
          <t>Gavin Mudd:</t>
        </r>
        <r>
          <rPr>
            <sz val="9"/>
            <color indexed="81"/>
            <rFont val="Tahoma"/>
            <family val="2"/>
          </rPr>
          <t xml:space="preserve">
assumed</t>
        </r>
      </text>
    </comment>
    <comment ref="CE63" authorId="0" shapeId="0" xr:uid="{A148F576-8433-46F8-8C37-8789CC399840}">
      <text>
        <r>
          <rPr>
            <b/>
            <sz val="9"/>
            <color indexed="81"/>
            <rFont val="Tahoma"/>
            <family val="2"/>
          </rPr>
          <t>Gavin Mudd:</t>
        </r>
        <r>
          <rPr>
            <sz val="9"/>
            <color indexed="81"/>
            <rFont val="Tahoma"/>
            <family val="2"/>
          </rPr>
          <t xml:space="preserve">
assumed</t>
        </r>
      </text>
    </comment>
    <comment ref="CJ63" authorId="0" shapeId="0" xr:uid="{D566E1BB-F5BD-4C4B-AD9C-B2C37329C6A2}">
      <text>
        <r>
          <rPr>
            <b/>
            <sz val="9"/>
            <color indexed="81"/>
            <rFont val="Tahoma"/>
            <family val="2"/>
          </rPr>
          <t>Gavin Mudd:</t>
        </r>
        <r>
          <rPr>
            <sz val="9"/>
            <color indexed="81"/>
            <rFont val="Tahoma"/>
            <family val="2"/>
          </rPr>
          <t xml:space="preserve">
assumed</t>
        </r>
      </text>
    </comment>
    <comment ref="CK63" authorId="0" shapeId="0" xr:uid="{04FFC4FA-2649-48C5-9CB0-3D194BDA9E9B}">
      <text>
        <r>
          <rPr>
            <b/>
            <sz val="9"/>
            <color indexed="81"/>
            <rFont val="Tahoma"/>
            <family val="2"/>
          </rPr>
          <t>Gavin Mudd:</t>
        </r>
        <r>
          <rPr>
            <sz val="9"/>
            <color indexed="81"/>
            <rFont val="Tahoma"/>
            <family val="2"/>
          </rPr>
          <t xml:space="preserve">
assumed</t>
        </r>
      </text>
    </comment>
    <comment ref="CO63" authorId="0" shapeId="0" xr:uid="{F44AED00-8273-447B-9910-490D7B95F37A}">
      <text>
        <r>
          <rPr>
            <b/>
            <sz val="9"/>
            <color indexed="81"/>
            <rFont val="Tahoma"/>
            <family val="2"/>
          </rPr>
          <t>Gavin Mudd:</t>
        </r>
        <r>
          <rPr>
            <sz val="9"/>
            <color indexed="81"/>
            <rFont val="Tahoma"/>
            <family val="2"/>
          </rPr>
          <t xml:space="preserve">
assumed</t>
        </r>
      </text>
    </comment>
    <comment ref="CP63" authorId="0" shapeId="0" xr:uid="{306039CF-9CFA-4366-BA49-0DC94187C4F4}">
      <text>
        <r>
          <rPr>
            <b/>
            <sz val="9"/>
            <color indexed="81"/>
            <rFont val="Tahoma"/>
            <family val="2"/>
          </rPr>
          <t>Gavin Mudd:</t>
        </r>
        <r>
          <rPr>
            <sz val="9"/>
            <color indexed="81"/>
            <rFont val="Tahoma"/>
            <family val="2"/>
          </rPr>
          <t xml:space="preserve">
assumed</t>
        </r>
      </text>
    </comment>
    <comment ref="DL63" authorId="0" shapeId="0" xr:uid="{9370C93E-B76A-48A8-883B-95C745F0CE67}">
      <text>
        <r>
          <rPr>
            <b/>
            <sz val="9"/>
            <color indexed="81"/>
            <rFont val="Tahoma"/>
            <family val="2"/>
          </rPr>
          <t>Gavin Mudd:</t>
        </r>
        <r>
          <rPr>
            <sz val="9"/>
            <color indexed="81"/>
            <rFont val="Tahoma"/>
            <family val="2"/>
          </rPr>
          <t xml:space="preserve">
assumed</t>
        </r>
      </text>
    </comment>
    <comment ref="DM63" authorId="0" shapeId="0" xr:uid="{8677B7FE-ED1A-4FBB-AEB1-816FCB61C959}">
      <text>
        <r>
          <rPr>
            <b/>
            <sz val="9"/>
            <color indexed="81"/>
            <rFont val="Tahoma"/>
            <family val="2"/>
          </rPr>
          <t>Gavin Mudd:</t>
        </r>
        <r>
          <rPr>
            <sz val="9"/>
            <color indexed="81"/>
            <rFont val="Tahoma"/>
            <family val="2"/>
          </rPr>
          <t xml:space="preserve">
assumed</t>
        </r>
      </text>
    </comment>
    <comment ref="B64" authorId="0" shapeId="0" xr:uid="{D5291C9F-FB4C-43D7-BFEE-EFBD62251D2D}">
      <text>
        <r>
          <rPr>
            <b/>
            <sz val="9"/>
            <color indexed="81"/>
            <rFont val="Tahoma"/>
            <family val="2"/>
          </rPr>
          <t>Gavin Mudd:</t>
        </r>
        <r>
          <rPr>
            <sz val="9"/>
            <color indexed="81"/>
            <rFont val="Tahoma"/>
            <family val="2"/>
          </rPr>
          <t xml:space="preserve">
Fifield</t>
        </r>
      </text>
    </comment>
    <comment ref="C64" authorId="0" shapeId="0" xr:uid="{BD031FA2-C66B-424D-8167-1A820926DE75}">
      <text>
        <r>
          <rPr>
            <b/>
            <sz val="9"/>
            <color indexed="81"/>
            <rFont val="Tahoma"/>
            <family val="2"/>
          </rPr>
          <t>Gavin Mudd:</t>
        </r>
        <r>
          <rPr>
            <sz val="9"/>
            <color indexed="81"/>
            <rFont val="Tahoma"/>
            <family val="2"/>
          </rPr>
          <t xml:space="preserve">
assumed</t>
        </r>
      </text>
    </comment>
    <comment ref="E64" authorId="0" shapeId="0" xr:uid="{1AE01B31-5C23-464D-8955-6BC59D10D67E}">
      <text>
        <r>
          <rPr>
            <b/>
            <sz val="9"/>
            <color indexed="81"/>
            <rFont val="Tahoma"/>
            <family val="2"/>
          </rPr>
          <t>Gavin Mudd:</t>
        </r>
        <r>
          <rPr>
            <sz val="9"/>
            <color indexed="81"/>
            <rFont val="Tahoma"/>
            <family val="2"/>
          </rPr>
          <t xml:space="preserve">
assumed</t>
        </r>
      </text>
    </comment>
    <comment ref="K64" authorId="0" shapeId="0" xr:uid="{BDE0715F-49A2-4550-A972-0224D54DE9ED}">
      <text>
        <r>
          <rPr>
            <b/>
            <sz val="9"/>
            <color indexed="81"/>
            <rFont val="Tahoma"/>
            <family val="2"/>
          </rPr>
          <t>Gavin Mudd:</t>
        </r>
        <r>
          <rPr>
            <sz val="9"/>
            <color indexed="81"/>
            <rFont val="Tahoma"/>
            <family val="2"/>
          </rPr>
          <t xml:space="preserve">
assumed</t>
        </r>
      </text>
    </comment>
    <comment ref="O64" authorId="0" shapeId="0" xr:uid="{48B4F05D-FDF9-42CE-BC7F-CCC15FC2BAA8}">
      <text>
        <r>
          <rPr>
            <b/>
            <sz val="9"/>
            <color indexed="81"/>
            <rFont val="Tahoma"/>
            <family val="2"/>
          </rPr>
          <t>Gavin Mudd:</t>
        </r>
        <r>
          <rPr>
            <sz val="9"/>
            <color indexed="81"/>
            <rFont val="Tahoma"/>
            <family val="2"/>
          </rPr>
          <t xml:space="preserve">
assumed</t>
        </r>
      </text>
    </comment>
    <comment ref="S64" authorId="0" shapeId="0" xr:uid="{8719CF27-C55E-4C09-8557-22B998FA47B9}">
      <text>
        <r>
          <rPr>
            <b/>
            <sz val="9"/>
            <color indexed="81"/>
            <rFont val="Tahoma"/>
            <family val="2"/>
          </rPr>
          <t>Gavin Mudd:</t>
        </r>
        <r>
          <rPr>
            <sz val="9"/>
            <color indexed="81"/>
            <rFont val="Tahoma"/>
            <family val="2"/>
          </rPr>
          <t xml:space="preserve">
assumed</t>
        </r>
      </text>
    </comment>
    <comment ref="W64" authorId="0" shapeId="0" xr:uid="{DA299A4F-282D-4A0E-A196-7F7FA006C3DA}">
      <text>
        <r>
          <rPr>
            <b/>
            <sz val="9"/>
            <color indexed="81"/>
            <rFont val="Tahoma"/>
            <family val="2"/>
          </rPr>
          <t>Gavin Mudd:</t>
        </r>
        <r>
          <rPr>
            <sz val="9"/>
            <color indexed="81"/>
            <rFont val="Tahoma"/>
            <family val="2"/>
          </rPr>
          <t xml:space="preserve">
assumed</t>
        </r>
      </text>
    </comment>
    <comment ref="Y64" authorId="0" shapeId="0" xr:uid="{D41D6A31-45C8-4EC5-80F8-43DBEDC84AD1}">
      <text>
        <r>
          <rPr>
            <b/>
            <sz val="9"/>
            <color indexed="81"/>
            <rFont val="Tahoma"/>
            <family val="2"/>
          </rPr>
          <t>Gavin Mudd:</t>
        </r>
        <r>
          <rPr>
            <sz val="9"/>
            <color indexed="81"/>
            <rFont val="Tahoma"/>
            <family val="2"/>
          </rPr>
          <t xml:space="preserve">
assumed</t>
        </r>
      </text>
    </comment>
    <comment ref="AA64" authorId="0" shapeId="0" xr:uid="{E1FA793D-CEF5-4027-9659-58B76EFB889A}">
      <text>
        <r>
          <rPr>
            <b/>
            <sz val="9"/>
            <color indexed="81"/>
            <rFont val="Tahoma"/>
            <family val="2"/>
          </rPr>
          <t>Gavin Mudd:</t>
        </r>
        <r>
          <rPr>
            <sz val="9"/>
            <color indexed="81"/>
            <rFont val="Tahoma"/>
            <family val="2"/>
          </rPr>
          <t xml:space="preserve">
assumed</t>
        </r>
      </text>
    </comment>
    <comment ref="AG64" authorId="0" shapeId="0" xr:uid="{749E18F2-E600-436C-8A08-B78D78A73C06}">
      <text>
        <r>
          <rPr>
            <b/>
            <sz val="9"/>
            <color indexed="81"/>
            <rFont val="Tahoma"/>
            <family val="2"/>
          </rPr>
          <t>Gavin Mudd:</t>
        </r>
        <r>
          <rPr>
            <sz val="9"/>
            <color indexed="81"/>
            <rFont val="Tahoma"/>
            <family val="2"/>
          </rPr>
          <t xml:space="preserve">
assumed</t>
        </r>
      </text>
    </comment>
    <comment ref="AK64" authorId="0" shapeId="0" xr:uid="{A63F5AB7-6A91-407C-924D-4EAB865DB268}">
      <text>
        <r>
          <rPr>
            <b/>
            <sz val="9"/>
            <color indexed="81"/>
            <rFont val="Tahoma"/>
            <family val="2"/>
          </rPr>
          <t>Gavin Mudd:</t>
        </r>
        <r>
          <rPr>
            <sz val="9"/>
            <color indexed="81"/>
            <rFont val="Tahoma"/>
            <family val="2"/>
          </rPr>
          <t xml:space="preserve">
assumed</t>
        </r>
      </text>
    </comment>
    <comment ref="AM64" authorId="0" shapeId="0" xr:uid="{D3CB211B-B738-4672-8068-1907D4AC932C}">
      <text>
        <r>
          <rPr>
            <b/>
            <sz val="9"/>
            <color indexed="81"/>
            <rFont val="Tahoma"/>
            <family val="2"/>
          </rPr>
          <t>Gavin Mudd:</t>
        </r>
        <r>
          <rPr>
            <sz val="9"/>
            <color indexed="81"/>
            <rFont val="Tahoma"/>
            <family val="2"/>
          </rPr>
          <t xml:space="preserve">
assumed</t>
        </r>
      </text>
    </comment>
    <comment ref="AO64" authorId="0" shapeId="0" xr:uid="{46E4BEBB-4774-446A-AFAD-528AC163C461}">
      <text>
        <r>
          <rPr>
            <b/>
            <sz val="9"/>
            <color indexed="81"/>
            <rFont val="Tahoma"/>
            <family val="2"/>
          </rPr>
          <t>Gavin Mudd:</t>
        </r>
        <r>
          <rPr>
            <sz val="9"/>
            <color indexed="81"/>
            <rFont val="Tahoma"/>
            <family val="2"/>
          </rPr>
          <t xml:space="preserve">
assumed</t>
        </r>
      </text>
    </comment>
    <comment ref="AQ64" authorId="0" shapeId="0" xr:uid="{49850933-ED53-4F0A-AFF3-9BA1F1199372}">
      <text>
        <r>
          <rPr>
            <b/>
            <sz val="9"/>
            <color indexed="81"/>
            <rFont val="Tahoma"/>
            <family val="2"/>
          </rPr>
          <t>Gavin Mudd:</t>
        </r>
        <r>
          <rPr>
            <sz val="9"/>
            <color indexed="81"/>
            <rFont val="Tahoma"/>
            <family val="2"/>
          </rPr>
          <t xml:space="preserve">
assumed</t>
        </r>
      </text>
    </comment>
    <comment ref="AS64" authorId="0" shapeId="0" xr:uid="{C9B3DEA2-574F-49F5-94A0-F341AFDCBA2B}">
      <text>
        <r>
          <rPr>
            <b/>
            <sz val="9"/>
            <color indexed="81"/>
            <rFont val="Tahoma"/>
            <family val="2"/>
          </rPr>
          <t>Gavin Mudd:</t>
        </r>
        <r>
          <rPr>
            <sz val="9"/>
            <color indexed="81"/>
            <rFont val="Tahoma"/>
            <family val="2"/>
          </rPr>
          <t xml:space="preserve">
assumed</t>
        </r>
      </text>
    </comment>
    <comment ref="BA64" authorId="0" shapeId="0" xr:uid="{67D94266-FD71-464A-A899-83810A7AAC83}">
      <text>
        <r>
          <rPr>
            <b/>
            <sz val="9"/>
            <color indexed="81"/>
            <rFont val="Tahoma"/>
            <family val="2"/>
          </rPr>
          <t>Gavin Mudd:</t>
        </r>
        <r>
          <rPr>
            <sz val="9"/>
            <color indexed="81"/>
            <rFont val="Tahoma"/>
            <family val="2"/>
          </rPr>
          <t xml:space="preserve">
assumed</t>
        </r>
      </text>
    </comment>
    <comment ref="BB64" authorId="0" shapeId="0" xr:uid="{14B7F6D3-6911-4160-84F0-51ED6E09EC9A}">
      <text>
        <r>
          <rPr>
            <b/>
            <sz val="9"/>
            <color indexed="81"/>
            <rFont val="Tahoma"/>
            <family val="2"/>
          </rPr>
          <t>Gavin Mudd:</t>
        </r>
        <r>
          <rPr>
            <sz val="9"/>
            <color indexed="81"/>
            <rFont val="Tahoma"/>
            <family val="2"/>
          </rPr>
          <t xml:space="preserve">
assumed</t>
        </r>
      </text>
    </comment>
    <comment ref="CD64" authorId="0" shapeId="0" xr:uid="{1B70166A-103F-471E-A02D-59ABC06DA0BE}">
      <text>
        <r>
          <rPr>
            <b/>
            <sz val="9"/>
            <color indexed="81"/>
            <rFont val="Tahoma"/>
            <family val="2"/>
          </rPr>
          <t>Gavin Mudd:</t>
        </r>
        <r>
          <rPr>
            <sz val="9"/>
            <color indexed="81"/>
            <rFont val="Tahoma"/>
            <family val="2"/>
          </rPr>
          <t xml:space="preserve">
assumed</t>
        </r>
      </text>
    </comment>
    <comment ref="CE64" authorId="0" shapeId="0" xr:uid="{985E450D-CFA4-4DA3-A0C8-2093248370E0}">
      <text>
        <r>
          <rPr>
            <b/>
            <sz val="9"/>
            <color indexed="81"/>
            <rFont val="Tahoma"/>
            <family val="2"/>
          </rPr>
          <t>Gavin Mudd:</t>
        </r>
        <r>
          <rPr>
            <sz val="9"/>
            <color indexed="81"/>
            <rFont val="Tahoma"/>
            <family val="2"/>
          </rPr>
          <t xml:space="preserve">
assumed</t>
        </r>
      </text>
    </comment>
    <comment ref="CJ64" authorId="0" shapeId="0" xr:uid="{0636E251-C3BF-40BB-A951-A35253FAEB8D}">
      <text>
        <r>
          <rPr>
            <b/>
            <sz val="9"/>
            <color indexed="81"/>
            <rFont val="Tahoma"/>
            <family val="2"/>
          </rPr>
          <t>Gavin Mudd:</t>
        </r>
        <r>
          <rPr>
            <sz val="9"/>
            <color indexed="81"/>
            <rFont val="Tahoma"/>
            <family val="2"/>
          </rPr>
          <t xml:space="preserve">
assumed</t>
        </r>
      </text>
    </comment>
    <comment ref="CK64" authorId="0" shapeId="0" xr:uid="{23248446-B5D2-47A8-93A6-B07627DD385C}">
      <text>
        <r>
          <rPr>
            <b/>
            <sz val="9"/>
            <color indexed="81"/>
            <rFont val="Tahoma"/>
            <family val="2"/>
          </rPr>
          <t>Gavin Mudd:</t>
        </r>
        <r>
          <rPr>
            <sz val="9"/>
            <color indexed="81"/>
            <rFont val="Tahoma"/>
            <family val="2"/>
          </rPr>
          <t xml:space="preserve">
assumed</t>
        </r>
      </text>
    </comment>
    <comment ref="CO64" authorId="0" shapeId="0" xr:uid="{DD4FD59C-CBB0-4E21-AB99-C15A5C646943}">
      <text>
        <r>
          <rPr>
            <b/>
            <sz val="9"/>
            <color indexed="81"/>
            <rFont val="Tahoma"/>
            <family val="2"/>
          </rPr>
          <t>Gavin Mudd:</t>
        </r>
        <r>
          <rPr>
            <sz val="9"/>
            <color indexed="81"/>
            <rFont val="Tahoma"/>
            <family val="2"/>
          </rPr>
          <t xml:space="preserve">
assumed</t>
        </r>
      </text>
    </comment>
    <comment ref="CP64" authorId="0" shapeId="0" xr:uid="{4E4648D5-9F25-413B-AAF9-7D54ED4F2016}">
      <text>
        <r>
          <rPr>
            <b/>
            <sz val="9"/>
            <color indexed="81"/>
            <rFont val="Tahoma"/>
            <family val="2"/>
          </rPr>
          <t>Gavin Mudd:</t>
        </r>
        <r>
          <rPr>
            <sz val="9"/>
            <color indexed="81"/>
            <rFont val="Tahoma"/>
            <family val="2"/>
          </rPr>
          <t xml:space="preserve">
assumed</t>
        </r>
      </text>
    </comment>
    <comment ref="DL64" authorId="0" shapeId="0" xr:uid="{C988D91A-E31F-4C0F-9180-768008BB7043}">
      <text>
        <r>
          <rPr>
            <b/>
            <sz val="9"/>
            <color indexed="81"/>
            <rFont val="Tahoma"/>
            <family val="2"/>
          </rPr>
          <t>Gavin Mudd:</t>
        </r>
        <r>
          <rPr>
            <sz val="9"/>
            <color indexed="81"/>
            <rFont val="Tahoma"/>
            <family val="2"/>
          </rPr>
          <t xml:space="preserve">
assumed</t>
        </r>
      </text>
    </comment>
    <comment ref="DM64" authorId="0" shapeId="0" xr:uid="{C4795BAF-93D1-4B42-A8E4-5B53B9EDFA83}">
      <text>
        <r>
          <rPr>
            <b/>
            <sz val="9"/>
            <color indexed="81"/>
            <rFont val="Tahoma"/>
            <family val="2"/>
          </rPr>
          <t>Gavin Mudd:</t>
        </r>
        <r>
          <rPr>
            <sz val="9"/>
            <color indexed="81"/>
            <rFont val="Tahoma"/>
            <family val="2"/>
          </rPr>
          <t xml:space="preserve">
assumed</t>
        </r>
      </text>
    </comment>
    <comment ref="K65" authorId="0" shapeId="0" xr:uid="{DEEE1249-777D-4D0F-AE5B-80E2E731A18F}">
      <text>
        <r>
          <rPr>
            <b/>
            <sz val="9"/>
            <color indexed="81"/>
            <rFont val="Tahoma"/>
            <family val="2"/>
          </rPr>
          <t>Gavin Mudd:</t>
        </r>
        <r>
          <rPr>
            <sz val="9"/>
            <color indexed="81"/>
            <rFont val="Tahoma"/>
            <family val="2"/>
          </rPr>
          <t xml:space="preserve">
assumed</t>
        </r>
      </text>
    </comment>
    <comment ref="M65" authorId="0" shapeId="0" xr:uid="{05C0CB30-004F-4D7E-84CC-D7A954966AEF}">
      <text>
        <r>
          <rPr>
            <b/>
            <sz val="9"/>
            <color indexed="81"/>
            <rFont val="Tahoma"/>
            <family val="2"/>
          </rPr>
          <t>Gavin Mudd:</t>
        </r>
        <r>
          <rPr>
            <sz val="9"/>
            <color indexed="81"/>
            <rFont val="Tahoma"/>
            <family val="2"/>
          </rPr>
          <t xml:space="preserve">
assumed</t>
        </r>
      </text>
    </comment>
    <comment ref="O65" authorId="0" shapeId="0" xr:uid="{27A6478B-EF55-4627-A08C-377840338894}">
      <text>
        <r>
          <rPr>
            <b/>
            <sz val="9"/>
            <color indexed="81"/>
            <rFont val="Tahoma"/>
            <family val="2"/>
          </rPr>
          <t>Gavin Mudd:</t>
        </r>
        <r>
          <rPr>
            <sz val="9"/>
            <color indexed="81"/>
            <rFont val="Tahoma"/>
            <family val="2"/>
          </rPr>
          <t xml:space="preserve">
assumed</t>
        </r>
      </text>
    </comment>
    <comment ref="S65" authorId="0" shapeId="0" xr:uid="{43D292A3-8435-47DE-AAFD-DBB4F76D0E1F}">
      <text>
        <r>
          <rPr>
            <b/>
            <sz val="9"/>
            <color indexed="81"/>
            <rFont val="Tahoma"/>
            <family val="2"/>
          </rPr>
          <t>Gavin Mudd:</t>
        </r>
        <r>
          <rPr>
            <sz val="9"/>
            <color indexed="81"/>
            <rFont val="Tahoma"/>
            <family val="2"/>
          </rPr>
          <t xml:space="preserve">
assumed</t>
        </r>
      </text>
    </comment>
    <comment ref="W65" authorId="0" shapeId="0" xr:uid="{9B0A2704-3D49-4B88-AE30-6A83811C4821}">
      <text>
        <r>
          <rPr>
            <b/>
            <sz val="9"/>
            <color indexed="81"/>
            <rFont val="Tahoma"/>
            <family val="2"/>
          </rPr>
          <t>Gavin Mudd:</t>
        </r>
        <r>
          <rPr>
            <sz val="9"/>
            <color indexed="81"/>
            <rFont val="Tahoma"/>
            <family val="2"/>
          </rPr>
          <t xml:space="preserve">
assumed</t>
        </r>
      </text>
    </comment>
    <comment ref="Y65" authorId="0" shapeId="0" xr:uid="{6D827822-9E86-4B58-B594-3D504AD0E10C}">
      <text>
        <r>
          <rPr>
            <b/>
            <sz val="9"/>
            <color indexed="81"/>
            <rFont val="Tahoma"/>
            <family val="2"/>
          </rPr>
          <t>Gavin Mudd:</t>
        </r>
        <r>
          <rPr>
            <sz val="9"/>
            <color indexed="81"/>
            <rFont val="Tahoma"/>
            <family val="2"/>
          </rPr>
          <t xml:space="preserve">
assumed</t>
        </r>
      </text>
    </comment>
    <comment ref="AA65" authorId="0" shapeId="0" xr:uid="{224C8D81-CD78-48F7-8943-F6013EC4585B}">
      <text>
        <r>
          <rPr>
            <b/>
            <sz val="9"/>
            <color indexed="81"/>
            <rFont val="Tahoma"/>
            <family val="2"/>
          </rPr>
          <t>Gavin Mudd:</t>
        </r>
        <r>
          <rPr>
            <sz val="9"/>
            <color indexed="81"/>
            <rFont val="Tahoma"/>
            <family val="2"/>
          </rPr>
          <t xml:space="preserve">
assumed</t>
        </r>
      </text>
    </comment>
    <comment ref="AG65" authorId="0" shapeId="0" xr:uid="{74988523-C83B-45C9-8C5B-1AC3C1FA8D07}">
      <text>
        <r>
          <rPr>
            <b/>
            <sz val="9"/>
            <color indexed="81"/>
            <rFont val="Tahoma"/>
            <family val="2"/>
          </rPr>
          <t>Gavin Mudd:</t>
        </r>
        <r>
          <rPr>
            <sz val="9"/>
            <color indexed="81"/>
            <rFont val="Tahoma"/>
            <family val="2"/>
          </rPr>
          <t xml:space="preserve">
assumed</t>
        </r>
      </text>
    </comment>
    <comment ref="AH65" authorId="0" shapeId="0" xr:uid="{9FF0C20A-1463-40EA-9EF8-3EC3139DFE17}">
      <text>
        <r>
          <rPr>
            <b/>
            <sz val="9"/>
            <color indexed="81"/>
            <rFont val="Tahoma"/>
            <family val="2"/>
          </rPr>
          <t>Gavin Mudd:</t>
        </r>
        <r>
          <rPr>
            <sz val="9"/>
            <color indexed="81"/>
            <rFont val="Tahoma"/>
            <family val="2"/>
          </rPr>
          <t xml:space="preserve">
Bingara</t>
        </r>
      </text>
    </comment>
    <comment ref="AI65" authorId="0" shapeId="0" xr:uid="{FF8D1329-5A75-493C-94CE-5BF6C8D5E0B3}">
      <text>
        <r>
          <rPr>
            <b/>
            <sz val="9"/>
            <color indexed="81"/>
            <rFont val="Tahoma"/>
            <family val="2"/>
          </rPr>
          <t>Gavin Mudd:</t>
        </r>
        <r>
          <rPr>
            <sz val="9"/>
            <color indexed="81"/>
            <rFont val="Tahoma"/>
            <family val="2"/>
          </rPr>
          <t xml:space="preserve">
assumed</t>
        </r>
      </text>
    </comment>
    <comment ref="AK65" authorId="0" shapeId="0" xr:uid="{B5D83B56-6EC2-439D-BC45-EC5C038C69BE}">
      <text>
        <r>
          <rPr>
            <b/>
            <sz val="9"/>
            <color indexed="81"/>
            <rFont val="Tahoma"/>
            <family val="2"/>
          </rPr>
          <t>Gavin Mudd:</t>
        </r>
        <r>
          <rPr>
            <sz val="9"/>
            <color indexed="81"/>
            <rFont val="Tahoma"/>
            <family val="2"/>
          </rPr>
          <t xml:space="preserve">
assumed</t>
        </r>
      </text>
    </comment>
    <comment ref="AM65" authorId="0" shapeId="0" xr:uid="{56EAB57A-4FE3-45F6-8EB8-C311C285213D}">
      <text>
        <r>
          <rPr>
            <b/>
            <sz val="9"/>
            <color indexed="81"/>
            <rFont val="Tahoma"/>
            <family val="2"/>
          </rPr>
          <t>Gavin Mudd:</t>
        </r>
        <r>
          <rPr>
            <sz val="9"/>
            <color indexed="81"/>
            <rFont val="Tahoma"/>
            <family val="2"/>
          </rPr>
          <t xml:space="preserve">
assumed</t>
        </r>
      </text>
    </comment>
    <comment ref="AO65" authorId="0" shapeId="0" xr:uid="{08DE82B2-40AC-4EDA-BC63-AB2807DE2100}">
      <text>
        <r>
          <rPr>
            <b/>
            <sz val="9"/>
            <color indexed="81"/>
            <rFont val="Tahoma"/>
            <family val="2"/>
          </rPr>
          <t>Gavin Mudd:</t>
        </r>
        <r>
          <rPr>
            <sz val="9"/>
            <color indexed="81"/>
            <rFont val="Tahoma"/>
            <family val="2"/>
          </rPr>
          <t xml:space="preserve">
assumed</t>
        </r>
      </text>
    </comment>
    <comment ref="AQ65" authorId="0" shapeId="0" xr:uid="{9A60A473-C05F-4E2D-8838-485735E9CE0A}">
      <text>
        <r>
          <rPr>
            <b/>
            <sz val="9"/>
            <color indexed="81"/>
            <rFont val="Tahoma"/>
            <family val="2"/>
          </rPr>
          <t>Gavin Mudd:</t>
        </r>
        <r>
          <rPr>
            <sz val="9"/>
            <color indexed="81"/>
            <rFont val="Tahoma"/>
            <family val="2"/>
          </rPr>
          <t xml:space="preserve">
assumed</t>
        </r>
      </text>
    </comment>
    <comment ref="AU65" authorId="0" shapeId="0" xr:uid="{1BFED2BC-261D-438F-AFCC-F05C0679D7DC}">
      <text>
        <r>
          <rPr>
            <b/>
            <sz val="9"/>
            <color indexed="81"/>
            <rFont val="Tahoma"/>
            <family val="2"/>
          </rPr>
          <t>Gavin Mudd:</t>
        </r>
        <r>
          <rPr>
            <sz val="9"/>
            <color indexed="81"/>
            <rFont val="Tahoma"/>
            <family val="2"/>
          </rPr>
          <t xml:space="preserve">
assumed</t>
        </r>
      </text>
    </comment>
    <comment ref="BA65" authorId="0" shapeId="0" xr:uid="{213F2B8E-358C-4E02-89AE-0BB813F03FEF}">
      <text>
        <r>
          <rPr>
            <b/>
            <sz val="9"/>
            <color indexed="81"/>
            <rFont val="Tahoma"/>
            <family val="2"/>
          </rPr>
          <t>Gavin Mudd:</t>
        </r>
        <r>
          <rPr>
            <sz val="9"/>
            <color indexed="81"/>
            <rFont val="Tahoma"/>
            <family val="2"/>
          </rPr>
          <t xml:space="preserve">
assumed</t>
        </r>
      </text>
    </comment>
    <comment ref="BB65" authorId="0" shapeId="0" xr:uid="{2A9209CB-00F5-4B7A-9597-9FD35D19301C}">
      <text>
        <r>
          <rPr>
            <b/>
            <sz val="9"/>
            <color indexed="81"/>
            <rFont val="Tahoma"/>
            <family val="2"/>
          </rPr>
          <t>Gavin Mudd:</t>
        </r>
        <r>
          <rPr>
            <sz val="9"/>
            <color indexed="81"/>
            <rFont val="Tahoma"/>
            <family val="2"/>
          </rPr>
          <t xml:space="preserve">
assumed</t>
        </r>
      </text>
    </comment>
    <comment ref="CD65" authorId="0" shapeId="0" xr:uid="{28B4D4F5-0DFD-438C-A4A8-7930A0ECC69B}">
      <text>
        <r>
          <rPr>
            <b/>
            <sz val="9"/>
            <color indexed="81"/>
            <rFont val="Tahoma"/>
            <family val="2"/>
          </rPr>
          <t>Gavin Mudd:</t>
        </r>
        <r>
          <rPr>
            <sz val="9"/>
            <color indexed="81"/>
            <rFont val="Tahoma"/>
            <family val="2"/>
          </rPr>
          <t xml:space="preserve">
assumed</t>
        </r>
      </text>
    </comment>
    <comment ref="CE65" authorId="0" shapeId="0" xr:uid="{A9394ADE-6C7A-4944-B088-3CC0774785A6}">
      <text>
        <r>
          <rPr>
            <b/>
            <sz val="9"/>
            <color indexed="81"/>
            <rFont val="Tahoma"/>
            <family val="2"/>
          </rPr>
          <t>Gavin Mudd:</t>
        </r>
        <r>
          <rPr>
            <sz val="9"/>
            <color indexed="81"/>
            <rFont val="Tahoma"/>
            <family val="2"/>
          </rPr>
          <t xml:space="preserve">
assumed</t>
        </r>
      </text>
    </comment>
    <comment ref="CJ65" authorId="0" shapeId="0" xr:uid="{B3D7F0A0-6623-4811-B589-B0FD638F2049}">
      <text>
        <r>
          <rPr>
            <b/>
            <sz val="9"/>
            <color indexed="81"/>
            <rFont val="Tahoma"/>
            <family val="2"/>
          </rPr>
          <t>Gavin Mudd:</t>
        </r>
        <r>
          <rPr>
            <sz val="9"/>
            <color indexed="81"/>
            <rFont val="Tahoma"/>
            <family val="2"/>
          </rPr>
          <t xml:space="preserve">
assumed</t>
        </r>
      </text>
    </comment>
    <comment ref="CK65" authorId="0" shapeId="0" xr:uid="{E68C20C2-3E4B-4FFF-AB60-F4C46A5085E2}">
      <text>
        <r>
          <rPr>
            <b/>
            <sz val="9"/>
            <color indexed="81"/>
            <rFont val="Tahoma"/>
            <family val="2"/>
          </rPr>
          <t>Gavin Mudd:</t>
        </r>
        <r>
          <rPr>
            <sz val="9"/>
            <color indexed="81"/>
            <rFont val="Tahoma"/>
            <family val="2"/>
          </rPr>
          <t xml:space="preserve">
assumed</t>
        </r>
      </text>
    </comment>
    <comment ref="CO65" authorId="0" shapeId="0" xr:uid="{6B25553B-43D3-4885-8F87-74C89A7F456F}">
      <text>
        <r>
          <rPr>
            <b/>
            <sz val="9"/>
            <color indexed="81"/>
            <rFont val="Tahoma"/>
            <family val="2"/>
          </rPr>
          <t>Gavin Mudd:</t>
        </r>
        <r>
          <rPr>
            <sz val="9"/>
            <color indexed="81"/>
            <rFont val="Tahoma"/>
            <family val="2"/>
          </rPr>
          <t xml:space="preserve">
assumed</t>
        </r>
      </text>
    </comment>
    <comment ref="CP65" authorId="0" shapeId="0" xr:uid="{3FBA4BCD-43DF-4A6D-9225-C8A5FDC1BB0C}">
      <text>
        <r>
          <rPr>
            <b/>
            <sz val="9"/>
            <color indexed="81"/>
            <rFont val="Tahoma"/>
            <family val="2"/>
          </rPr>
          <t>Gavin Mudd:</t>
        </r>
        <r>
          <rPr>
            <sz val="9"/>
            <color indexed="81"/>
            <rFont val="Tahoma"/>
            <family val="2"/>
          </rPr>
          <t xml:space="preserve">
assumed</t>
        </r>
      </text>
    </comment>
    <comment ref="DL65" authorId="0" shapeId="0" xr:uid="{AF881DCE-9662-4DA8-81BB-A9486DD4B25B}">
      <text>
        <r>
          <rPr>
            <b/>
            <sz val="9"/>
            <color indexed="81"/>
            <rFont val="Tahoma"/>
            <family val="2"/>
          </rPr>
          <t>Gavin Mudd:</t>
        </r>
        <r>
          <rPr>
            <sz val="9"/>
            <color indexed="81"/>
            <rFont val="Tahoma"/>
            <family val="2"/>
          </rPr>
          <t xml:space="preserve">
assumed</t>
        </r>
      </text>
    </comment>
    <comment ref="DM65" authorId="0" shapeId="0" xr:uid="{7C44188A-D0F8-4294-BAD2-577E00E12656}">
      <text>
        <r>
          <rPr>
            <b/>
            <sz val="9"/>
            <color indexed="81"/>
            <rFont val="Tahoma"/>
            <family val="2"/>
          </rPr>
          <t>Gavin Mudd:</t>
        </r>
        <r>
          <rPr>
            <sz val="9"/>
            <color indexed="81"/>
            <rFont val="Tahoma"/>
            <family val="2"/>
          </rPr>
          <t xml:space="preserve">
assumed</t>
        </r>
      </text>
    </comment>
    <comment ref="E66" authorId="0" shapeId="0" xr:uid="{DE64E189-8747-4AA3-A4CD-A7976989C6B3}">
      <text>
        <r>
          <rPr>
            <b/>
            <sz val="9"/>
            <color indexed="81"/>
            <rFont val="Tahoma"/>
            <family val="2"/>
          </rPr>
          <t>Gavin Mudd:</t>
        </r>
        <r>
          <rPr>
            <sz val="9"/>
            <color indexed="81"/>
            <rFont val="Tahoma"/>
            <family val="2"/>
          </rPr>
          <t xml:space="preserve">
assumed</t>
        </r>
      </text>
    </comment>
    <comment ref="M66" authorId="0" shapeId="0" xr:uid="{0E4A0078-4794-464A-8E70-F53A267E85FD}">
      <text>
        <r>
          <rPr>
            <b/>
            <sz val="9"/>
            <color indexed="81"/>
            <rFont val="Tahoma"/>
            <family val="2"/>
          </rPr>
          <t>Gavin Mudd:</t>
        </r>
        <r>
          <rPr>
            <sz val="9"/>
            <color indexed="81"/>
            <rFont val="Tahoma"/>
            <family val="2"/>
          </rPr>
          <t xml:space="preserve">
assumed</t>
        </r>
      </text>
    </comment>
    <comment ref="S66" authorId="0" shapeId="0" xr:uid="{E43A863D-7CDB-453E-BF1C-461BCE7545DB}">
      <text>
        <r>
          <rPr>
            <b/>
            <sz val="9"/>
            <color indexed="81"/>
            <rFont val="Tahoma"/>
            <family val="2"/>
          </rPr>
          <t>Gavin Mudd:</t>
        </r>
        <r>
          <rPr>
            <sz val="9"/>
            <color indexed="81"/>
            <rFont val="Tahoma"/>
            <family val="2"/>
          </rPr>
          <t xml:space="preserve">
assumed</t>
        </r>
      </text>
    </comment>
    <comment ref="W66" authorId="0" shapeId="0" xr:uid="{071105B0-25AD-4C69-AE5D-2902E2B8A0B5}">
      <text>
        <r>
          <rPr>
            <b/>
            <sz val="9"/>
            <color indexed="81"/>
            <rFont val="Tahoma"/>
            <family val="2"/>
          </rPr>
          <t>Gavin Mudd:</t>
        </r>
        <r>
          <rPr>
            <sz val="9"/>
            <color indexed="81"/>
            <rFont val="Tahoma"/>
            <family val="2"/>
          </rPr>
          <t xml:space="preserve">
assumed</t>
        </r>
      </text>
    </comment>
    <comment ref="Y66" authorId="0" shapeId="0" xr:uid="{1DBED737-8C51-45D6-98C0-627B26763C98}">
      <text>
        <r>
          <rPr>
            <b/>
            <sz val="9"/>
            <color indexed="81"/>
            <rFont val="Tahoma"/>
            <family val="2"/>
          </rPr>
          <t>Gavin Mudd:</t>
        </r>
        <r>
          <rPr>
            <sz val="9"/>
            <color indexed="81"/>
            <rFont val="Tahoma"/>
            <family val="2"/>
          </rPr>
          <t xml:space="preserve">
assumed</t>
        </r>
      </text>
    </comment>
    <comment ref="AA66" authorId="0" shapeId="0" xr:uid="{D80FB37E-32BD-4681-B095-7B1899D8BC76}">
      <text>
        <r>
          <rPr>
            <b/>
            <sz val="9"/>
            <color indexed="81"/>
            <rFont val="Tahoma"/>
            <family val="2"/>
          </rPr>
          <t>Gavin Mudd:</t>
        </r>
        <r>
          <rPr>
            <sz val="9"/>
            <color indexed="81"/>
            <rFont val="Tahoma"/>
            <family val="2"/>
          </rPr>
          <t xml:space="preserve">
assumed</t>
        </r>
      </text>
    </comment>
    <comment ref="AG66" authorId="0" shapeId="0" xr:uid="{6EABDDE4-7BA2-4DCB-B7C8-6E2959770331}">
      <text>
        <r>
          <rPr>
            <b/>
            <sz val="9"/>
            <color indexed="81"/>
            <rFont val="Tahoma"/>
            <family val="2"/>
          </rPr>
          <t>Gavin Mudd:</t>
        </r>
        <r>
          <rPr>
            <sz val="9"/>
            <color indexed="81"/>
            <rFont val="Tahoma"/>
            <family val="2"/>
          </rPr>
          <t xml:space="preserve">
assumed</t>
        </r>
      </text>
    </comment>
    <comment ref="AK66" authorId="0" shapeId="0" xr:uid="{536A29D6-04D0-4272-9D5E-95FBDEE6FFB4}">
      <text>
        <r>
          <rPr>
            <b/>
            <sz val="9"/>
            <color indexed="81"/>
            <rFont val="Tahoma"/>
            <family val="2"/>
          </rPr>
          <t>Gavin Mudd:</t>
        </r>
        <r>
          <rPr>
            <sz val="9"/>
            <color indexed="81"/>
            <rFont val="Tahoma"/>
            <family val="2"/>
          </rPr>
          <t xml:space="preserve">
assumed</t>
        </r>
      </text>
    </comment>
    <comment ref="AM66" authorId="0" shapeId="0" xr:uid="{2FD2B25F-6A18-43A0-8932-00EF1CD862C2}">
      <text>
        <r>
          <rPr>
            <b/>
            <sz val="9"/>
            <color indexed="81"/>
            <rFont val="Tahoma"/>
            <family val="2"/>
          </rPr>
          <t>Gavin Mudd:</t>
        </r>
        <r>
          <rPr>
            <sz val="9"/>
            <color indexed="81"/>
            <rFont val="Tahoma"/>
            <family val="2"/>
          </rPr>
          <t xml:space="preserve">
assumed</t>
        </r>
      </text>
    </comment>
    <comment ref="AO66" authorId="0" shapeId="0" xr:uid="{36A4E3A3-71D4-49C1-9D8D-4D61EA33B07E}">
      <text>
        <r>
          <rPr>
            <b/>
            <sz val="9"/>
            <color indexed="81"/>
            <rFont val="Tahoma"/>
            <family val="2"/>
          </rPr>
          <t>Gavin Mudd:</t>
        </r>
        <r>
          <rPr>
            <sz val="9"/>
            <color indexed="81"/>
            <rFont val="Tahoma"/>
            <family val="2"/>
          </rPr>
          <t xml:space="preserve">
assumed</t>
        </r>
      </text>
    </comment>
    <comment ref="AQ66" authorId="0" shapeId="0" xr:uid="{A1635834-B786-49C6-B6B2-CAE8912EA7D0}">
      <text>
        <r>
          <rPr>
            <b/>
            <sz val="9"/>
            <color indexed="81"/>
            <rFont val="Tahoma"/>
            <family val="2"/>
          </rPr>
          <t>Gavin Mudd:</t>
        </r>
        <r>
          <rPr>
            <sz val="9"/>
            <color indexed="81"/>
            <rFont val="Tahoma"/>
            <family val="2"/>
          </rPr>
          <t xml:space="preserve">
assumed</t>
        </r>
      </text>
    </comment>
    <comment ref="AU66" authorId="0" shapeId="0" xr:uid="{864D7877-3FA3-4AC4-859A-D9009CB749CF}">
      <text>
        <r>
          <rPr>
            <b/>
            <sz val="9"/>
            <color indexed="81"/>
            <rFont val="Tahoma"/>
            <family val="2"/>
          </rPr>
          <t>Gavin Mudd:</t>
        </r>
        <r>
          <rPr>
            <sz val="9"/>
            <color indexed="81"/>
            <rFont val="Tahoma"/>
            <family val="2"/>
          </rPr>
          <t xml:space="preserve">
assumed</t>
        </r>
      </text>
    </comment>
    <comment ref="BA66" authorId="0" shapeId="0" xr:uid="{17586AD0-E80D-4BAC-88A0-C2AFE29A1B6A}">
      <text>
        <r>
          <rPr>
            <b/>
            <sz val="9"/>
            <color indexed="81"/>
            <rFont val="Tahoma"/>
            <family val="2"/>
          </rPr>
          <t>Gavin Mudd:</t>
        </r>
        <r>
          <rPr>
            <sz val="9"/>
            <color indexed="81"/>
            <rFont val="Tahoma"/>
            <family val="2"/>
          </rPr>
          <t xml:space="preserve">
assumed</t>
        </r>
      </text>
    </comment>
    <comment ref="BB66" authorId="0" shapeId="0" xr:uid="{E4296A66-D160-4315-B662-B4C2DB981169}">
      <text>
        <r>
          <rPr>
            <b/>
            <sz val="9"/>
            <color indexed="81"/>
            <rFont val="Tahoma"/>
            <family val="2"/>
          </rPr>
          <t>Gavin Mudd:</t>
        </r>
        <r>
          <rPr>
            <sz val="9"/>
            <color indexed="81"/>
            <rFont val="Tahoma"/>
            <family val="2"/>
          </rPr>
          <t xml:space="preserve">
assumed</t>
        </r>
      </text>
    </comment>
    <comment ref="CD66" authorId="0" shapeId="0" xr:uid="{EAB48CC2-DFCA-42A6-9482-CC6F938D65AE}">
      <text>
        <r>
          <rPr>
            <b/>
            <sz val="9"/>
            <color indexed="81"/>
            <rFont val="Tahoma"/>
            <family val="2"/>
          </rPr>
          <t>Gavin Mudd:</t>
        </r>
        <r>
          <rPr>
            <sz val="9"/>
            <color indexed="81"/>
            <rFont val="Tahoma"/>
            <family val="2"/>
          </rPr>
          <t xml:space="preserve">
assumed</t>
        </r>
      </text>
    </comment>
    <comment ref="CE66" authorId="0" shapeId="0" xr:uid="{5DB8019C-296B-4B06-BD65-2E3EA3C49358}">
      <text>
        <r>
          <rPr>
            <b/>
            <sz val="9"/>
            <color indexed="81"/>
            <rFont val="Tahoma"/>
            <family val="2"/>
          </rPr>
          <t>Gavin Mudd:</t>
        </r>
        <r>
          <rPr>
            <sz val="9"/>
            <color indexed="81"/>
            <rFont val="Tahoma"/>
            <family val="2"/>
          </rPr>
          <t xml:space="preserve">
assumed</t>
        </r>
      </text>
    </comment>
    <comment ref="CJ66" authorId="0" shapeId="0" xr:uid="{7776FC36-F12D-4903-866B-06ED01ABD709}">
      <text>
        <r>
          <rPr>
            <b/>
            <sz val="9"/>
            <color indexed="81"/>
            <rFont val="Tahoma"/>
            <family val="2"/>
          </rPr>
          <t>Gavin Mudd:</t>
        </r>
        <r>
          <rPr>
            <sz val="9"/>
            <color indexed="81"/>
            <rFont val="Tahoma"/>
            <family val="2"/>
          </rPr>
          <t xml:space="preserve">
assumed</t>
        </r>
      </text>
    </comment>
    <comment ref="CK66" authorId="0" shapeId="0" xr:uid="{68C42290-4729-4821-81EB-B1730AC3C533}">
      <text>
        <r>
          <rPr>
            <b/>
            <sz val="9"/>
            <color indexed="81"/>
            <rFont val="Tahoma"/>
            <family val="2"/>
          </rPr>
          <t>Gavin Mudd:</t>
        </r>
        <r>
          <rPr>
            <sz val="9"/>
            <color indexed="81"/>
            <rFont val="Tahoma"/>
            <family val="2"/>
          </rPr>
          <t xml:space="preserve">
assumed</t>
        </r>
      </text>
    </comment>
    <comment ref="CO66" authorId="0" shapeId="0" xr:uid="{0299E0B5-A21B-488D-8384-5FD72999C54E}">
      <text>
        <r>
          <rPr>
            <b/>
            <sz val="9"/>
            <color indexed="81"/>
            <rFont val="Tahoma"/>
            <family val="2"/>
          </rPr>
          <t>Gavin Mudd:</t>
        </r>
        <r>
          <rPr>
            <sz val="9"/>
            <color indexed="81"/>
            <rFont val="Tahoma"/>
            <family val="2"/>
          </rPr>
          <t xml:space="preserve">
assumed</t>
        </r>
      </text>
    </comment>
    <comment ref="CP66" authorId="0" shapeId="0" xr:uid="{86C9FAC9-B9CF-4BEC-92D1-50C3BB574B61}">
      <text>
        <r>
          <rPr>
            <b/>
            <sz val="9"/>
            <color indexed="81"/>
            <rFont val="Tahoma"/>
            <family val="2"/>
          </rPr>
          <t>Gavin Mudd:</t>
        </r>
        <r>
          <rPr>
            <sz val="9"/>
            <color indexed="81"/>
            <rFont val="Tahoma"/>
            <family val="2"/>
          </rPr>
          <t xml:space="preserve">
assumed</t>
        </r>
      </text>
    </comment>
    <comment ref="CT66" authorId="0" shapeId="0" xr:uid="{1859525D-923B-4012-BD7F-8496E18AD417}">
      <text>
        <r>
          <rPr>
            <b/>
            <sz val="9"/>
            <color indexed="81"/>
            <rFont val="Tahoma"/>
            <family val="2"/>
          </rPr>
          <t>Gavin Mudd:</t>
        </r>
        <r>
          <rPr>
            <sz val="9"/>
            <color indexed="81"/>
            <rFont val="Tahoma"/>
            <family val="2"/>
          </rPr>
          <t xml:space="preserve">
assumed</t>
        </r>
      </text>
    </comment>
    <comment ref="CU66" authorId="0" shapeId="0" xr:uid="{4A1788EC-60C0-4C1E-854B-CCC0D2CC16AD}">
      <text>
        <r>
          <rPr>
            <b/>
            <sz val="9"/>
            <color indexed="81"/>
            <rFont val="Tahoma"/>
            <family val="2"/>
          </rPr>
          <t>Gavin Mudd:</t>
        </r>
        <r>
          <rPr>
            <sz val="9"/>
            <color indexed="81"/>
            <rFont val="Tahoma"/>
            <family val="2"/>
          </rPr>
          <t xml:space="preserve">
assumed</t>
        </r>
      </text>
    </comment>
    <comment ref="DL66" authorId="0" shapeId="0" xr:uid="{9604BC75-41C1-48B4-94C3-5021384035BE}">
      <text>
        <r>
          <rPr>
            <b/>
            <sz val="9"/>
            <color indexed="81"/>
            <rFont val="Tahoma"/>
            <family val="2"/>
          </rPr>
          <t>Gavin Mudd:</t>
        </r>
        <r>
          <rPr>
            <sz val="9"/>
            <color indexed="81"/>
            <rFont val="Tahoma"/>
            <family val="2"/>
          </rPr>
          <t xml:space="preserve">
assumed</t>
        </r>
      </text>
    </comment>
    <comment ref="DM66" authorId="0" shapeId="0" xr:uid="{BFBB76D2-503A-43DE-9BC2-160E3108C89B}">
      <text>
        <r>
          <rPr>
            <b/>
            <sz val="9"/>
            <color indexed="81"/>
            <rFont val="Tahoma"/>
            <family val="2"/>
          </rPr>
          <t>Gavin Mudd:</t>
        </r>
        <r>
          <rPr>
            <sz val="9"/>
            <color indexed="81"/>
            <rFont val="Tahoma"/>
            <family val="2"/>
          </rPr>
          <t xml:space="preserve">
assumed</t>
        </r>
      </text>
    </comment>
    <comment ref="E67" authorId="0" shapeId="0" xr:uid="{90074F29-5744-4A46-8F6F-F2104A069131}">
      <text>
        <r>
          <rPr>
            <b/>
            <sz val="9"/>
            <color indexed="81"/>
            <rFont val="Tahoma"/>
            <family val="2"/>
          </rPr>
          <t>Gavin Mudd:</t>
        </r>
        <r>
          <rPr>
            <sz val="9"/>
            <color indexed="81"/>
            <rFont val="Tahoma"/>
            <family val="2"/>
          </rPr>
          <t xml:space="preserve">
assumed</t>
        </r>
      </text>
    </comment>
    <comment ref="K67" authorId="0" shapeId="0" xr:uid="{B285A7D7-BEAD-474D-88B6-20C1C3D9724C}">
      <text>
        <r>
          <rPr>
            <b/>
            <sz val="9"/>
            <color indexed="81"/>
            <rFont val="Tahoma"/>
            <family val="2"/>
          </rPr>
          <t>Gavin Mudd:</t>
        </r>
        <r>
          <rPr>
            <sz val="9"/>
            <color indexed="81"/>
            <rFont val="Tahoma"/>
            <family val="2"/>
          </rPr>
          <t xml:space="preserve">
assumed</t>
        </r>
      </text>
    </comment>
    <comment ref="S67" authorId="0" shapeId="0" xr:uid="{0421B40C-FFEF-42B0-82E5-F1404FC4A375}">
      <text>
        <r>
          <rPr>
            <b/>
            <sz val="9"/>
            <color indexed="81"/>
            <rFont val="Tahoma"/>
            <family val="2"/>
          </rPr>
          <t>Gavin Mudd:</t>
        </r>
        <r>
          <rPr>
            <sz val="9"/>
            <color indexed="81"/>
            <rFont val="Tahoma"/>
            <family val="2"/>
          </rPr>
          <t xml:space="preserve">
assumed</t>
        </r>
      </text>
    </comment>
    <comment ref="W67" authorId="0" shapeId="0" xr:uid="{03B352EC-283D-46FE-BA79-AB78924849B7}">
      <text>
        <r>
          <rPr>
            <b/>
            <sz val="9"/>
            <color indexed="81"/>
            <rFont val="Tahoma"/>
            <family val="2"/>
          </rPr>
          <t>Gavin Mudd:</t>
        </r>
        <r>
          <rPr>
            <sz val="9"/>
            <color indexed="81"/>
            <rFont val="Tahoma"/>
            <family val="2"/>
          </rPr>
          <t xml:space="preserve">
assumed</t>
        </r>
      </text>
    </comment>
    <comment ref="Y67" authorId="0" shapeId="0" xr:uid="{08CB8D9E-DD1B-4318-B1B5-302CA3E72B16}">
      <text>
        <r>
          <rPr>
            <b/>
            <sz val="9"/>
            <color indexed="81"/>
            <rFont val="Tahoma"/>
            <family val="2"/>
          </rPr>
          <t>Gavin Mudd:</t>
        </r>
        <r>
          <rPr>
            <sz val="9"/>
            <color indexed="81"/>
            <rFont val="Tahoma"/>
            <family val="2"/>
          </rPr>
          <t xml:space="preserve">
assumed</t>
        </r>
      </text>
    </comment>
    <comment ref="AA67" authorId="0" shapeId="0" xr:uid="{94E82665-7732-40BC-BC0C-407B890E060F}">
      <text>
        <r>
          <rPr>
            <b/>
            <sz val="9"/>
            <color indexed="81"/>
            <rFont val="Tahoma"/>
            <family val="2"/>
          </rPr>
          <t>Gavin Mudd:</t>
        </r>
        <r>
          <rPr>
            <sz val="9"/>
            <color indexed="81"/>
            <rFont val="Tahoma"/>
            <family val="2"/>
          </rPr>
          <t xml:space="preserve">
assumed</t>
        </r>
      </text>
    </comment>
    <comment ref="AG67" authorId="0" shapeId="0" xr:uid="{6B3196D5-6223-4155-AEFF-D8054DD86E0A}">
      <text>
        <r>
          <rPr>
            <b/>
            <sz val="9"/>
            <color indexed="81"/>
            <rFont val="Tahoma"/>
            <family val="2"/>
          </rPr>
          <t>Gavin Mudd:</t>
        </r>
        <r>
          <rPr>
            <sz val="9"/>
            <color indexed="81"/>
            <rFont val="Tahoma"/>
            <family val="2"/>
          </rPr>
          <t xml:space="preserve">
assumed</t>
        </r>
      </text>
    </comment>
    <comment ref="AK67" authorId="0" shapeId="0" xr:uid="{E05ABE38-0519-4E93-8A9E-E4D51D2DD684}">
      <text>
        <r>
          <rPr>
            <b/>
            <sz val="9"/>
            <color indexed="81"/>
            <rFont val="Tahoma"/>
            <family val="2"/>
          </rPr>
          <t>Gavin Mudd:</t>
        </r>
        <r>
          <rPr>
            <sz val="9"/>
            <color indexed="81"/>
            <rFont val="Tahoma"/>
            <family val="2"/>
          </rPr>
          <t xml:space="preserve">
assumed</t>
        </r>
      </text>
    </comment>
    <comment ref="AM67" authorId="0" shapeId="0" xr:uid="{079E1872-D19D-48C4-9686-C08F0F3A8CF3}">
      <text>
        <r>
          <rPr>
            <b/>
            <sz val="9"/>
            <color indexed="81"/>
            <rFont val="Tahoma"/>
            <family val="2"/>
          </rPr>
          <t>Gavin Mudd:</t>
        </r>
        <r>
          <rPr>
            <sz val="9"/>
            <color indexed="81"/>
            <rFont val="Tahoma"/>
            <family val="2"/>
          </rPr>
          <t xml:space="preserve">
assumed</t>
        </r>
      </text>
    </comment>
    <comment ref="AO67" authorId="0" shapeId="0" xr:uid="{F2B77D86-98BD-47CD-A3A0-473C28F99505}">
      <text>
        <r>
          <rPr>
            <b/>
            <sz val="9"/>
            <color indexed="81"/>
            <rFont val="Tahoma"/>
            <family val="2"/>
          </rPr>
          <t>Gavin Mudd:</t>
        </r>
        <r>
          <rPr>
            <sz val="9"/>
            <color indexed="81"/>
            <rFont val="Tahoma"/>
            <family val="2"/>
          </rPr>
          <t xml:space="preserve">
assumed</t>
        </r>
      </text>
    </comment>
    <comment ref="AQ67" authorId="0" shapeId="0" xr:uid="{0E16262E-9FA5-481B-A453-E9F6EF3A92B4}">
      <text>
        <r>
          <rPr>
            <b/>
            <sz val="9"/>
            <color indexed="81"/>
            <rFont val="Tahoma"/>
            <family val="2"/>
          </rPr>
          <t>Gavin Mudd:</t>
        </r>
        <r>
          <rPr>
            <sz val="9"/>
            <color indexed="81"/>
            <rFont val="Tahoma"/>
            <family val="2"/>
          </rPr>
          <t xml:space="preserve">
assumed</t>
        </r>
      </text>
    </comment>
    <comment ref="AU67" authorId="0" shapeId="0" xr:uid="{302E0CC4-1BAF-4EDA-BCEC-A4A5C9F76AA2}">
      <text>
        <r>
          <rPr>
            <b/>
            <sz val="9"/>
            <color indexed="81"/>
            <rFont val="Tahoma"/>
            <family val="2"/>
          </rPr>
          <t>Gavin Mudd:</t>
        </r>
        <r>
          <rPr>
            <sz val="9"/>
            <color indexed="81"/>
            <rFont val="Tahoma"/>
            <family val="2"/>
          </rPr>
          <t xml:space="preserve">
assumed</t>
        </r>
      </text>
    </comment>
    <comment ref="BA67" authorId="0" shapeId="0" xr:uid="{E7A2F2C5-607F-4356-ABFA-5D362FBE74A2}">
      <text>
        <r>
          <rPr>
            <b/>
            <sz val="9"/>
            <color indexed="81"/>
            <rFont val="Tahoma"/>
            <family val="2"/>
          </rPr>
          <t>Gavin Mudd:</t>
        </r>
        <r>
          <rPr>
            <sz val="9"/>
            <color indexed="81"/>
            <rFont val="Tahoma"/>
            <family val="2"/>
          </rPr>
          <t xml:space="preserve">
assumed</t>
        </r>
      </text>
    </comment>
    <comment ref="BB67" authorId="0" shapeId="0" xr:uid="{150B52AD-3D2A-428C-8D5D-8629A567CD71}">
      <text>
        <r>
          <rPr>
            <b/>
            <sz val="9"/>
            <color indexed="81"/>
            <rFont val="Tahoma"/>
            <family val="2"/>
          </rPr>
          <t>Gavin Mudd:</t>
        </r>
        <r>
          <rPr>
            <sz val="9"/>
            <color indexed="81"/>
            <rFont val="Tahoma"/>
            <family val="2"/>
          </rPr>
          <t xml:space="preserve">
assumed</t>
        </r>
      </text>
    </comment>
    <comment ref="CD67" authorId="0" shapeId="0" xr:uid="{C2B325F2-D7A4-4108-8B9F-903A23D5F104}">
      <text>
        <r>
          <rPr>
            <b/>
            <sz val="9"/>
            <color indexed="81"/>
            <rFont val="Tahoma"/>
            <family val="2"/>
          </rPr>
          <t>Gavin Mudd:</t>
        </r>
        <r>
          <rPr>
            <sz val="9"/>
            <color indexed="81"/>
            <rFont val="Tahoma"/>
            <family val="2"/>
          </rPr>
          <t xml:space="preserve">
assumed</t>
        </r>
      </text>
    </comment>
    <comment ref="CE67" authorId="0" shapeId="0" xr:uid="{184A5A8D-670A-4EF5-9307-444AE2EF7D6D}">
      <text>
        <r>
          <rPr>
            <b/>
            <sz val="9"/>
            <color indexed="81"/>
            <rFont val="Tahoma"/>
            <family val="2"/>
          </rPr>
          <t>Gavin Mudd:</t>
        </r>
        <r>
          <rPr>
            <sz val="9"/>
            <color indexed="81"/>
            <rFont val="Tahoma"/>
            <family val="2"/>
          </rPr>
          <t xml:space="preserve">
assumed</t>
        </r>
      </text>
    </comment>
    <comment ref="CJ67" authorId="0" shapeId="0" xr:uid="{E3515538-402E-4989-875C-35A5FF05234A}">
      <text>
        <r>
          <rPr>
            <b/>
            <sz val="9"/>
            <color indexed="81"/>
            <rFont val="Tahoma"/>
            <family val="2"/>
          </rPr>
          <t>Gavin Mudd:</t>
        </r>
        <r>
          <rPr>
            <sz val="9"/>
            <color indexed="81"/>
            <rFont val="Tahoma"/>
            <family val="2"/>
          </rPr>
          <t xml:space="preserve">
assumed</t>
        </r>
      </text>
    </comment>
    <comment ref="CK67" authorId="0" shapeId="0" xr:uid="{20859D1F-5D06-4184-8DEB-DD99F32DB490}">
      <text>
        <r>
          <rPr>
            <b/>
            <sz val="9"/>
            <color indexed="81"/>
            <rFont val="Tahoma"/>
            <family val="2"/>
          </rPr>
          <t>Gavin Mudd:</t>
        </r>
        <r>
          <rPr>
            <sz val="9"/>
            <color indexed="81"/>
            <rFont val="Tahoma"/>
            <family val="2"/>
          </rPr>
          <t xml:space="preserve">
assumed</t>
        </r>
      </text>
    </comment>
    <comment ref="CO67" authorId="0" shapeId="0" xr:uid="{20DDA89F-F238-4619-AD7D-526FA0B793F9}">
      <text>
        <r>
          <rPr>
            <b/>
            <sz val="9"/>
            <color indexed="81"/>
            <rFont val="Tahoma"/>
            <family val="2"/>
          </rPr>
          <t>Gavin Mudd:</t>
        </r>
        <r>
          <rPr>
            <sz val="9"/>
            <color indexed="81"/>
            <rFont val="Tahoma"/>
            <family val="2"/>
          </rPr>
          <t xml:space="preserve">
assumed</t>
        </r>
      </text>
    </comment>
    <comment ref="CP67" authorId="0" shapeId="0" xr:uid="{2FBF84E9-3EA7-4FA0-8BED-3700EB28DA2A}">
      <text>
        <r>
          <rPr>
            <b/>
            <sz val="9"/>
            <color indexed="81"/>
            <rFont val="Tahoma"/>
            <family val="2"/>
          </rPr>
          <t>Gavin Mudd:</t>
        </r>
        <r>
          <rPr>
            <sz val="9"/>
            <color indexed="81"/>
            <rFont val="Tahoma"/>
            <family val="2"/>
          </rPr>
          <t xml:space="preserve">
assumed</t>
        </r>
      </text>
    </comment>
    <comment ref="DL67" authorId="0" shapeId="0" xr:uid="{B3AD8A0A-B18A-4E9E-A48C-3F6E27276F46}">
      <text>
        <r>
          <rPr>
            <b/>
            <sz val="9"/>
            <color indexed="81"/>
            <rFont val="Tahoma"/>
            <family val="2"/>
          </rPr>
          <t>Gavin Mudd:</t>
        </r>
        <r>
          <rPr>
            <sz val="9"/>
            <color indexed="81"/>
            <rFont val="Tahoma"/>
            <family val="2"/>
          </rPr>
          <t xml:space="preserve">
assumed</t>
        </r>
      </text>
    </comment>
    <comment ref="DM67" authorId="0" shapeId="0" xr:uid="{4A1E8B6A-AB71-47E7-8D06-641CA5D5FE66}">
      <text>
        <r>
          <rPr>
            <b/>
            <sz val="9"/>
            <color indexed="81"/>
            <rFont val="Tahoma"/>
            <family val="2"/>
          </rPr>
          <t>Gavin Mudd:</t>
        </r>
        <r>
          <rPr>
            <sz val="9"/>
            <color indexed="81"/>
            <rFont val="Tahoma"/>
            <family val="2"/>
          </rPr>
          <t xml:space="preserve">
assumed</t>
        </r>
      </text>
    </comment>
    <comment ref="E68" authorId="0" shapeId="0" xr:uid="{CA42837B-3243-430F-A1B9-A3AC4969D311}">
      <text>
        <r>
          <rPr>
            <b/>
            <sz val="9"/>
            <color indexed="81"/>
            <rFont val="Tahoma"/>
            <family val="2"/>
          </rPr>
          <t>Gavin Mudd:</t>
        </r>
        <r>
          <rPr>
            <sz val="9"/>
            <color indexed="81"/>
            <rFont val="Tahoma"/>
            <family val="2"/>
          </rPr>
          <t xml:space="preserve">
assumed</t>
        </r>
      </text>
    </comment>
    <comment ref="G68" authorId="0" shapeId="0" xr:uid="{E0FD6981-3140-4D2D-AA26-7C957CAD7900}">
      <text>
        <r>
          <rPr>
            <b/>
            <sz val="9"/>
            <color indexed="81"/>
            <rFont val="Tahoma"/>
            <family val="2"/>
          </rPr>
          <t>Gavin Mudd:</t>
        </r>
        <r>
          <rPr>
            <sz val="9"/>
            <color indexed="81"/>
            <rFont val="Tahoma"/>
            <family val="2"/>
          </rPr>
          <t xml:space="preserve">
assumed</t>
        </r>
      </text>
    </comment>
    <comment ref="Q68" authorId="0" shapeId="0" xr:uid="{DE2BFD68-C83D-4065-B53B-65484BA14511}">
      <text>
        <r>
          <rPr>
            <b/>
            <sz val="9"/>
            <color indexed="81"/>
            <rFont val="Tahoma"/>
            <family val="2"/>
          </rPr>
          <t>Gavin Mudd:</t>
        </r>
        <r>
          <rPr>
            <sz val="9"/>
            <color indexed="81"/>
            <rFont val="Tahoma"/>
            <family val="2"/>
          </rPr>
          <t xml:space="preserve">
assumed</t>
        </r>
      </text>
    </comment>
    <comment ref="W68" authorId="0" shapeId="0" xr:uid="{56194FE8-770E-442E-B9A3-D073F510EE5F}">
      <text>
        <r>
          <rPr>
            <b/>
            <sz val="9"/>
            <color indexed="81"/>
            <rFont val="Tahoma"/>
            <family val="2"/>
          </rPr>
          <t>Gavin Mudd:</t>
        </r>
        <r>
          <rPr>
            <sz val="9"/>
            <color indexed="81"/>
            <rFont val="Tahoma"/>
            <family val="2"/>
          </rPr>
          <t xml:space="preserve">
assumed</t>
        </r>
      </text>
    </comment>
    <comment ref="Y68" authorId="0" shapeId="0" xr:uid="{649961DF-8723-43E7-BA38-6B01AEDA8828}">
      <text>
        <r>
          <rPr>
            <b/>
            <sz val="9"/>
            <color indexed="81"/>
            <rFont val="Tahoma"/>
            <family val="2"/>
          </rPr>
          <t>Gavin Mudd:</t>
        </r>
        <r>
          <rPr>
            <sz val="9"/>
            <color indexed="81"/>
            <rFont val="Tahoma"/>
            <family val="2"/>
          </rPr>
          <t xml:space="preserve">
assumed</t>
        </r>
      </text>
    </comment>
    <comment ref="AA68" authorId="0" shapeId="0" xr:uid="{61CCD07A-6953-4CA5-94DD-0932C23FB78E}">
      <text>
        <r>
          <rPr>
            <b/>
            <sz val="9"/>
            <color indexed="81"/>
            <rFont val="Tahoma"/>
            <family val="2"/>
          </rPr>
          <t>Gavin Mudd:</t>
        </r>
        <r>
          <rPr>
            <sz val="9"/>
            <color indexed="81"/>
            <rFont val="Tahoma"/>
            <family val="2"/>
          </rPr>
          <t xml:space="preserve">
assumed</t>
        </r>
      </text>
    </comment>
    <comment ref="AG68" authorId="0" shapeId="0" xr:uid="{24BC9531-05E0-4A16-97D5-AD666CB1C8E6}">
      <text>
        <r>
          <rPr>
            <b/>
            <sz val="9"/>
            <color indexed="81"/>
            <rFont val="Tahoma"/>
            <family val="2"/>
          </rPr>
          <t>Gavin Mudd:</t>
        </r>
        <r>
          <rPr>
            <sz val="9"/>
            <color indexed="81"/>
            <rFont val="Tahoma"/>
            <family val="2"/>
          </rPr>
          <t xml:space="preserve">
assumed</t>
        </r>
      </text>
    </comment>
    <comment ref="AK68" authorId="0" shapeId="0" xr:uid="{763FD8C8-54D7-4FCC-9C8E-5C9504D3E3DF}">
      <text>
        <r>
          <rPr>
            <b/>
            <sz val="9"/>
            <color indexed="81"/>
            <rFont val="Tahoma"/>
            <family val="2"/>
          </rPr>
          <t>Gavin Mudd:</t>
        </r>
        <r>
          <rPr>
            <sz val="9"/>
            <color indexed="81"/>
            <rFont val="Tahoma"/>
            <family val="2"/>
          </rPr>
          <t xml:space="preserve">
assumed</t>
        </r>
      </text>
    </comment>
    <comment ref="AM68" authorId="0" shapeId="0" xr:uid="{EDC5901E-A4E9-4AB8-9FD2-0DF6FF5C3684}">
      <text>
        <r>
          <rPr>
            <b/>
            <sz val="9"/>
            <color indexed="81"/>
            <rFont val="Tahoma"/>
            <family val="2"/>
          </rPr>
          <t>Gavin Mudd:</t>
        </r>
        <r>
          <rPr>
            <sz val="9"/>
            <color indexed="81"/>
            <rFont val="Tahoma"/>
            <family val="2"/>
          </rPr>
          <t xml:space="preserve">
assumed</t>
        </r>
      </text>
    </comment>
    <comment ref="AO68" authorId="0" shapeId="0" xr:uid="{CB64AA04-28C7-498A-B565-7F92105241BF}">
      <text>
        <r>
          <rPr>
            <b/>
            <sz val="9"/>
            <color indexed="81"/>
            <rFont val="Tahoma"/>
            <family val="2"/>
          </rPr>
          <t>Gavin Mudd:</t>
        </r>
        <r>
          <rPr>
            <sz val="9"/>
            <color indexed="81"/>
            <rFont val="Tahoma"/>
            <family val="2"/>
          </rPr>
          <t xml:space="preserve">
assumed</t>
        </r>
      </text>
    </comment>
    <comment ref="AQ68" authorId="0" shapeId="0" xr:uid="{DE385825-E708-4BA7-8D83-5AC885902D28}">
      <text>
        <r>
          <rPr>
            <b/>
            <sz val="9"/>
            <color indexed="81"/>
            <rFont val="Tahoma"/>
            <family val="2"/>
          </rPr>
          <t>Gavin Mudd:</t>
        </r>
        <r>
          <rPr>
            <sz val="9"/>
            <color indexed="81"/>
            <rFont val="Tahoma"/>
            <family val="2"/>
          </rPr>
          <t xml:space="preserve">
assumed</t>
        </r>
      </text>
    </comment>
    <comment ref="AU68" authorId="0" shapeId="0" xr:uid="{5D774A7D-DD38-461A-9AF4-C6F885FF573F}">
      <text>
        <r>
          <rPr>
            <b/>
            <sz val="9"/>
            <color indexed="81"/>
            <rFont val="Tahoma"/>
            <family val="2"/>
          </rPr>
          <t>Gavin Mudd:</t>
        </r>
        <r>
          <rPr>
            <sz val="9"/>
            <color indexed="81"/>
            <rFont val="Tahoma"/>
            <family val="2"/>
          </rPr>
          <t xml:space="preserve">
assumed</t>
        </r>
      </text>
    </comment>
    <comment ref="BA68" authorId="0" shapeId="0" xr:uid="{A65C8663-4351-44EF-B866-3196DCC35719}">
      <text>
        <r>
          <rPr>
            <b/>
            <sz val="9"/>
            <color indexed="81"/>
            <rFont val="Tahoma"/>
            <family val="2"/>
          </rPr>
          <t>Gavin Mudd:</t>
        </r>
        <r>
          <rPr>
            <sz val="9"/>
            <color indexed="81"/>
            <rFont val="Tahoma"/>
            <family val="2"/>
          </rPr>
          <t xml:space="preserve">
assumed</t>
        </r>
      </text>
    </comment>
    <comment ref="BB68" authorId="0" shapeId="0" xr:uid="{EEE13DE6-5747-472F-AC1F-DF58AAAC5883}">
      <text>
        <r>
          <rPr>
            <b/>
            <sz val="9"/>
            <color indexed="81"/>
            <rFont val="Tahoma"/>
            <family val="2"/>
          </rPr>
          <t>Gavin Mudd:</t>
        </r>
        <r>
          <rPr>
            <sz val="9"/>
            <color indexed="81"/>
            <rFont val="Tahoma"/>
            <family val="2"/>
          </rPr>
          <t xml:space="preserve">
assumed</t>
        </r>
      </text>
    </comment>
    <comment ref="CD68" authorId="0" shapeId="0" xr:uid="{A878E2F4-9B1E-4719-9985-4D9148956204}">
      <text>
        <r>
          <rPr>
            <b/>
            <sz val="9"/>
            <color indexed="81"/>
            <rFont val="Tahoma"/>
            <family val="2"/>
          </rPr>
          <t>Gavin Mudd:</t>
        </r>
        <r>
          <rPr>
            <sz val="9"/>
            <color indexed="81"/>
            <rFont val="Tahoma"/>
            <family val="2"/>
          </rPr>
          <t xml:space="preserve">
assumed</t>
        </r>
      </text>
    </comment>
    <comment ref="CE68" authorId="0" shapeId="0" xr:uid="{62552389-CDD1-4C4B-B26F-7E05ACD00AE0}">
      <text>
        <r>
          <rPr>
            <b/>
            <sz val="9"/>
            <color indexed="81"/>
            <rFont val="Tahoma"/>
            <family val="2"/>
          </rPr>
          <t>Gavin Mudd:</t>
        </r>
        <r>
          <rPr>
            <sz val="9"/>
            <color indexed="81"/>
            <rFont val="Tahoma"/>
            <family val="2"/>
          </rPr>
          <t xml:space="preserve">
assumed</t>
        </r>
      </text>
    </comment>
    <comment ref="CJ68" authorId="0" shapeId="0" xr:uid="{A03E8777-0E5C-4EAE-92B9-4B50D5B1A295}">
      <text>
        <r>
          <rPr>
            <b/>
            <sz val="9"/>
            <color indexed="81"/>
            <rFont val="Tahoma"/>
            <family val="2"/>
          </rPr>
          <t>Gavin Mudd:</t>
        </r>
        <r>
          <rPr>
            <sz val="9"/>
            <color indexed="81"/>
            <rFont val="Tahoma"/>
            <family val="2"/>
          </rPr>
          <t xml:space="preserve">
assumed</t>
        </r>
      </text>
    </comment>
    <comment ref="CK68" authorId="0" shapeId="0" xr:uid="{D1C91296-0324-4740-BE99-F392B728A437}">
      <text>
        <r>
          <rPr>
            <b/>
            <sz val="9"/>
            <color indexed="81"/>
            <rFont val="Tahoma"/>
            <family val="2"/>
          </rPr>
          <t>Gavin Mudd:</t>
        </r>
        <r>
          <rPr>
            <sz val="9"/>
            <color indexed="81"/>
            <rFont val="Tahoma"/>
            <family val="2"/>
          </rPr>
          <t xml:space="preserve">
assumed</t>
        </r>
      </text>
    </comment>
    <comment ref="CO68" authorId="0" shapeId="0" xr:uid="{CFA8D11F-2A6F-4538-90E7-9E721CD6670A}">
      <text>
        <r>
          <rPr>
            <b/>
            <sz val="9"/>
            <color indexed="81"/>
            <rFont val="Tahoma"/>
            <family val="2"/>
          </rPr>
          <t>Gavin Mudd:</t>
        </r>
        <r>
          <rPr>
            <sz val="9"/>
            <color indexed="81"/>
            <rFont val="Tahoma"/>
            <family val="2"/>
          </rPr>
          <t xml:space="preserve">
assumed</t>
        </r>
      </text>
    </comment>
    <comment ref="CP68" authorId="0" shapeId="0" xr:uid="{EDC77BA7-82CA-4608-AC58-12EDBEE3B821}">
      <text>
        <r>
          <rPr>
            <b/>
            <sz val="9"/>
            <color indexed="81"/>
            <rFont val="Tahoma"/>
            <family val="2"/>
          </rPr>
          <t>Gavin Mudd:</t>
        </r>
        <r>
          <rPr>
            <sz val="9"/>
            <color indexed="81"/>
            <rFont val="Tahoma"/>
            <family val="2"/>
          </rPr>
          <t xml:space="preserve">
assumed</t>
        </r>
      </text>
    </comment>
    <comment ref="DL68" authorId="0" shapeId="0" xr:uid="{77E9D345-889B-4203-8C06-616E5F3D5944}">
      <text>
        <r>
          <rPr>
            <b/>
            <sz val="9"/>
            <color indexed="81"/>
            <rFont val="Tahoma"/>
            <family val="2"/>
          </rPr>
          <t>Gavin Mudd:</t>
        </r>
        <r>
          <rPr>
            <sz val="9"/>
            <color indexed="81"/>
            <rFont val="Tahoma"/>
            <family val="2"/>
          </rPr>
          <t xml:space="preserve">
assumed</t>
        </r>
      </text>
    </comment>
    <comment ref="DM68" authorId="0" shapeId="0" xr:uid="{30E1BA56-5656-4A06-A06F-E18065CEB991}">
      <text>
        <r>
          <rPr>
            <b/>
            <sz val="9"/>
            <color indexed="81"/>
            <rFont val="Tahoma"/>
            <family val="2"/>
          </rPr>
          <t>Gavin Mudd:</t>
        </r>
        <r>
          <rPr>
            <sz val="9"/>
            <color indexed="81"/>
            <rFont val="Tahoma"/>
            <family val="2"/>
          </rPr>
          <t xml:space="preserve">
assumed</t>
        </r>
      </text>
    </comment>
    <comment ref="B69" authorId="0" shapeId="0" xr:uid="{BC7CF7C8-543E-4FDF-ABEC-6A42501CFF83}">
      <text>
        <r>
          <rPr>
            <b/>
            <sz val="9"/>
            <color indexed="81"/>
            <rFont val="Tahoma"/>
            <family val="2"/>
          </rPr>
          <t>Gavin Mudd:</t>
        </r>
        <r>
          <rPr>
            <sz val="9"/>
            <color indexed="81"/>
            <rFont val="Tahoma"/>
            <family val="2"/>
          </rPr>
          <t xml:space="preserve">
West Wyalong</t>
        </r>
      </text>
    </comment>
    <comment ref="C69" authorId="0" shapeId="0" xr:uid="{C6AF7BC8-A492-4406-89CC-6F298E25C863}">
      <text>
        <r>
          <rPr>
            <b/>
            <sz val="9"/>
            <color indexed="81"/>
            <rFont val="Tahoma"/>
            <family val="2"/>
          </rPr>
          <t>Gavin Mudd:</t>
        </r>
        <r>
          <rPr>
            <sz val="9"/>
            <color indexed="81"/>
            <rFont val="Tahoma"/>
            <family val="2"/>
          </rPr>
          <t xml:space="preserve">
assumed</t>
        </r>
      </text>
    </comment>
    <comment ref="E69" authorId="0" shapeId="0" xr:uid="{65562AB2-8EA8-4A2A-AA35-5AD74D8ECAD3}">
      <text>
        <r>
          <rPr>
            <b/>
            <sz val="9"/>
            <color indexed="81"/>
            <rFont val="Tahoma"/>
            <family val="2"/>
          </rPr>
          <t>Gavin Mudd:</t>
        </r>
        <r>
          <rPr>
            <sz val="9"/>
            <color indexed="81"/>
            <rFont val="Tahoma"/>
            <family val="2"/>
          </rPr>
          <t xml:space="preserve">
assumed</t>
        </r>
      </text>
    </comment>
    <comment ref="I69" authorId="0" shapeId="0" xr:uid="{2552CE73-A76C-4617-A44D-583649DAAE24}">
      <text>
        <r>
          <rPr>
            <b/>
            <sz val="9"/>
            <color indexed="81"/>
            <rFont val="Tahoma"/>
            <family val="2"/>
          </rPr>
          <t>Gavin Mudd:</t>
        </r>
        <r>
          <rPr>
            <sz val="9"/>
            <color indexed="81"/>
            <rFont val="Tahoma"/>
            <family val="2"/>
          </rPr>
          <t xml:space="preserve">
assumed</t>
        </r>
      </text>
    </comment>
    <comment ref="Q69" authorId="0" shapeId="0" xr:uid="{A2B4B57A-18FD-481F-82B4-E8DD611F25C5}">
      <text>
        <r>
          <rPr>
            <b/>
            <sz val="9"/>
            <color indexed="81"/>
            <rFont val="Tahoma"/>
            <family val="2"/>
          </rPr>
          <t>Gavin Mudd:</t>
        </r>
        <r>
          <rPr>
            <sz val="9"/>
            <color indexed="81"/>
            <rFont val="Tahoma"/>
            <family val="2"/>
          </rPr>
          <t xml:space="preserve">
assumed</t>
        </r>
      </text>
    </comment>
    <comment ref="W69" authorId="0" shapeId="0" xr:uid="{AD4E6584-2A15-4DD0-A700-5A35025D571D}">
      <text>
        <r>
          <rPr>
            <b/>
            <sz val="9"/>
            <color indexed="81"/>
            <rFont val="Tahoma"/>
            <family val="2"/>
          </rPr>
          <t>Gavin Mudd:</t>
        </r>
        <r>
          <rPr>
            <sz val="9"/>
            <color indexed="81"/>
            <rFont val="Tahoma"/>
            <family val="2"/>
          </rPr>
          <t xml:space="preserve">
assumed</t>
        </r>
      </text>
    </comment>
    <comment ref="Y69" authorId="0" shapeId="0" xr:uid="{86972648-B8D6-4C89-9BF8-B607089F156E}">
      <text>
        <r>
          <rPr>
            <b/>
            <sz val="9"/>
            <color indexed="81"/>
            <rFont val="Tahoma"/>
            <family val="2"/>
          </rPr>
          <t>Gavin Mudd:</t>
        </r>
        <r>
          <rPr>
            <sz val="9"/>
            <color indexed="81"/>
            <rFont val="Tahoma"/>
            <family val="2"/>
          </rPr>
          <t xml:space="preserve">
assumed</t>
        </r>
      </text>
    </comment>
    <comment ref="Z69" authorId="0" shapeId="0" xr:uid="{43F5CA46-F9CB-4243-A3A8-41E0DA02DB06}">
      <text>
        <r>
          <rPr>
            <b/>
            <sz val="9"/>
            <color indexed="81"/>
            <rFont val="Tahoma"/>
            <family val="2"/>
          </rPr>
          <t>Gavin Mudd:</t>
        </r>
        <r>
          <rPr>
            <sz val="9"/>
            <color indexed="81"/>
            <rFont val="Tahoma"/>
            <family val="2"/>
          </rPr>
          <t xml:space="preserve">
assumed</t>
        </r>
      </text>
    </comment>
    <comment ref="AA69" authorId="0" shapeId="0" xr:uid="{2C2CB629-EC3B-4100-85B9-7AC4ABFCCC2C}">
      <text>
        <r>
          <rPr>
            <b/>
            <sz val="9"/>
            <color indexed="81"/>
            <rFont val="Tahoma"/>
            <family val="2"/>
          </rPr>
          <t>Gavin Mudd:</t>
        </r>
        <r>
          <rPr>
            <sz val="9"/>
            <color indexed="81"/>
            <rFont val="Tahoma"/>
            <family val="2"/>
          </rPr>
          <t xml:space="preserve">
assumed</t>
        </r>
      </text>
    </comment>
    <comment ref="AG69" authorId="0" shapeId="0" xr:uid="{0DC79250-DF9F-49D8-B306-7671BCE81E8F}">
      <text>
        <r>
          <rPr>
            <b/>
            <sz val="9"/>
            <color indexed="81"/>
            <rFont val="Tahoma"/>
            <family val="2"/>
          </rPr>
          <t>Gavin Mudd:</t>
        </r>
        <r>
          <rPr>
            <sz val="9"/>
            <color indexed="81"/>
            <rFont val="Tahoma"/>
            <family val="2"/>
          </rPr>
          <t xml:space="preserve">
assumed</t>
        </r>
      </text>
    </comment>
    <comment ref="AK69" authorId="0" shapeId="0" xr:uid="{CF0A139D-5667-47F9-B446-28316A512E6F}">
      <text>
        <r>
          <rPr>
            <b/>
            <sz val="9"/>
            <color indexed="81"/>
            <rFont val="Tahoma"/>
            <family val="2"/>
          </rPr>
          <t>Gavin Mudd:</t>
        </r>
        <r>
          <rPr>
            <sz val="9"/>
            <color indexed="81"/>
            <rFont val="Tahoma"/>
            <family val="2"/>
          </rPr>
          <t xml:space="preserve">
assumed</t>
        </r>
      </text>
    </comment>
    <comment ref="AL69" authorId="0" shapeId="0" xr:uid="{D0D8B66D-E41F-4BD6-9FE9-F3F21292AF6A}">
      <text>
        <r>
          <rPr>
            <b/>
            <sz val="9"/>
            <color indexed="81"/>
            <rFont val="Tahoma"/>
            <family val="2"/>
          </rPr>
          <t>Gavin Mudd:</t>
        </r>
        <r>
          <rPr>
            <sz val="9"/>
            <color indexed="81"/>
            <rFont val="Tahoma"/>
            <family val="2"/>
          </rPr>
          <t xml:space="preserve">
assumed</t>
        </r>
      </text>
    </comment>
    <comment ref="AM69" authorId="0" shapeId="0" xr:uid="{EBD49B5F-4496-4A8A-8A15-5CA8265AFE48}">
      <text>
        <r>
          <rPr>
            <b/>
            <sz val="9"/>
            <color indexed="81"/>
            <rFont val="Tahoma"/>
            <family val="2"/>
          </rPr>
          <t>Gavin Mudd:</t>
        </r>
        <r>
          <rPr>
            <sz val="9"/>
            <color indexed="81"/>
            <rFont val="Tahoma"/>
            <family val="2"/>
          </rPr>
          <t xml:space="preserve">
assumed</t>
        </r>
      </text>
    </comment>
    <comment ref="AO69" authorId="0" shapeId="0" xr:uid="{8EEE3AFB-A3D7-4F72-A27E-A2796FD2BC1D}">
      <text>
        <r>
          <rPr>
            <b/>
            <sz val="9"/>
            <color indexed="81"/>
            <rFont val="Tahoma"/>
            <family val="2"/>
          </rPr>
          <t>Gavin Mudd:</t>
        </r>
        <r>
          <rPr>
            <sz val="9"/>
            <color indexed="81"/>
            <rFont val="Tahoma"/>
            <family val="2"/>
          </rPr>
          <t xml:space="preserve">
assumed</t>
        </r>
      </text>
    </comment>
    <comment ref="AQ69" authorId="0" shapeId="0" xr:uid="{29324F65-1D7F-4325-88AA-2F7F7B39CCF6}">
      <text>
        <r>
          <rPr>
            <b/>
            <sz val="9"/>
            <color indexed="81"/>
            <rFont val="Tahoma"/>
            <family val="2"/>
          </rPr>
          <t>Gavin Mudd:</t>
        </r>
        <r>
          <rPr>
            <sz val="9"/>
            <color indexed="81"/>
            <rFont val="Tahoma"/>
            <family val="2"/>
          </rPr>
          <t xml:space="preserve">
assumed</t>
        </r>
      </text>
    </comment>
    <comment ref="BA69" authorId="0" shapeId="0" xr:uid="{74267317-D8BE-4874-B538-E57A4170F8D4}">
      <text>
        <r>
          <rPr>
            <b/>
            <sz val="9"/>
            <color indexed="81"/>
            <rFont val="Tahoma"/>
            <family val="2"/>
          </rPr>
          <t>Gavin Mudd:</t>
        </r>
        <r>
          <rPr>
            <sz val="9"/>
            <color indexed="81"/>
            <rFont val="Tahoma"/>
            <family val="2"/>
          </rPr>
          <t xml:space="preserve">
assumed</t>
        </r>
      </text>
    </comment>
    <comment ref="BB69" authorId="0" shapeId="0" xr:uid="{829FCA0F-AE61-4096-AC01-212DA7D0FE13}">
      <text>
        <r>
          <rPr>
            <b/>
            <sz val="9"/>
            <color indexed="81"/>
            <rFont val="Tahoma"/>
            <family val="2"/>
          </rPr>
          <t>Gavin Mudd:</t>
        </r>
        <r>
          <rPr>
            <sz val="9"/>
            <color indexed="81"/>
            <rFont val="Tahoma"/>
            <family val="2"/>
          </rPr>
          <t xml:space="preserve">
assumed</t>
        </r>
      </text>
    </comment>
    <comment ref="CD69" authorId="0" shapeId="0" xr:uid="{7E255557-2E75-4EF4-8C72-52F730CFEB98}">
      <text>
        <r>
          <rPr>
            <b/>
            <sz val="9"/>
            <color indexed="81"/>
            <rFont val="Tahoma"/>
            <family val="2"/>
          </rPr>
          <t>Gavin Mudd:</t>
        </r>
        <r>
          <rPr>
            <sz val="9"/>
            <color indexed="81"/>
            <rFont val="Tahoma"/>
            <family val="2"/>
          </rPr>
          <t xml:space="preserve">
assumed</t>
        </r>
      </text>
    </comment>
    <comment ref="CE69" authorId="0" shapeId="0" xr:uid="{05B3F7C8-24CD-4615-B23D-E20FC8BFB035}">
      <text>
        <r>
          <rPr>
            <b/>
            <sz val="9"/>
            <color indexed="81"/>
            <rFont val="Tahoma"/>
            <family val="2"/>
          </rPr>
          <t>Gavin Mudd:</t>
        </r>
        <r>
          <rPr>
            <sz val="9"/>
            <color indexed="81"/>
            <rFont val="Tahoma"/>
            <family val="2"/>
          </rPr>
          <t xml:space="preserve">
assumed</t>
        </r>
      </text>
    </comment>
    <comment ref="CJ69" authorId="0" shapeId="0" xr:uid="{6978E8FC-7D73-492A-817D-27517A358783}">
      <text>
        <r>
          <rPr>
            <b/>
            <sz val="9"/>
            <color indexed="81"/>
            <rFont val="Tahoma"/>
            <family val="2"/>
          </rPr>
          <t>Gavin Mudd:</t>
        </r>
        <r>
          <rPr>
            <sz val="9"/>
            <color indexed="81"/>
            <rFont val="Tahoma"/>
            <family val="2"/>
          </rPr>
          <t xml:space="preserve">
assumed</t>
        </r>
      </text>
    </comment>
    <comment ref="CK69" authorId="0" shapeId="0" xr:uid="{CE2302E1-8551-4EAA-864E-22398E92686F}">
      <text>
        <r>
          <rPr>
            <b/>
            <sz val="9"/>
            <color indexed="81"/>
            <rFont val="Tahoma"/>
            <family val="2"/>
          </rPr>
          <t>Gavin Mudd:</t>
        </r>
        <r>
          <rPr>
            <sz val="9"/>
            <color indexed="81"/>
            <rFont val="Tahoma"/>
            <family val="2"/>
          </rPr>
          <t xml:space="preserve">
assumed</t>
        </r>
      </text>
    </comment>
    <comment ref="CO69" authorId="0" shapeId="0" xr:uid="{FEE5D538-BB03-42F9-A37B-F9AD08350A3B}">
      <text>
        <r>
          <rPr>
            <b/>
            <sz val="9"/>
            <color indexed="81"/>
            <rFont val="Tahoma"/>
            <family val="2"/>
          </rPr>
          <t>Gavin Mudd:</t>
        </r>
        <r>
          <rPr>
            <sz val="9"/>
            <color indexed="81"/>
            <rFont val="Tahoma"/>
            <family val="2"/>
          </rPr>
          <t xml:space="preserve">
assumed</t>
        </r>
      </text>
    </comment>
    <comment ref="CP69" authorId="0" shapeId="0" xr:uid="{FD875F1C-1DE1-4335-B725-28B105DABEC3}">
      <text>
        <r>
          <rPr>
            <b/>
            <sz val="9"/>
            <color indexed="81"/>
            <rFont val="Tahoma"/>
            <family val="2"/>
          </rPr>
          <t>Gavin Mudd:</t>
        </r>
        <r>
          <rPr>
            <sz val="9"/>
            <color indexed="81"/>
            <rFont val="Tahoma"/>
            <family val="2"/>
          </rPr>
          <t xml:space="preserve">
assumed</t>
        </r>
      </text>
    </comment>
    <comment ref="DL69" authorId="0" shapeId="0" xr:uid="{25564FCE-F0B1-4FC2-B905-B0EBD8AC8376}">
      <text>
        <r>
          <rPr>
            <b/>
            <sz val="9"/>
            <color indexed="81"/>
            <rFont val="Tahoma"/>
            <family val="2"/>
          </rPr>
          <t>Gavin Mudd:</t>
        </r>
        <r>
          <rPr>
            <sz val="9"/>
            <color indexed="81"/>
            <rFont val="Tahoma"/>
            <family val="2"/>
          </rPr>
          <t xml:space="preserve">
assumed</t>
        </r>
      </text>
    </comment>
    <comment ref="DM69" authorId="0" shapeId="0" xr:uid="{419801C2-2993-4B75-9D71-1D0C11F14E2A}">
      <text>
        <r>
          <rPr>
            <b/>
            <sz val="9"/>
            <color indexed="81"/>
            <rFont val="Tahoma"/>
            <family val="2"/>
          </rPr>
          <t>Gavin Mudd:</t>
        </r>
        <r>
          <rPr>
            <sz val="9"/>
            <color indexed="81"/>
            <rFont val="Tahoma"/>
            <family val="2"/>
          </rPr>
          <t xml:space="preserve">
assumed</t>
        </r>
      </text>
    </comment>
    <comment ref="E70" authorId="0" shapeId="0" xr:uid="{F4CCD8DF-D11E-432A-A5C3-38E6F640845C}">
      <text>
        <r>
          <rPr>
            <b/>
            <sz val="9"/>
            <color indexed="81"/>
            <rFont val="Tahoma"/>
            <family val="2"/>
          </rPr>
          <t>Gavin Mudd:</t>
        </r>
        <r>
          <rPr>
            <sz val="9"/>
            <color indexed="81"/>
            <rFont val="Tahoma"/>
            <family val="2"/>
          </rPr>
          <t xml:space="preserve">
assumed</t>
        </r>
      </text>
    </comment>
    <comment ref="J70" authorId="0" shapeId="0" xr:uid="{B4EE8AA9-A844-4E22-981E-CD5EF6FE2FC1}">
      <text>
        <r>
          <rPr>
            <b/>
            <sz val="9"/>
            <color indexed="81"/>
            <rFont val="Tahoma"/>
            <family val="2"/>
          </rPr>
          <t>Gavin Mudd:</t>
        </r>
        <r>
          <rPr>
            <sz val="9"/>
            <color indexed="81"/>
            <rFont val="Tahoma"/>
            <family val="2"/>
          </rPr>
          <t xml:space="preserve">
Tumut</t>
        </r>
      </text>
    </comment>
    <comment ref="K70" authorId="0" shapeId="0" xr:uid="{ABAA37A6-EF45-4F9E-8BDF-5B7F57F99EA5}">
      <text>
        <r>
          <rPr>
            <b/>
            <sz val="9"/>
            <color indexed="81"/>
            <rFont val="Tahoma"/>
            <family val="2"/>
          </rPr>
          <t>Gavin Mudd:</t>
        </r>
        <r>
          <rPr>
            <sz val="9"/>
            <color indexed="81"/>
            <rFont val="Tahoma"/>
            <family val="2"/>
          </rPr>
          <t xml:space="preserve">
assumed</t>
        </r>
      </text>
    </comment>
    <comment ref="W70" authorId="0" shapeId="0" xr:uid="{C30295B1-2BE0-41BE-A22D-30046B3797C9}">
      <text>
        <r>
          <rPr>
            <b/>
            <sz val="9"/>
            <color indexed="81"/>
            <rFont val="Tahoma"/>
            <family val="2"/>
          </rPr>
          <t>Gavin Mudd:</t>
        </r>
        <r>
          <rPr>
            <sz val="9"/>
            <color indexed="81"/>
            <rFont val="Tahoma"/>
            <family val="2"/>
          </rPr>
          <t xml:space="preserve">
assumed</t>
        </r>
      </text>
    </comment>
    <comment ref="Y70" authorId="0" shapeId="0" xr:uid="{54C617A5-75EA-42C8-B5DF-D73B4D9BDDB1}">
      <text>
        <r>
          <rPr>
            <b/>
            <sz val="9"/>
            <color indexed="81"/>
            <rFont val="Tahoma"/>
            <family val="2"/>
          </rPr>
          <t>Gavin Mudd:</t>
        </r>
        <r>
          <rPr>
            <sz val="9"/>
            <color indexed="81"/>
            <rFont val="Tahoma"/>
            <family val="2"/>
          </rPr>
          <t xml:space="preserve">
assumed</t>
        </r>
      </text>
    </comment>
    <comment ref="AA70" authorId="0" shapeId="0" xr:uid="{440D193A-2126-42F5-AD7D-F15FD3B25F92}">
      <text>
        <r>
          <rPr>
            <b/>
            <sz val="9"/>
            <color indexed="81"/>
            <rFont val="Tahoma"/>
            <family val="2"/>
          </rPr>
          <t>Gavin Mudd:</t>
        </r>
        <r>
          <rPr>
            <sz val="9"/>
            <color indexed="81"/>
            <rFont val="Tahoma"/>
            <family val="2"/>
          </rPr>
          <t xml:space="preserve">
assumed</t>
        </r>
      </text>
    </comment>
    <comment ref="AG70" authorId="0" shapeId="0" xr:uid="{B10D95B0-1778-47FA-A1E0-2E31638D9F5A}">
      <text>
        <r>
          <rPr>
            <b/>
            <sz val="9"/>
            <color indexed="81"/>
            <rFont val="Tahoma"/>
            <family val="2"/>
          </rPr>
          <t>Gavin Mudd:</t>
        </r>
        <r>
          <rPr>
            <sz val="9"/>
            <color indexed="81"/>
            <rFont val="Tahoma"/>
            <family val="2"/>
          </rPr>
          <t xml:space="preserve">
assumed</t>
        </r>
      </text>
    </comment>
    <comment ref="AK70" authorId="0" shapeId="0" xr:uid="{64E4073C-ED81-4DE2-B030-E6AF3212AB1C}">
      <text>
        <r>
          <rPr>
            <b/>
            <sz val="9"/>
            <color indexed="81"/>
            <rFont val="Tahoma"/>
            <family val="2"/>
          </rPr>
          <t>Gavin Mudd:</t>
        </r>
        <r>
          <rPr>
            <sz val="9"/>
            <color indexed="81"/>
            <rFont val="Tahoma"/>
            <family val="2"/>
          </rPr>
          <t xml:space="preserve">
assumed</t>
        </r>
      </text>
    </comment>
    <comment ref="AM70" authorId="0" shapeId="0" xr:uid="{AA3AB775-DD96-4250-B28A-72528341B8A6}">
      <text>
        <r>
          <rPr>
            <b/>
            <sz val="9"/>
            <color indexed="81"/>
            <rFont val="Tahoma"/>
            <family val="2"/>
          </rPr>
          <t>Gavin Mudd:</t>
        </r>
        <r>
          <rPr>
            <sz val="9"/>
            <color indexed="81"/>
            <rFont val="Tahoma"/>
            <family val="2"/>
          </rPr>
          <t xml:space="preserve">
assumed</t>
        </r>
      </text>
    </comment>
    <comment ref="AO70" authorId="0" shapeId="0" xr:uid="{E5E2F213-3A2D-4CC8-8C59-4C0D569BE443}">
      <text>
        <r>
          <rPr>
            <b/>
            <sz val="9"/>
            <color indexed="81"/>
            <rFont val="Tahoma"/>
            <family val="2"/>
          </rPr>
          <t>Gavin Mudd:</t>
        </r>
        <r>
          <rPr>
            <sz val="9"/>
            <color indexed="81"/>
            <rFont val="Tahoma"/>
            <family val="2"/>
          </rPr>
          <t xml:space="preserve">
assumed</t>
        </r>
      </text>
    </comment>
    <comment ref="AQ70" authorId="0" shapeId="0" xr:uid="{529735FC-9FD4-4AAD-8368-9C2DED37C205}">
      <text>
        <r>
          <rPr>
            <b/>
            <sz val="9"/>
            <color indexed="81"/>
            <rFont val="Tahoma"/>
            <family val="2"/>
          </rPr>
          <t>Gavin Mudd:</t>
        </r>
        <r>
          <rPr>
            <sz val="9"/>
            <color indexed="81"/>
            <rFont val="Tahoma"/>
            <family val="2"/>
          </rPr>
          <t xml:space="preserve">
assumed</t>
        </r>
      </text>
    </comment>
    <comment ref="AU70" authorId="0" shapeId="0" xr:uid="{7FC239FD-476D-4E1F-AA3C-C38619D71862}">
      <text>
        <r>
          <rPr>
            <b/>
            <sz val="9"/>
            <color indexed="81"/>
            <rFont val="Tahoma"/>
            <family val="2"/>
          </rPr>
          <t>Gavin Mudd:</t>
        </r>
        <r>
          <rPr>
            <sz val="9"/>
            <color indexed="81"/>
            <rFont val="Tahoma"/>
            <family val="2"/>
          </rPr>
          <t xml:space="preserve">
assumed</t>
        </r>
      </text>
    </comment>
    <comment ref="BA70" authorId="0" shapeId="0" xr:uid="{58B99C79-A4D8-43CB-B12E-188D80EF37F8}">
      <text>
        <r>
          <rPr>
            <b/>
            <sz val="9"/>
            <color indexed="81"/>
            <rFont val="Tahoma"/>
            <family val="2"/>
          </rPr>
          <t>Gavin Mudd:</t>
        </r>
        <r>
          <rPr>
            <sz val="9"/>
            <color indexed="81"/>
            <rFont val="Tahoma"/>
            <family val="2"/>
          </rPr>
          <t xml:space="preserve">
assumed</t>
        </r>
      </text>
    </comment>
    <comment ref="BB70" authorId="0" shapeId="0" xr:uid="{2B6DE26F-F7D8-45B8-BDDD-DE484B684D1D}">
      <text>
        <r>
          <rPr>
            <b/>
            <sz val="9"/>
            <color indexed="81"/>
            <rFont val="Tahoma"/>
            <family val="2"/>
          </rPr>
          <t>Gavin Mudd:</t>
        </r>
        <r>
          <rPr>
            <sz val="9"/>
            <color indexed="81"/>
            <rFont val="Tahoma"/>
            <family val="2"/>
          </rPr>
          <t xml:space="preserve">
assumed</t>
        </r>
      </text>
    </comment>
    <comment ref="CD70" authorId="0" shapeId="0" xr:uid="{A0574263-FE93-42F4-9EB9-309BD0300EB8}">
      <text>
        <r>
          <rPr>
            <b/>
            <sz val="9"/>
            <color indexed="81"/>
            <rFont val="Tahoma"/>
            <family val="2"/>
          </rPr>
          <t>Gavin Mudd:</t>
        </r>
        <r>
          <rPr>
            <sz val="9"/>
            <color indexed="81"/>
            <rFont val="Tahoma"/>
            <family val="2"/>
          </rPr>
          <t xml:space="preserve">
assumed</t>
        </r>
      </text>
    </comment>
    <comment ref="CE70" authorId="0" shapeId="0" xr:uid="{D1257C88-A25F-42AF-8DFC-6315428C9892}">
      <text>
        <r>
          <rPr>
            <b/>
            <sz val="9"/>
            <color indexed="81"/>
            <rFont val="Tahoma"/>
            <family val="2"/>
          </rPr>
          <t>Gavin Mudd:</t>
        </r>
        <r>
          <rPr>
            <sz val="9"/>
            <color indexed="81"/>
            <rFont val="Tahoma"/>
            <family val="2"/>
          </rPr>
          <t xml:space="preserve">
assumed</t>
        </r>
      </text>
    </comment>
    <comment ref="CJ70" authorId="0" shapeId="0" xr:uid="{B1A7E19E-B672-4616-B828-CBBB3B156C82}">
      <text>
        <r>
          <rPr>
            <b/>
            <sz val="9"/>
            <color indexed="81"/>
            <rFont val="Tahoma"/>
            <family val="2"/>
          </rPr>
          <t>Gavin Mudd:</t>
        </r>
        <r>
          <rPr>
            <sz val="9"/>
            <color indexed="81"/>
            <rFont val="Tahoma"/>
            <family val="2"/>
          </rPr>
          <t xml:space="preserve">
assumed</t>
        </r>
      </text>
    </comment>
    <comment ref="CK70" authorId="0" shapeId="0" xr:uid="{55059029-D8B2-4336-9A8D-B26BC40AA753}">
      <text>
        <r>
          <rPr>
            <b/>
            <sz val="9"/>
            <color indexed="81"/>
            <rFont val="Tahoma"/>
            <family val="2"/>
          </rPr>
          <t>Gavin Mudd:</t>
        </r>
        <r>
          <rPr>
            <sz val="9"/>
            <color indexed="81"/>
            <rFont val="Tahoma"/>
            <family val="2"/>
          </rPr>
          <t xml:space="preserve">
assumed</t>
        </r>
      </text>
    </comment>
    <comment ref="CO70" authorId="0" shapeId="0" xr:uid="{533F32AA-2BE3-4EFC-A039-510326AE7BEA}">
      <text>
        <r>
          <rPr>
            <b/>
            <sz val="9"/>
            <color indexed="81"/>
            <rFont val="Tahoma"/>
            <family val="2"/>
          </rPr>
          <t>Gavin Mudd:</t>
        </r>
        <r>
          <rPr>
            <sz val="9"/>
            <color indexed="81"/>
            <rFont val="Tahoma"/>
            <family val="2"/>
          </rPr>
          <t xml:space="preserve">
assumed</t>
        </r>
      </text>
    </comment>
    <comment ref="CP70" authorId="0" shapeId="0" xr:uid="{F0C5DACD-BA78-4410-897C-CCDF48B235DE}">
      <text>
        <r>
          <rPr>
            <b/>
            <sz val="9"/>
            <color indexed="81"/>
            <rFont val="Tahoma"/>
            <family val="2"/>
          </rPr>
          <t>Gavin Mudd:</t>
        </r>
        <r>
          <rPr>
            <sz val="9"/>
            <color indexed="81"/>
            <rFont val="Tahoma"/>
            <family val="2"/>
          </rPr>
          <t xml:space="preserve">
assumed</t>
        </r>
      </text>
    </comment>
    <comment ref="DL70" authorId="0" shapeId="0" xr:uid="{CB2E2D6D-D1A1-4FE2-86D6-AE0014A78F8A}">
      <text>
        <r>
          <rPr>
            <b/>
            <sz val="9"/>
            <color indexed="81"/>
            <rFont val="Tahoma"/>
            <family val="2"/>
          </rPr>
          <t>Gavin Mudd:</t>
        </r>
        <r>
          <rPr>
            <sz val="9"/>
            <color indexed="81"/>
            <rFont val="Tahoma"/>
            <family val="2"/>
          </rPr>
          <t xml:space="preserve">
assumed</t>
        </r>
      </text>
    </comment>
    <comment ref="DM70" authorId="0" shapeId="0" xr:uid="{65627977-BBDC-4262-B4D3-7EF0ADF24004}">
      <text>
        <r>
          <rPr>
            <b/>
            <sz val="9"/>
            <color indexed="81"/>
            <rFont val="Tahoma"/>
            <family val="2"/>
          </rPr>
          <t>Gavin Mudd:</t>
        </r>
        <r>
          <rPr>
            <sz val="9"/>
            <color indexed="81"/>
            <rFont val="Tahoma"/>
            <family val="2"/>
          </rPr>
          <t xml:space="preserve">
assumed</t>
        </r>
      </text>
    </comment>
    <comment ref="B71" authorId="0" shapeId="0" xr:uid="{162DCA2D-0B30-4585-96D5-219CD3F2DB13}">
      <text>
        <r>
          <rPr>
            <b/>
            <sz val="9"/>
            <color indexed="81"/>
            <rFont val="Tahoma"/>
            <family val="2"/>
          </rPr>
          <t>Gavin Mudd:</t>
        </r>
        <r>
          <rPr>
            <sz val="9"/>
            <color indexed="81"/>
            <rFont val="Tahoma"/>
            <family val="2"/>
          </rPr>
          <t xml:space="preserve">
Junee</t>
        </r>
      </text>
    </comment>
    <comment ref="C71" authorId="0" shapeId="0" xr:uid="{945C146B-7520-43E4-B4EC-7DAAAD782D82}">
      <text>
        <r>
          <rPr>
            <b/>
            <sz val="9"/>
            <color indexed="81"/>
            <rFont val="Tahoma"/>
            <family val="2"/>
          </rPr>
          <t>Gavin Mudd:</t>
        </r>
        <r>
          <rPr>
            <sz val="9"/>
            <color indexed="81"/>
            <rFont val="Tahoma"/>
            <family val="2"/>
          </rPr>
          <t xml:space="preserve">
assumed</t>
        </r>
      </text>
    </comment>
    <comment ref="E71" authorId="0" shapeId="0" xr:uid="{C9F1C9B6-AE7B-46E1-AD99-C5F8E1A4C75D}">
      <text>
        <r>
          <rPr>
            <b/>
            <sz val="9"/>
            <color indexed="81"/>
            <rFont val="Tahoma"/>
            <family val="2"/>
          </rPr>
          <t>Gavin Mudd:</t>
        </r>
        <r>
          <rPr>
            <sz val="9"/>
            <color indexed="81"/>
            <rFont val="Tahoma"/>
            <family val="2"/>
          </rPr>
          <t xml:space="preserve">
assumed</t>
        </r>
      </text>
    </comment>
    <comment ref="J71" authorId="0" shapeId="0" xr:uid="{FB4B1275-D587-47B5-85EB-86F3406BC311}">
      <text>
        <r>
          <rPr>
            <b/>
            <sz val="9"/>
            <color indexed="81"/>
            <rFont val="Tahoma"/>
            <family val="2"/>
          </rPr>
          <t>Gavin Mudd:</t>
        </r>
        <r>
          <rPr>
            <sz val="9"/>
            <color indexed="81"/>
            <rFont val="Tahoma"/>
            <family val="2"/>
          </rPr>
          <t xml:space="preserve">
Tumut</t>
        </r>
      </text>
    </comment>
    <comment ref="K71" authorId="0" shapeId="0" xr:uid="{12710E75-0CAE-4A90-930F-EA964111D4F1}">
      <text>
        <r>
          <rPr>
            <b/>
            <sz val="9"/>
            <color indexed="81"/>
            <rFont val="Tahoma"/>
            <family val="2"/>
          </rPr>
          <t>Gavin Mudd:</t>
        </r>
        <r>
          <rPr>
            <sz val="9"/>
            <color indexed="81"/>
            <rFont val="Tahoma"/>
            <family val="2"/>
          </rPr>
          <t xml:space="preserve">
assumed</t>
        </r>
      </text>
    </comment>
    <comment ref="Q71" authorId="0" shapeId="0" xr:uid="{6678B2B2-E659-4A32-BF49-2D460A318532}">
      <text>
        <r>
          <rPr>
            <b/>
            <sz val="9"/>
            <color indexed="81"/>
            <rFont val="Tahoma"/>
            <family val="2"/>
          </rPr>
          <t>Gavin Mudd:</t>
        </r>
        <r>
          <rPr>
            <sz val="9"/>
            <color indexed="81"/>
            <rFont val="Tahoma"/>
            <family val="2"/>
          </rPr>
          <t xml:space="preserve">
assumed</t>
        </r>
      </text>
    </comment>
    <comment ref="W71" authorId="0" shapeId="0" xr:uid="{6EDCADCE-D6AF-49C4-9246-CA661ED7B0F5}">
      <text>
        <r>
          <rPr>
            <b/>
            <sz val="9"/>
            <color indexed="81"/>
            <rFont val="Tahoma"/>
            <family val="2"/>
          </rPr>
          <t>Gavin Mudd:</t>
        </r>
        <r>
          <rPr>
            <sz val="9"/>
            <color indexed="81"/>
            <rFont val="Tahoma"/>
            <family val="2"/>
          </rPr>
          <t xml:space="preserve">
assumed</t>
        </r>
      </text>
    </comment>
    <comment ref="Y71" authorId="0" shapeId="0" xr:uid="{38D91C7B-36B9-40A7-BFDA-36C4EF1A5ECB}">
      <text>
        <r>
          <rPr>
            <b/>
            <sz val="9"/>
            <color indexed="81"/>
            <rFont val="Tahoma"/>
            <family val="2"/>
          </rPr>
          <t>Gavin Mudd:</t>
        </r>
        <r>
          <rPr>
            <sz val="9"/>
            <color indexed="81"/>
            <rFont val="Tahoma"/>
            <family val="2"/>
          </rPr>
          <t xml:space="preserve">
assumed</t>
        </r>
      </text>
    </comment>
    <comment ref="AA71" authorId="0" shapeId="0" xr:uid="{23CECA36-3534-4AC8-A5DA-AF2B3C6D6EC1}">
      <text>
        <r>
          <rPr>
            <b/>
            <sz val="9"/>
            <color indexed="81"/>
            <rFont val="Tahoma"/>
            <family val="2"/>
          </rPr>
          <t>Gavin Mudd:</t>
        </r>
        <r>
          <rPr>
            <sz val="9"/>
            <color indexed="81"/>
            <rFont val="Tahoma"/>
            <family val="2"/>
          </rPr>
          <t xml:space="preserve">
assumed</t>
        </r>
      </text>
    </comment>
    <comment ref="AG71" authorId="0" shapeId="0" xr:uid="{E3A83C84-BE23-4AE8-9C47-8DAAA82B530F}">
      <text>
        <r>
          <rPr>
            <b/>
            <sz val="9"/>
            <color indexed="81"/>
            <rFont val="Tahoma"/>
            <family val="2"/>
          </rPr>
          <t>Gavin Mudd:</t>
        </r>
        <r>
          <rPr>
            <sz val="9"/>
            <color indexed="81"/>
            <rFont val="Tahoma"/>
            <family val="2"/>
          </rPr>
          <t xml:space="preserve">
assumed</t>
        </r>
      </text>
    </comment>
    <comment ref="AK71" authorId="0" shapeId="0" xr:uid="{67ACAA0B-46FC-4ECD-A68F-0140E865A9A8}">
      <text>
        <r>
          <rPr>
            <b/>
            <sz val="9"/>
            <color indexed="81"/>
            <rFont val="Tahoma"/>
            <family val="2"/>
          </rPr>
          <t>Gavin Mudd:</t>
        </r>
        <r>
          <rPr>
            <sz val="9"/>
            <color indexed="81"/>
            <rFont val="Tahoma"/>
            <family val="2"/>
          </rPr>
          <t xml:space="preserve">
assumed</t>
        </r>
      </text>
    </comment>
    <comment ref="AM71" authorId="0" shapeId="0" xr:uid="{6ADEBB54-7664-4994-A472-7E87B456DDDD}">
      <text>
        <r>
          <rPr>
            <b/>
            <sz val="9"/>
            <color indexed="81"/>
            <rFont val="Tahoma"/>
            <family val="2"/>
          </rPr>
          <t>Gavin Mudd:</t>
        </r>
        <r>
          <rPr>
            <sz val="9"/>
            <color indexed="81"/>
            <rFont val="Tahoma"/>
            <family val="2"/>
          </rPr>
          <t xml:space="preserve">
assumed</t>
        </r>
      </text>
    </comment>
    <comment ref="AO71" authorId="0" shapeId="0" xr:uid="{2B961D1F-99A3-4A6F-9560-0E2D47CF25E3}">
      <text>
        <r>
          <rPr>
            <b/>
            <sz val="9"/>
            <color indexed="81"/>
            <rFont val="Tahoma"/>
            <family val="2"/>
          </rPr>
          <t>Gavin Mudd:</t>
        </r>
        <r>
          <rPr>
            <sz val="9"/>
            <color indexed="81"/>
            <rFont val="Tahoma"/>
            <family val="2"/>
          </rPr>
          <t xml:space="preserve">
assumed</t>
        </r>
      </text>
    </comment>
    <comment ref="AU71" authorId="0" shapeId="0" xr:uid="{9D3F1D8E-0941-470E-B1E1-B08DB0673C99}">
      <text>
        <r>
          <rPr>
            <b/>
            <sz val="9"/>
            <color indexed="81"/>
            <rFont val="Tahoma"/>
            <family val="2"/>
          </rPr>
          <t>Gavin Mudd:</t>
        </r>
        <r>
          <rPr>
            <sz val="9"/>
            <color indexed="81"/>
            <rFont val="Tahoma"/>
            <family val="2"/>
          </rPr>
          <t xml:space="preserve">
assumed</t>
        </r>
      </text>
    </comment>
    <comment ref="BA71" authorId="0" shapeId="0" xr:uid="{5C6F773C-6C80-423D-932E-09E61A9F6EEE}">
      <text>
        <r>
          <rPr>
            <b/>
            <sz val="9"/>
            <color indexed="81"/>
            <rFont val="Tahoma"/>
            <family val="2"/>
          </rPr>
          <t>Gavin Mudd:</t>
        </r>
        <r>
          <rPr>
            <sz val="9"/>
            <color indexed="81"/>
            <rFont val="Tahoma"/>
            <family val="2"/>
          </rPr>
          <t xml:space="preserve">
assumed</t>
        </r>
      </text>
    </comment>
    <comment ref="BB71" authorId="0" shapeId="0" xr:uid="{B49F6801-3EBD-4908-8F88-C6DD81579FCA}">
      <text>
        <r>
          <rPr>
            <b/>
            <sz val="9"/>
            <color indexed="81"/>
            <rFont val="Tahoma"/>
            <family val="2"/>
          </rPr>
          <t>Gavin Mudd:</t>
        </r>
        <r>
          <rPr>
            <sz val="9"/>
            <color indexed="81"/>
            <rFont val="Tahoma"/>
            <family val="2"/>
          </rPr>
          <t xml:space="preserve">
assumed</t>
        </r>
      </text>
    </comment>
    <comment ref="CD71" authorId="0" shapeId="0" xr:uid="{D444CDB5-4F0A-4EFC-BB78-7BE123278422}">
      <text>
        <r>
          <rPr>
            <b/>
            <sz val="9"/>
            <color indexed="81"/>
            <rFont val="Tahoma"/>
            <family val="2"/>
          </rPr>
          <t>Gavin Mudd:</t>
        </r>
        <r>
          <rPr>
            <sz val="9"/>
            <color indexed="81"/>
            <rFont val="Tahoma"/>
            <family val="2"/>
          </rPr>
          <t xml:space="preserve">
assumed</t>
        </r>
      </text>
    </comment>
    <comment ref="CE71" authorId="0" shapeId="0" xr:uid="{00474DE5-E057-4ABE-ADE4-4D903110A9AE}">
      <text>
        <r>
          <rPr>
            <b/>
            <sz val="9"/>
            <color indexed="81"/>
            <rFont val="Tahoma"/>
            <family val="2"/>
          </rPr>
          <t>Gavin Mudd:</t>
        </r>
        <r>
          <rPr>
            <sz val="9"/>
            <color indexed="81"/>
            <rFont val="Tahoma"/>
            <family val="2"/>
          </rPr>
          <t xml:space="preserve">
assumed</t>
        </r>
      </text>
    </comment>
    <comment ref="CJ71" authorId="0" shapeId="0" xr:uid="{FCC728E7-AA65-46AF-ACE7-39BA52A8CDBF}">
      <text>
        <r>
          <rPr>
            <b/>
            <sz val="9"/>
            <color indexed="81"/>
            <rFont val="Tahoma"/>
            <family val="2"/>
          </rPr>
          <t>Gavin Mudd:</t>
        </r>
        <r>
          <rPr>
            <sz val="9"/>
            <color indexed="81"/>
            <rFont val="Tahoma"/>
            <family val="2"/>
          </rPr>
          <t xml:space="preserve">
assumed</t>
        </r>
      </text>
    </comment>
    <comment ref="CK71" authorId="0" shapeId="0" xr:uid="{FB495713-E399-413D-BE64-436CF027E151}">
      <text>
        <r>
          <rPr>
            <b/>
            <sz val="9"/>
            <color indexed="81"/>
            <rFont val="Tahoma"/>
            <family val="2"/>
          </rPr>
          <t>Gavin Mudd:</t>
        </r>
        <r>
          <rPr>
            <sz val="9"/>
            <color indexed="81"/>
            <rFont val="Tahoma"/>
            <family val="2"/>
          </rPr>
          <t xml:space="preserve">
assumed</t>
        </r>
      </text>
    </comment>
    <comment ref="CO71" authorId="0" shapeId="0" xr:uid="{B94A7C62-7565-47A7-B32A-BD8B8DD123C6}">
      <text>
        <r>
          <rPr>
            <b/>
            <sz val="9"/>
            <color indexed="81"/>
            <rFont val="Tahoma"/>
            <family val="2"/>
          </rPr>
          <t>Gavin Mudd:</t>
        </r>
        <r>
          <rPr>
            <sz val="9"/>
            <color indexed="81"/>
            <rFont val="Tahoma"/>
            <family val="2"/>
          </rPr>
          <t xml:space="preserve">
assumed</t>
        </r>
      </text>
    </comment>
    <comment ref="CP71" authorId="0" shapeId="0" xr:uid="{670E01D6-BBFF-49A1-9D2F-9B55D54C27A2}">
      <text>
        <r>
          <rPr>
            <b/>
            <sz val="9"/>
            <color indexed="81"/>
            <rFont val="Tahoma"/>
            <family val="2"/>
          </rPr>
          <t>Gavin Mudd:</t>
        </r>
        <r>
          <rPr>
            <sz val="9"/>
            <color indexed="81"/>
            <rFont val="Tahoma"/>
            <family val="2"/>
          </rPr>
          <t xml:space="preserve">
assumed</t>
        </r>
      </text>
    </comment>
    <comment ref="DL71" authorId="0" shapeId="0" xr:uid="{14800ED5-60FF-4882-A7C9-BB519DFC5AC3}">
      <text>
        <r>
          <rPr>
            <b/>
            <sz val="9"/>
            <color indexed="81"/>
            <rFont val="Tahoma"/>
            <family val="2"/>
          </rPr>
          <t>Gavin Mudd:</t>
        </r>
        <r>
          <rPr>
            <sz val="9"/>
            <color indexed="81"/>
            <rFont val="Tahoma"/>
            <family val="2"/>
          </rPr>
          <t xml:space="preserve">
assumed</t>
        </r>
      </text>
    </comment>
    <comment ref="DM71" authorId="0" shapeId="0" xr:uid="{AE32EDB3-8ACA-4484-B14D-8A9F8D0B72C5}">
      <text>
        <r>
          <rPr>
            <b/>
            <sz val="9"/>
            <color indexed="81"/>
            <rFont val="Tahoma"/>
            <family val="2"/>
          </rPr>
          <t>Gavin Mudd:</t>
        </r>
        <r>
          <rPr>
            <sz val="9"/>
            <color indexed="81"/>
            <rFont val="Tahoma"/>
            <family val="2"/>
          </rPr>
          <t xml:space="preserve">
assumed</t>
        </r>
      </text>
    </comment>
    <comment ref="I72" authorId="0" shapeId="0" xr:uid="{35998229-06C0-4B23-AFE2-31A68C2005F9}">
      <text>
        <r>
          <rPr>
            <b/>
            <sz val="9"/>
            <color indexed="81"/>
            <rFont val="Tahoma"/>
            <family val="2"/>
          </rPr>
          <t>Gavin Mudd:</t>
        </r>
        <r>
          <rPr>
            <sz val="9"/>
            <color indexed="81"/>
            <rFont val="Tahoma"/>
            <family val="2"/>
          </rPr>
          <t xml:space="preserve">
assumed</t>
        </r>
      </text>
    </comment>
    <comment ref="Q72" authorId="0" shapeId="0" xr:uid="{B1CEDA40-2811-44EA-9681-3FFC943EDEEA}">
      <text>
        <r>
          <rPr>
            <b/>
            <sz val="9"/>
            <color indexed="81"/>
            <rFont val="Tahoma"/>
            <family val="2"/>
          </rPr>
          <t>Gavin Mudd:</t>
        </r>
        <r>
          <rPr>
            <sz val="9"/>
            <color indexed="81"/>
            <rFont val="Tahoma"/>
            <family val="2"/>
          </rPr>
          <t xml:space="preserve">
assumed</t>
        </r>
      </text>
    </comment>
    <comment ref="W72" authorId="0" shapeId="0" xr:uid="{E02BCCAD-165E-4EB8-B8A6-E1719D894628}">
      <text>
        <r>
          <rPr>
            <b/>
            <sz val="9"/>
            <color indexed="81"/>
            <rFont val="Tahoma"/>
            <family val="2"/>
          </rPr>
          <t>Gavin Mudd:</t>
        </r>
        <r>
          <rPr>
            <sz val="9"/>
            <color indexed="81"/>
            <rFont val="Tahoma"/>
            <family val="2"/>
          </rPr>
          <t xml:space="preserve">
assumed</t>
        </r>
      </text>
    </comment>
    <comment ref="Y72" authorId="0" shapeId="0" xr:uid="{6DD8E578-2EA1-49B5-BA97-C498041F0859}">
      <text>
        <r>
          <rPr>
            <b/>
            <sz val="9"/>
            <color indexed="81"/>
            <rFont val="Tahoma"/>
            <family val="2"/>
          </rPr>
          <t>Gavin Mudd:</t>
        </r>
        <r>
          <rPr>
            <sz val="9"/>
            <color indexed="81"/>
            <rFont val="Tahoma"/>
            <family val="2"/>
          </rPr>
          <t xml:space="preserve">
assumed</t>
        </r>
      </text>
    </comment>
    <comment ref="AA72" authorId="0" shapeId="0" xr:uid="{0C6862A3-0112-4E62-AF21-CD6B9DAE2F5B}">
      <text>
        <r>
          <rPr>
            <b/>
            <sz val="9"/>
            <color indexed="81"/>
            <rFont val="Tahoma"/>
            <family val="2"/>
          </rPr>
          <t>Gavin Mudd:</t>
        </r>
        <r>
          <rPr>
            <sz val="9"/>
            <color indexed="81"/>
            <rFont val="Tahoma"/>
            <family val="2"/>
          </rPr>
          <t xml:space="preserve">
assumed</t>
        </r>
      </text>
    </comment>
    <comment ref="AG72" authorId="0" shapeId="0" xr:uid="{FD6D2960-CDAE-4DCF-958F-50DEBD5555C1}">
      <text>
        <r>
          <rPr>
            <b/>
            <sz val="9"/>
            <color indexed="81"/>
            <rFont val="Tahoma"/>
            <family val="2"/>
          </rPr>
          <t>Gavin Mudd:</t>
        </r>
        <r>
          <rPr>
            <sz val="9"/>
            <color indexed="81"/>
            <rFont val="Tahoma"/>
            <family val="2"/>
          </rPr>
          <t xml:space="preserve">
assumed</t>
        </r>
      </text>
    </comment>
    <comment ref="AK72" authorId="0" shapeId="0" xr:uid="{AEC0C858-408D-41C6-B7CF-19F0E23EE543}">
      <text>
        <r>
          <rPr>
            <b/>
            <sz val="9"/>
            <color indexed="81"/>
            <rFont val="Tahoma"/>
            <family val="2"/>
          </rPr>
          <t>Gavin Mudd:</t>
        </r>
        <r>
          <rPr>
            <sz val="9"/>
            <color indexed="81"/>
            <rFont val="Tahoma"/>
            <family val="2"/>
          </rPr>
          <t xml:space="preserve">
assumed</t>
        </r>
      </text>
    </comment>
    <comment ref="AM72" authorId="0" shapeId="0" xr:uid="{6B408376-00DD-4846-9A23-A358D6424669}">
      <text>
        <r>
          <rPr>
            <b/>
            <sz val="9"/>
            <color indexed="81"/>
            <rFont val="Tahoma"/>
            <family val="2"/>
          </rPr>
          <t>Gavin Mudd:</t>
        </r>
        <r>
          <rPr>
            <sz val="9"/>
            <color indexed="81"/>
            <rFont val="Tahoma"/>
            <family val="2"/>
          </rPr>
          <t xml:space="preserve">
assumed</t>
        </r>
      </text>
    </comment>
    <comment ref="AO72" authorId="0" shapeId="0" xr:uid="{AC7C2373-D29A-4117-800D-3D72A30C0B79}">
      <text>
        <r>
          <rPr>
            <b/>
            <sz val="9"/>
            <color indexed="81"/>
            <rFont val="Tahoma"/>
            <family val="2"/>
          </rPr>
          <t>Gavin Mudd:</t>
        </r>
        <r>
          <rPr>
            <sz val="9"/>
            <color indexed="81"/>
            <rFont val="Tahoma"/>
            <family val="2"/>
          </rPr>
          <t xml:space="preserve">
assumed</t>
        </r>
      </text>
    </comment>
    <comment ref="AQ72" authorId="0" shapeId="0" xr:uid="{45DB0C37-7D3D-4B86-900B-90BFE61118CD}">
      <text>
        <r>
          <rPr>
            <b/>
            <sz val="9"/>
            <color indexed="81"/>
            <rFont val="Tahoma"/>
            <family val="2"/>
          </rPr>
          <t>Gavin Mudd:</t>
        </r>
        <r>
          <rPr>
            <sz val="9"/>
            <color indexed="81"/>
            <rFont val="Tahoma"/>
            <family val="2"/>
          </rPr>
          <t xml:space="preserve">
assumed</t>
        </r>
      </text>
    </comment>
    <comment ref="AU72" authorId="0" shapeId="0" xr:uid="{99439833-0AB7-4A63-9BDD-3BC1EA5F2B81}">
      <text>
        <r>
          <rPr>
            <b/>
            <sz val="9"/>
            <color indexed="81"/>
            <rFont val="Tahoma"/>
            <family val="2"/>
          </rPr>
          <t>Gavin Mudd:</t>
        </r>
        <r>
          <rPr>
            <sz val="9"/>
            <color indexed="81"/>
            <rFont val="Tahoma"/>
            <family val="2"/>
          </rPr>
          <t xml:space="preserve">
assumed</t>
        </r>
      </text>
    </comment>
    <comment ref="BA72" authorId="0" shapeId="0" xr:uid="{0E446BE8-0C02-45F6-B292-EC4A92D1C8C8}">
      <text>
        <r>
          <rPr>
            <b/>
            <sz val="9"/>
            <color indexed="81"/>
            <rFont val="Tahoma"/>
            <family val="2"/>
          </rPr>
          <t>Gavin Mudd:</t>
        </r>
        <r>
          <rPr>
            <sz val="9"/>
            <color indexed="81"/>
            <rFont val="Tahoma"/>
            <family val="2"/>
          </rPr>
          <t xml:space="preserve">
assumed</t>
        </r>
      </text>
    </comment>
    <comment ref="BB72" authorId="0" shapeId="0" xr:uid="{47E4F5E1-CD75-494A-A3A5-79FC77AC2447}">
      <text>
        <r>
          <rPr>
            <b/>
            <sz val="9"/>
            <color indexed="81"/>
            <rFont val="Tahoma"/>
            <family val="2"/>
          </rPr>
          <t>Gavin Mudd:</t>
        </r>
        <r>
          <rPr>
            <sz val="9"/>
            <color indexed="81"/>
            <rFont val="Tahoma"/>
            <family val="2"/>
          </rPr>
          <t xml:space="preserve">
assumed</t>
        </r>
      </text>
    </comment>
    <comment ref="CD72" authorId="0" shapeId="0" xr:uid="{3A42B029-4D03-4B7A-A411-859D1CB8EA3C}">
      <text>
        <r>
          <rPr>
            <b/>
            <sz val="9"/>
            <color indexed="81"/>
            <rFont val="Tahoma"/>
            <family val="2"/>
          </rPr>
          <t>Gavin Mudd:</t>
        </r>
        <r>
          <rPr>
            <sz val="9"/>
            <color indexed="81"/>
            <rFont val="Tahoma"/>
            <family val="2"/>
          </rPr>
          <t xml:space="preserve">
assumed</t>
        </r>
      </text>
    </comment>
    <comment ref="CE72" authorId="0" shapeId="0" xr:uid="{A2984394-509A-407C-9AD3-0353D0A4876C}">
      <text>
        <r>
          <rPr>
            <b/>
            <sz val="9"/>
            <color indexed="81"/>
            <rFont val="Tahoma"/>
            <family val="2"/>
          </rPr>
          <t>Gavin Mudd:</t>
        </r>
        <r>
          <rPr>
            <sz val="9"/>
            <color indexed="81"/>
            <rFont val="Tahoma"/>
            <family val="2"/>
          </rPr>
          <t xml:space="preserve">
assumed</t>
        </r>
      </text>
    </comment>
    <comment ref="CJ72" authorId="0" shapeId="0" xr:uid="{9AC6DC49-A87D-402C-9F0D-FC3AE9772460}">
      <text>
        <r>
          <rPr>
            <b/>
            <sz val="9"/>
            <color indexed="81"/>
            <rFont val="Tahoma"/>
            <family val="2"/>
          </rPr>
          <t>Gavin Mudd:</t>
        </r>
        <r>
          <rPr>
            <sz val="9"/>
            <color indexed="81"/>
            <rFont val="Tahoma"/>
            <family val="2"/>
          </rPr>
          <t xml:space="preserve">
assumed</t>
        </r>
      </text>
    </comment>
    <comment ref="CK72" authorId="0" shapeId="0" xr:uid="{5384EBE6-FC12-4716-8950-61E2A2D5EAD9}">
      <text>
        <r>
          <rPr>
            <b/>
            <sz val="9"/>
            <color indexed="81"/>
            <rFont val="Tahoma"/>
            <family val="2"/>
          </rPr>
          <t>Gavin Mudd:</t>
        </r>
        <r>
          <rPr>
            <sz val="9"/>
            <color indexed="81"/>
            <rFont val="Tahoma"/>
            <family val="2"/>
          </rPr>
          <t xml:space="preserve">
assumed</t>
        </r>
      </text>
    </comment>
    <comment ref="CO72" authorId="0" shapeId="0" xr:uid="{8CD6CBB6-5B89-4379-BB2E-B2E5742E94EF}">
      <text>
        <r>
          <rPr>
            <b/>
            <sz val="9"/>
            <color indexed="81"/>
            <rFont val="Tahoma"/>
            <family val="2"/>
          </rPr>
          <t>Gavin Mudd:</t>
        </r>
        <r>
          <rPr>
            <sz val="9"/>
            <color indexed="81"/>
            <rFont val="Tahoma"/>
            <family val="2"/>
          </rPr>
          <t xml:space="preserve">
assumed</t>
        </r>
      </text>
    </comment>
    <comment ref="CP72" authorId="0" shapeId="0" xr:uid="{122330ED-9896-4198-88F6-5559EA057EF9}">
      <text>
        <r>
          <rPr>
            <b/>
            <sz val="9"/>
            <color indexed="81"/>
            <rFont val="Tahoma"/>
            <family val="2"/>
          </rPr>
          <t>Gavin Mudd:</t>
        </r>
        <r>
          <rPr>
            <sz val="9"/>
            <color indexed="81"/>
            <rFont val="Tahoma"/>
            <family val="2"/>
          </rPr>
          <t xml:space="preserve">
assumed</t>
        </r>
      </text>
    </comment>
    <comment ref="DL72" authorId="0" shapeId="0" xr:uid="{98DA4226-42FD-4841-91B5-92B798F6E98A}">
      <text>
        <r>
          <rPr>
            <b/>
            <sz val="9"/>
            <color indexed="81"/>
            <rFont val="Tahoma"/>
            <family val="2"/>
          </rPr>
          <t>Gavin Mudd:</t>
        </r>
        <r>
          <rPr>
            <sz val="9"/>
            <color indexed="81"/>
            <rFont val="Tahoma"/>
            <family val="2"/>
          </rPr>
          <t xml:space="preserve">
assumed</t>
        </r>
      </text>
    </comment>
    <comment ref="DM72" authorId="0" shapeId="0" xr:uid="{30CEFA9A-13E7-4073-A7F0-87F25CB02AC5}">
      <text>
        <r>
          <rPr>
            <b/>
            <sz val="9"/>
            <color indexed="81"/>
            <rFont val="Tahoma"/>
            <family val="2"/>
          </rPr>
          <t>Gavin Mudd:</t>
        </r>
        <r>
          <rPr>
            <sz val="9"/>
            <color indexed="81"/>
            <rFont val="Tahoma"/>
            <family val="2"/>
          </rPr>
          <t xml:space="preserve">
assumed</t>
        </r>
      </text>
    </comment>
    <comment ref="W73" authorId="0" shapeId="0" xr:uid="{556FDD91-DD06-490E-8855-8A80BFEE9992}">
      <text>
        <r>
          <rPr>
            <b/>
            <sz val="9"/>
            <color indexed="81"/>
            <rFont val="Tahoma"/>
            <family val="2"/>
          </rPr>
          <t>Gavin Mudd:</t>
        </r>
        <r>
          <rPr>
            <sz val="9"/>
            <color indexed="81"/>
            <rFont val="Tahoma"/>
            <family val="2"/>
          </rPr>
          <t xml:space="preserve">
assumed</t>
        </r>
      </text>
    </comment>
    <comment ref="Y73" authorId="0" shapeId="0" xr:uid="{08110ADE-E4C1-4DB7-AE61-D9942E1CF138}">
      <text>
        <r>
          <rPr>
            <b/>
            <sz val="9"/>
            <color indexed="81"/>
            <rFont val="Tahoma"/>
            <family val="2"/>
          </rPr>
          <t>Gavin Mudd:</t>
        </r>
        <r>
          <rPr>
            <sz val="9"/>
            <color indexed="81"/>
            <rFont val="Tahoma"/>
            <family val="2"/>
          </rPr>
          <t xml:space="preserve">
assumed</t>
        </r>
      </text>
    </comment>
    <comment ref="AA73" authorId="0" shapeId="0" xr:uid="{C9383629-BA18-4532-9133-7A8428BCEC8F}">
      <text>
        <r>
          <rPr>
            <b/>
            <sz val="9"/>
            <color indexed="81"/>
            <rFont val="Tahoma"/>
            <family val="2"/>
          </rPr>
          <t>Gavin Mudd:</t>
        </r>
        <r>
          <rPr>
            <sz val="9"/>
            <color indexed="81"/>
            <rFont val="Tahoma"/>
            <family val="2"/>
          </rPr>
          <t xml:space="preserve">
assumed</t>
        </r>
      </text>
    </comment>
    <comment ref="AG73" authorId="0" shapeId="0" xr:uid="{EBF22065-F7E6-4EDB-A19A-626E3EF84F8A}">
      <text>
        <r>
          <rPr>
            <b/>
            <sz val="9"/>
            <color indexed="81"/>
            <rFont val="Tahoma"/>
            <family val="2"/>
          </rPr>
          <t>Gavin Mudd:</t>
        </r>
        <r>
          <rPr>
            <sz val="9"/>
            <color indexed="81"/>
            <rFont val="Tahoma"/>
            <family val="2"/>
          </rPr>
          <t xml:space="preserve">
assumed</t>
        </r>
      </text>
    </comment>
    <comment ref="AK73" authorId="0" shapeId="0" xr:uid="{F9FF4A48-8019-41E8-A170-54350C6C1706}">
      <text>
        <r>
          <rPr>
            <b/>
            <sz val="9"/>
            <color indexed="81"/>
            <rFont val="Tahoma"/>
            <family val="2"/>
          </rPr>
          <t>Gavin Mudd:</t>
        </r>
        <r>
          <rPr>
            <sz val="9"/>
            <color indexed="81"/>
            <rFont val="Tahoma"/>
            <family val="2"/>
          </rPr>
          <t xml:space="preserve">
assumed</t>
        </r>
      </text>
    </comment>
    <comment ref="AM73" authorId="0" shapeId="0" xr:uid="{403CFE23-60CF-455A-B716-82186AA6BED8}">
      <text>
        <r>
          <rPr>
            <b/>
            <sz val="9"/>
            <color indexed="81"/>
            <rFont val="Tahoma"/>
            <family val="2"/>
          </rPr>
          <t>Gavin Mudd:</t>
        </r>
        <r>
          <rPr>
            <sz val="9"/>
            <color indexed="81"/>
            <rFont val="Tahoma"/>
            <family val="2"/>
          </rPr>
          <t xml:space="preserve">
assumed</t>
        </r>
      </text>
    </comment>
    <comment ref="AO73" authorId="0" shapeId="0" xr:uid="{43E12158-3637-45CA-B2CC-FD0FFF1460D9}">
      <text>
        <r>
          <rPr>
            <b/>
            <sz val="9"/>
            <color indexed="81"/>
            <rFont val="Tahoma"/>
            <family val="2"/>
          </rPr>
          <t>Gavin Mudd:</t>
        </r>
        <r>
          <rPr>
            <sz val="9"/>
            <color indexed="81"/>
            <rFont val="Tahoma"/>
            <family val="2"/>
          </rPr>
          <t xml:space="preserve">
assumed</t>
        </r>
      </text>
    </comment>
    <comment ref="AQ73" authorId="0" shapeId="0" xr:uid="{B5B595E2-AF41-49FA-9C74-BA5817437EB4}">
      <text>
        <r>
          <rPr>
            <b/>
            <sz val="9"/>
            <color indexed="81"/>
            <rFont val="Tahoma"/>
            <family val="2"/>
          </rPr>
          <t>Gavin Mudd:</t>
        </r>
        <r>
          <rPr>
            <sz val="9"/>
            <color indexed="81"/>
            <rFont val="Tahoma"/>
            <family val="2"/>
          </rPr>
          <t xml:space="preserve">
assumed</t>
        </r>
      </text>
    </comment>
    <comment ref="AU73" authorId="0" shapeId="0" xr:uid="{285DD918-0FC6-487F-B6C3-690BE28DD6EB}">
      <text>
        <r>
          <rPr>
            <b/>
            <sz val="9"/>
            <color indexed="81"/>
            <rFont val="Tahoma"/>
            <family val="2"/>
          </rPr>
          <t>Gavin Mudd:</t>
        </r>
        <r>
          <rPr>
            <sz val="9"/>
            <color indexed="81"/>
            <rFont val="Tahoma"/>
            <family val="2"/>
          </rPr>
          <t xml:space="preserve">
assumed</t>
        </r>
      </text>
    </comment>
    <comment ref="BA73" authorId="0" shapeId="0" xr:uid="{88923A64-121B-4858-8690-537CF045EBAA}">
      <text>
        <r>
          <rPr>
            <b/>
            <sz val="9"/>
            <color indexed="81"/>
            <rFont val="Tahoma"/>
            <family val="2"/>
          </rPr>
          <t>Gavin Mudd:</t>
        </r>
        <r>
          <rPr>
            <sz val="9"/>
            <color indexed="81"/>
            <rFont val="Tahoma"/>
            <family val="2"/>
          </rPr>
          <t xml:space="preserve">
assumed</t>
        </r>
      </text>
    </comment>
    <comment ref="BB73" authorId="0" shapeId="0" xr:uid="{A484A880-67A1-41F0-86C8-1283A9F80304}">
      <text>
        <r>
          <rPr>
            <b/>
            <sz val="9"/>
            <color indexed="81"/>
            <rFont val="Tahoma"/>
            <family val="2"/>
          </rPr>
          <t>Gavin Mudd:</t>
        </r>
        <r>
          <rPr>
            <sz val="9"/>
            <color indexed="81"/>
            <rFont val="Tahoma"/>
            <family val="2"/>
          </rPr>
          <t xml:space="preserve">
assumed</t>
        </r>
      </text>
    </comment>
    <comment ref="CD73" authorId="0" shapeId="0" xr:uid="{C0D71BC0-70C0-4D69-B16D-A2604E60F75A}">
      <text>
        <r>
          <rPr>
            <b/>
            <sz val="9"/>
            <color indexed="81"/>
            <rFont val="Tahoma"/>
            <family val="2"/>
          </rPr>
          <t>Gavin Mudd:</t>
        </r>
        <r>
          <rPr>
            <sz val="9"/>
            <color indexed="81"/>
            <rFont val="Tahoma"/>
            <family val="2"/>
          </rPr>
          <t xml:space="preserve">
assumed</t>
        </r>
      </text>
    </comment>
    <comment ref="CE73" authorId="0" shapeId="0" xr:uid="{D12E2FFE-14E6-424C-A34F-CA5ED290B40E}">
      <text>
        <r>
          <rPr>
            <b/>
            <sz val="9"/>
            <color indexed="81"/>
            <rFont val="Tahoma"/>
            <family val="2"/>
          </rPr>
          <t>Gavin Mudd:</t>
        </r>
        <r>
          <rPr>
            <sz val="9"/>
            <color indexed="81"/>
            <rFont val="Tahoma"/>
            <family val="2"/>
          </rPr>
          <t xml:space="preserve">
assumed</t>
        </r>
      </text>
    </comment>
    <comment ref="CJ73" authorId="0" shapeId="0" xr:uid="{AD92AF18-B5FF-41C9-A3BF-C87F04E5FEA6}">
      <text>
        <r>
          <rPr>
            <b/>
            <sz val="9"/>
            <color indexed="81"/>
            <rFont val="Tahoma"/>
            <family val="2"/>
          </rPr>
          <t>Gavin Mudd:</t>
        </r>
        <r>
          <rPr>
            <sz val="9"/>
            <color indexed="81"/>
            <rFont val="Tahoma"/>
            <family val="2"/>
          </rPr>
          <t xml:space="preserve">
assumed</t>
        </r>
      </text>
    </comment>
    <comment ref="CK73" authorId="0" shapeId="0" xr:uid="{84B043B6-7382-4F6B-A6D7-272CD8721019}">
      <text>
        <r>
          <rPr>
            <b/>
            <sz val="9"/>
            <color indexed="81"/>
            <rFont val="Tahoma"/>
            <family val="2"/>
          </rPr>
          <t>Gavin Mudd:</t>
        </r>
        <r>
          <rPr>
            <sz val="9"/>
            <color indexed="81"/>
            <rFont val="Tahoma"/>
            <family val="2"/>
          </rPr>
          <t xml:space="preserve">
assumed</t>
        </r>
      </text>
    </comment>
    <comment ref="CO73" authorId="0" shapeId="0" xr:uid="{DD2CAA29-565B-47B6-A35B-35CDCCCB98B1}">
      <text>
        <r>
          <rPr>
            <b/>
            <sz val="9"/>
            <color indexed="81"/>
            <rFont val="Tahoma"/>
            <family val="2"/>
          </rPr>
          <t>Gavin Mudd:</t>
        </r>
        <r>
          <rPr>
            <sz val="9"/>
            <color indexed="81"/>
            <rFont val="Tahoma"/>
            <family val="2"/>
          </rPr>
          <t xml:space="preserve">
assumed</t>
        </r>
      </text>
    </comment>
    <comment ref="CP73" authorId="0" shapeId="0" xr:uid="{76B5D959-0E31-4D0D-BA16-6D158364FA69}">
      <text>
        <r>
          <rPr>
            <b/>
            <sz val="9"/>
            <color indexed="81"/>
            <rFont val="Tahoma"/>
            <family val="2"/>
          </rPr>
          <t>Gavin Mudd:</t>
        </r>
        <r>
          <rPr>
            <sz val="9"/>
            <color indexed="81"/>
            <rFont val="Tahoma"/>
            <family val="2"/>
          </rPr>
          <t xml:space="preserve">
assumed</t>
        </r>
      </text>
    </comment>
    <comment ref="DL73" authorId="0" shapeId="0" xr:uid="{706F0A31-B58D-4649-A588-FF834A33C069}">
      <text>
        <r>
          <rPr>
            <b/>
            <sz val="9"/>
            <color indexed="81"/>
            <rFont val="Tahoma"/>
            <family val="2"/>
          </rPr>
          <t>Gavin Mudd:</t>
        </r>
        <r>
          <rPr>
            <sz val="9"/>
            <color indexed="81"/>
            <rFont val="Tahoma"/>
            <family val="2"/>
          </rPr>
          <t xml:space="preserve">
assumed</t>
        </r>
      </text>
    </comment>
    <comment ref="DM73" authorId="0" shapeId="0" xr:uid="{4F2A564A-CD29-4BD1-A8AB-559296870806}">
      <text>
        <r>
          <rPr>
            <b/>
            <sz val="9"/>
            <color indexed="81"/>
            <rFont val="Tahoma"/>
            <family val="2"/>
          </rPr>
          <t>Gavin Mudd:</t>
        </r>
        <r>
          <rPr>
            <sz val="9"/>
            <color indexed="81"/>
            <rFont val="Tahoma"/>
            <family val="2"/>
          </rPr>
          <t xml:space="preserve">
assumed</t>
        </r>
      </text>
    </comment>
    <comment ref="Q74" authorId="0" shapeId="0" xr:uid="{80504F1C-C3A0-49D4-9C60-B57179057779}">
      <text>
        <r>
          <rPr>
            <b/>
            <sz val="9"/>
            <color indexed="81"/>
            <rFont val="Tahoma"/>
            <family val="2"/>
          </rPr>
          <t>Gavin Mudd:</t>
        </r>
        <r>
          <rPr>
            <sz val="9"/>
            <color indexed="81"/>
            <rFont val="Tahoma"/>
            <family val="2"/>
          </rPr>
          <t xml:space="preserve">
assumed</t>
        </r>
      </text>
    </comment>
    <comment ref="W74" authorId="0" shapeId="0" xr:uid="{1B8A5459-47AB-488F-BE76-1F1D25D41E76}">
      <text>
        <r>
          <rPr>
            <b/>
            <sz val="9"/>
            <color indexed="81"/>
            <rFont val="Tahoma"/>
            <family val="2"/>
          </rPr>
          <t>Gavin Mudd:</t>
        </r>
        <r>
          <rPr>
            <sz val="9"/>
            <color indexed="81"/>
            <rFont val="Tahoma"/>
            <family val="2"/>
          </rPr>
          <t xml:space="preserve">
assumed</t>
        </r>
      </text>
    </comment>
    <comment ref="Y74" authorId="0" shapeId="0" xr:uid="{3D0850E0-C047-43E2-B63E-13B634280ADF}">
      <text>
        <r>
          <rPr>
            <b/>
            <sz val="9"/>
            <color indexed="81"/>
            <rFont val="Tahoma"/>
            <family val="2"/>
          </rPr>
          <t>Gavin Mudd:</t>
        </r>
        <r>
          <rPr>
            <sz val="9"/>
            <color indexed="81"/>
            <rFont val="Tahoma"/>
            <family val="2"/>
          </rPr>
          <t xml:space="preserve">
assumed</t>
        </r>
      </text>
    </comment>
    <comment ref="AA74" authorId="0" shapeId="0" xr:uid="{61A553C5-C7CC-4CDF-84BE-71E2EC0F7E0D}">
      <text>
        <r>
          <rPr>
            <b/>
            <sz val="9"/>
            <color indexed="81"/>
            <rFont val="Tahoma"/>
            <family val="2"/>
          </rPr>
          <t>Gavin Mudd:</t>
        </r>
        <r>
          <rPr>
            <sz val="9"/>
            <color indexed="81"/>
            <rFont val="Tahoma"/>
            <family val="2"/>
          </rPr>
          <t xml:space="preserve">
assumed</t>
        </r>
      </text>
    </comment>
    <comment ref="AG74" authorId="0" shapeId="0" xr:uid="{A936D50A-5179-493B-8F08-AC8D133D6DD8}">
      <text>
        <r>
          <rPr>
            <b/>
            <sz val="9"/>
            <color indexed="81"/>
            <rFont val="Tahoma"/>
            <family val="2"/>
          </rPr>
          <t>Gavin Mudd:</t>
        </r>
        <r>
          <rPr>
            <sz val="9"/>
            <color indexed="81"/>
            <rFont val="Tahoma"/>
            <family val="2"/>
          </rPr>
          <t xml:space="preserve">
assumed</t>
        </r>
      </text>
    </comment>
    <comment ref="AH74" authorId="0" shapeId="0" xr:uid="{7EF0B61A-F881-4AE3-AE00-A0E391AD426E}">
      <text>
        <r>
          <rPr>
            <b/>
            <sz val="9"/>
            <color indexed="81"/>
            <rFont val="Tahoma"/>
            <family val="2"/>
          </rPr>
          <t>Gavin Mudd:</t>
        </r>
        <r>
          <rPr>
            <sz val="9"/>
            <color indexed="81"/>
            <rFont val="Tahoma"/>
            <family val="2"/>
          </rPr>
          <t xml:space="preserve">
Bingara</t>
        </r>
      </text>
    </comment>
    <comment ref="AI74" authorId="0" shapeId="0" xr:uid="{9762D187-CD0E-49E8-8373-90A48C8162CE}">
      <text>
        <r>
          <rPr>
            <b/>
            <sz val="9"/>
            <color indexed="81"/>
            <rFont val="Tahoma"/>
            <family val="2"/>
          </rPr>
          <t>Gavin Mudd:</t>
        </r>
        <r>
          <rPr>
            <sz val="9"/>
            <color indexed="81"/>
            <rFont val="Tahoma"/>
            <family val="2"/>
          </rPr>
          <t xml:space="preserve">
assumed</t>
        </r>
      </text>
    </comment>
    <comment ref="AK74" authorId="0" shapeId="0" xr:uid="{C97398B1-AF1D-4FCD-ACA6-3CC5FEC2AD83}">
      <text>
        <r>
          <rPr>
            <b/>
            <sz val="9"/>
            <color indexed="81"/>
            <rFont val="Tahoma"/>
            <family val="2"/>
          </rPr>
          <t>Gavin Mudd:</t>
        </r>
        <r>
          <rPr>
            <sz val="9"/>
            <color indexed="81"/>
            <rFont val="Tahoma"/>
            <family val="2"/>
          </rPr>
          <t xml:space="preserve">
assumed</t>
        </r>
      </text>
    </comment>
    <comment ref="AM74" authorId="0" shapeId="0" xr:uid="{B58A88E4-4622-4E31-81C7-726D419FA0B6}">
      <text>
        <r>
          <rPr>
            <b/>
            <sz val="9"/>
            <color indexed="81"/>
            <rFont val="Tahoma"/>
            <family val="2"/>
          </rPr>
          <t>Gavin Mudd:</t>
        </r>
        <r>
          <rPr>
            <sz val="9"/>
            <color indexed="81"/>
            <rFont val="Tahoma"/>
            <family val="2"/>
          </rPr>
          <t xml:space="preserve">
assumed</t>
        </r>
      </text>
    </comment>
    <comment ref="AO74" authorId="0" shapeId="0" xr:uid="{1BB6A9F5-086C-4CD5-9773-FD696A8597EB}">
      <text>
        <r>
          <rPr>
            <b/>
            <sz val="9"/>
            <color indexed="81"/>
            <rFont val="Tahoma"/>
            <family val="2"/>
          </rPr>
          <t>Gavin Mudd:</t>
        </r>
        <r>
          <rPr>
            <sz val="9"/>
            <color indexed="81"/>
            <rFont val="Tahoma"/>
            <family val="2"/>
          </rPr>
          <t xml:space="preserve">
assumed</t>
        </r>
      </text>
    </comment>
    <comment ref="AQ74" authorId="0" shapeId="0" xr:uid="{CD5C1BF5-97BE-41FA-A401-31E5B6B28B70}">
      <text>
        <r>
          <rPr>
            <b/>
            <sz val="9"/>
            <color indexed="81"/>
            <rFont val="Tahoma"/>
            <family val="2"/>
          </rPr>
          <t>Gavin Mudd:</t>
        </r>
        <r>
          <rPr>
            <sz val="9"/>
            <color indexed="81"/>
            <rFont val="Tahoma"/>
            <family val="2"/>
          </rPr>
          <t xml:space="preserve">
assumed</t>
        </r>
      </text>
    </comment>
    <comment ref="AU74" authorId="0" shapeId="0" xr:uid="{AFCD0E5F-AC79-4A37-893D-4D5C50484FD8}">
      <text>
        <r>
          <rPr>
            <b/>
            <sz val="9"/>
            <color indexed="81"/>
            <rFont val="Tahoma"/>
            <family val="2"/>
          </rPr>
          <t>Gavin Mudd:</t>
        </r>
        <r>
          <rPr>
            <sz val="9"/>
            <color indexed="81"/>
            <rFont val="Tahoma"/>
            <family val="2"/>
          </rPr>
          <t xml:space="preserve">
assumed</t>
        </r>
      </text>
    </comment>
    <comment ref="BA74" authorId="0" shapeId="0" xr:uid="{CB4EAE54-7B36-46CC-B4D8-2BAFBFEDA720}">
      <text>
        <r>
          <rPr>
            <b/>
            <sz val="9"/>
            <color indexed="81"/>
            <rFont val="Tahoma"/>
            <family val="2"/>
          </rPr>
          <t>Gavin Mudd:</t>
        </r>
        <r>
          <rPr>
            <sz val="9"/>
            <color indexed="81"/>
            <rFont val="Tahoma"/>
            <family val="2"/>
          </rPr>
          <t xml:space="preserve">
assumed</t>
        </r>
      </text>
    </comment>
    <comment ref="BB74" authorId="0" shapeId="0" xr:uid="{8028C11D-28A4-4292-AA53-8044970F910A}">
      <text>
        <r>
          <rPr>
            <b/>
            <sz val="9"/>
            <color indexed="81"/>
            <rFont val="Tahoma"/>
            <family val="2"/>
          </rPr>
          <t>Gavin Mudd:</t>
        </r>
        <r>
          <rPr>
            <sz val="9"/>
            <color indexed="81"/>
            <rFont val="Tahoma"/>
            <family val="2"/>
          </rPr>
          <t xml:space="preserve">
assumed</t>
        </r>
      </text>
    </comment>
    <comment ref="CD74" authorId="0" shapeId="0" xr:uid="{AB6507F8-F3B4-4816-BAF8-AE6DBB011D55}">
      <text>
        <r>
          <rPr>
            <b/>
            <sz val="9"/>
            <color indexed="81"/>
            <rFont val="Tahoma"/>
            <family val="2"/>
          </rPr>
          <t>Gavin Mudd:</t>
        </r>
        <r>
          <rPr>
            <sz val="9"/>
            <color indexed="81"/>
            <rFont val="Tahoma"/>
            <family val="2"/>
          </rPr>
          <t xml:space="preserve">
assumed</t>
        </r>
      </text>
    </comment>
    <comment ref="CE74" authorId="0" shapeId="0" xr:uid="{79CB6C7D-DFAB-44CE-A01F-D67F7BF52E65}">
      <text>
        <r>
          <rPr>
            <b/>
            <sz val="9"/>
            <color indexed="81"/>
            <rFont val="Tahoma"/>
            <family val="2"/>
          </rPr>
          <t>Gavin Mudd:</t>
        </r>
        <r>
          <rPr>
            <sz val="9"/>
            <color indexed="81"/>
            <rFont val="Tahoma"/>
            <family val="2"/>
          </rPr>
          <t xml:space="preserve">
assumed</t>
        </r>
      </text>
    </comment>
    <comment ref="CJ74" authorId="0" shapeId="0" xr:uid="{D1C61527-3C6A-437B-BC4E-9881EC7F1BBF}">
      <text>
        <r>
          <rPr>
            <b/>
            <sz val="9"/>
            <color indexed="81"/>
            <rFont val="Tahoma"/>
            <family val="2"/>
          </rPr>
          <t>Gavin Mudd:</t>
        </r>
        <r>
          <rPr>
            <sz val="9"/>
            <color indexed="81"/>
            <rFont val="Tahoma"/>
            <family val="2"/>
          </rPr>
          <t xml:space="preserve">
assumed</t>
        </r>
      </text>
    </comment>
    <comment ref="CK74" authorId="0" shapeId="0" xr:uid="{9825E16D-3B66-460B-B7B2-7B7D25D7CAEA}">
      <text>
        <r>
          <rPr>
            <b/>
            <sz val="9"/>
            <color indexed="81"/>
            <rFont val="Tahoma"/>
            <family val="2"/>
          </rPr>
          <t>Gavin Mudd:</t>
        </r>
        <r>
          <rPr>
            <sz val="9"/>
            <color indexed="81"/>
            <rFont val="Tahoma"/>
            <family val="2"/>
          </rPr>
          <t xml:space="preserve">
assumed</t>
        </r>
      </text>
    </comment>
    <comment ref="CO74" authorId="0" shapeId="0" xr:uid="{7C1538CE-EA9E-49D0-8B65-947F35ADA03F}">
      <text>
        <r>
          <rPr>
            <b/>
            <sz val="9"/>
            <color indexed="81"/>
            <rFont val="Tahoma"/>
            <family val="2"/>
          </rPr>
          <t>Gavin Mudd:</t>
        </r>
        <r>
          <rPr>
            <sz val="9"/>
            <color indexed="81"/>
            <rFont val="Tahoma"/>
            <family val="2"/>
          </rPr>
          <t xml:space="preserve">
assumed</t>
        </r>
      </text>
    </comment>
    <comment ref="CP74" authorId="0" shapeId="0" xr:uid="{B8383610-581B-49ED-9FF8-6673207EEBCF}">
      <text>
        <r>
          <rPr>
            <b/>
            <sz val="9"/>
            <color indexed="81"/>
            <rFont val="Tahoma"/>
            <family val="2"/>
          </rPr>
          <t>Gavin Mudd:</t>
        </r>
        <r>
          <rPr>
            <sz val="9"/>
            <color indexed="81"/>
            <rFont val="Tahoma"/>
            <family val="2"/>
          </rPr>
          <t xml:space="preserve">
assumed</t>
        </r>
      </text>
    </comment>
    <comment ref="DL74" authorId="0" shapeId="0" xr:uid="{B2B8557D-B506-4D2D-9B95-D84F93664EA6}">
      <text>
        <r>
          <rPr>
            <b/>
            <sz val="9"/>
            <color indexed="81"/>
            <rFont val="Tahoma"/>
            <family val="2"/>
          </rPr>
          <t>Gavin Mudd:</t>
        </r>
        <r>
          <rPr>
            <sz val="9"/>
            <color indexed="81"/>
            <rFont val="Tahoma"/>
            <family val="2"/>
          </rPr>
          <t xml:space="preserve">
assumed</t>
        </r>
      </text>
    </comment>
    <comment ref="DM74" authorId="0" shapeId="0" xr:uid="{02358A89-F7F7-469B-A0E7-5DC9CE45CAE5}">
      <text>
        <r>
          <rPr>
            <b/>
            <sz val="9"/>
            <color indexed="81"/>
            <rFont val="Tahoma"/>
            <family val="2"/>
          </rPr>
          <t>Gavin Mudd:</t>
        </r>
        <r>
          <rPr>
            <sz val="9"/>
            <color indexed="81"/>
            <rFont val="Tahoma"/>
            <family val="2"/>
          </rPr>
          <t xml:space="preserve">
assumed</t>
        </r>
      </text>
    </comment>
    <comment ref="Q75" authorId="0" shapeId="0" xr:uid="{E676409D-A1B0-448C-B56E-D40456CB417C}">
      <text>
        <r>
          <rPr>
            <b/>
            <sz val="9"/>
            <color indexed="81"/>
            <rFont val="Tahoma"/>
            <family val="2"/>
          </rPr>
          <t>Gavin Mudd:</t>
        </r>
        <r>
          <rPr>
            <sz val="9"/>
            <color indexed="81"/>
            <rFont val="Tahoma"/>
            <family val="2"/>
          </rPr>
          <t xml:space="preserve">
assumed</t>
        </r>
      </text>
    </comment>
    <comment ref="W75" authorId="0" shapeId="0" xr:uid="{0367B645-7EDF-46C7-8A1A-2EF7F870B971}">
      <text>
        <r>
          <rPr>
            <b/>
            <sz val="9"/>
            <color indexed="81"/>
            <rFont val="Tahoma"/>
            <family val="2"/>
          </rPr>
          <t>Gavin Mudd:</t>
        </r>
        <r>
          <rPr>
            <sz val="9"/>
            <color indexed="81"/>
            <rFont val="Tahoma"/>
            <family val="2"/>
          </rPr>
          <t xml:space="preserve">
assumed</t>
        </r>
      </text>
    </comment>
    <comment ref="Y75" authorId="0" shapeId="0" xr:uid="{AE01BF90-8DA4-4B7C-A619-53FE8DE3AF6D}">
      <text>
        <r>
          <rPr>
            <b/>
            <sz val="9"/>
            <color indexed="81"/>
            <rFont val="Tahoma"/>
            <family val="2"/>
          </rPr>
          <t>Gavin Mudd:</t>
        </r>
        <r>
          <rPr>
            <sz val="9"/>
            <color indexed="81"/>
            <rFont val="Tahoma"/>
            <family val="2"/>
          </rPr>
          <t xml:space="preserve">
assumed</t>
        </r>
      </text>
    </comment>
    <comment ref="AA75" authorId="0" shapeId="0" xr:uid="{41DD1D34-D0BE-4898-ADC1-8C2C9025B445}">
      <text>
        <r>
          <rPr>
            <b/>
            <sz val="9"/>
            <color indexed="81"/>
            <rFont val="Tahoma"/>
            <family val="2"/>
          </rPr>
          <t>Gavin Mudd:</t>
        </r>
        <r>
          <rPr>
            <sz val="9"/>
            <color indexed="81"/>
            <rFont val="Tahoma"/>
            <family val="2"/>
          </rPr>
          <t xml:space="preserve">
assumed</t>
        </r>
      </text>
    </comment>
    <comment ref="AG75" authorId="0" shapeId="0" xr:uid="{EC3EBEB2-206D-4D24-B068-49744671FFC4}">
      <text>
        <r>
          <rPr>
            <b/>
            <sz val="9"/>
            <color indexed="81"/>
            <rFont val="Tahoma"/>
            <family val="2"/>
          </rPr>
          <t>Gavin Mudd:</t>
        </r>
        <r>
          <rPr>
            <sz val="9"/>
            <color indexed="81"/>
            <rFont val="Tahoma"/>
            <family val="2"/>
          </rPr>
          <t xml:space="preserve">
assumed</t>
        </r>
      </text>
    </comment>
    <comment ref="AK75" authorId="0" shapeId="0" xr:uid="{D89BA875-C11F-4B5B-B5C1-E7BC7BE559ED}">
      <text>
        <r>
          <rPr>
            <b/>
            <sz val="9"/>
            <color indexed="81"/>
            <rFont val="Tahoma"/>
            <family val="2"/>
          </rPr>
          <t>Gavin Mudd:</t>
        </r>
        <r>
          <rPr>
            <sz val="9"/>
            <color indexed="81"/>
            <rFont val="Tahoma"/>
            <family val="2"/>
          </rPr>
          <t xml:space="preserve">
assumed</t>
        </r>
      </text>
    </comment>
    <comment ref="AM75" authorId="0" shapeId="0" xr:uid="{2A5E649A-4707-4DA3-9384-E7EC103FC553}">
      <text>
        <r>
          <rPr>
            <b/>
            <sz val="9"/>
            <color indexed="81"/>
            <rFont val="Tahoma"/>
            <family val="2"/>
          </rPr>
          <t>Gavin Mudd:</t>
        </r>
        <r>
          <rPr>
            <sz val="9"/>
            <color indexed="81"/>
            <rFont val="Tahoma"/>
            <family val="2"/>
          </rPr>
          <t xml:space="preserve">
assumed</t>
        </r>
      </text>
    </comment>
    <comment ref="AO75" authorId="0" shapeId="0" xr:uid="{0825DB00-CC08-4CE5-8876-6AF157FAB25F}">
      <text>
        <r>
          <rPr>
            <b/>
            <sz val="9"/>
            <color indexed="81"/>
            <rFont val="Tahoma"/>
            <family val="2"/>
          </rPr>
          <t>Gavin Mudd:</t>
        </r>
        <r>
          <rPr>
            <sz val="9"/>
            <color indexed="81"/>
            <rFont val="Tahoma"/>
            <family val="2"/>
          </rPr>
          <t xml:space="preserve">
assumed</t>
        </r>
      </text>
    </comment>
    <comment ref="AQ75" authorId="0" shapeId="0" xr:uid="{3692D002-0498-40E0-BBAF-5B2C08D65687}">
      <text>
        <r>
          <rPr>
            <b/>
            <sz val="9"/>
            <color indexed="81"/>
            <rFont val="Tahoma"/>
            <family val="2"/>
          </rPr>
          <t>Gavin Mudd:</t>
        </r>
        <r>
          <rPr>
            <sz val="9"/>
            <color indexed="81"/>
            <rFont val="Tahoma"/>
            <family val="2"/>
          </rPr>
          <t xml:space="preserve">
assumed</t>
        </r>
      </text>
    </comment>
    <comment ref="AU75" authorId="0" shapeId="0" xr:uid="{EDE351C1-4BDE-48CA-AB19-4BCD6D5B7084}">
      <text>
        <r>
          <rPr>
            <b/>
            <sz val="9"/>
            <color indexed="81"/>
            <rFont val="Tahoma"/>
            <family val="2"/>
          </rPr>
          <t>Gavin Mudd:</t>
        </r>
        <r>
          <rPr>
            <sz val="9"/>
            <color indexed="81"/>
            <rFont val="Tahoma"/>
            <family val="2"/>
          </rPr>
          <t xml:space="preserve">
assumed</t>
        </r>
      </text>
    </comment>
    <comment ref="BA75" authorId="0" shapeId="0" xr:uid="{DC181949-E69A-412E-96FE-EDD0EC0121AC}">
      <text>
        <r>
          <rPr>
            <b/>
            <sz val="9"/>
            <color indexed="81"/>
            <rFont val="Tahoma"/>
            <family val="2"/>
          </rPr>
          <t>Gavin Mudd:</t>
        </r>
        <r>
          <rPr>
            <sz val="9"/>
            <color indexed="81"/>
            <rFont val="Tahoma"/>
            <family val="2"/>
          </rPr>
          <t xml:space="preserve">
assumed</t>
        </r>
      </text>
    </comment>
    <comment ref="BB75" authorId="0" shapeId="0" xr:uid="{3EC13803-C47C-479B-90B8-57E6523D45DB}">
      <text>
        <r>
          <rPr>
            <b/>
            <sz val="9"/>
            <color indexed="81"/>
            <rFont val="Tahoma"/>
            <family val="2"/>
          </rPr>
          <t>Gavin Mudd:</t>
        </r>
        <r>
          <rPr>
            <sz val="9"/>
            <color indexed="81"/>
            <rFont val="Tahoma"/>
            <family val="2"/>
          </rPr>
          <t xml:space="preserve">
assumed</t>
        </r>
      </text>
    </comment>
    <comment ref="CD75" authorId="0" shapeId="0" xr:uid="{50261C79-AB89-4540-8B1A-FDF00BC28FDA}">
      <text>
        <r>
          <rPr>
            <b/>
            <sz val="9"/>
            <color indexed="81"/>
            <rFont val="Tahoma"/>
            <family val="2"/>
          </rPr>
          <t>Gavin Mudd:</t>
        </r>
        <r>
          <rPr>
            <sz val="9"/>
            <color indexed="81"/>
            <rFont val="Tahoma"/>
            <family val="2"/>
          </rPr>
          <t xml:space="preserve">
assumed</t>
        </r>
      </text>
    </comment>
    <comment ref="CE75" authorId="0" shapeId="0" xr:uid="{F1DEA5BE-A8E1-46E3-A815-3E745D2DF251}">
      <text>
        <r>
          <rPr>
            <b/>
            <sz val="9"/>
            <color indexed="81"/>
            <rFont val="Tahoma"/>
            <family val="2"/>
          </rPr>
          <t>Gavin Mudd:</t>
        </r>
        <r>
          <rPr>
            <sz val="9"/>
            <color indexed="81"/>
            <rFont val="Tahoma"/>
            <family val="2"/>
          </rPr>
          <t xml:space="preserve">
assumed</t>
        </r>
      </text>
    </comment>
    <comment ref="CJ75" authorId="0" shapeId="0" xr:uid="{77193B49-D781-4B1F-98CE-DBEF7A3E6AE4}">
      <text>
        <r>
          <rPr>
            <b/>
            <sz val="9"/>
            <color indexed="81"/>
            <rFont val="Tahoma"/>
            <family val="2"/>
          </rPr>
          <t>Gavin Mudd:</t>
        </r>
        <r>
          <rPr>
            <sz val="9"/>
            <color indexed="81"/>
            <rFont val="Tahoma"/>
            <family val="2"/>
          </rPr>
          <t xml:space="preserve">
assumed</t>
        </r>
      </text>
    </comment>
    <comment ref="CK75" authorId="0" shapeId="0" xr:uid="{0EB1FC23-804F-43BD-9727-2C4E9D009558}">
      <text>
        <r>
          <rPr>
            <b/>
            <sz val="9"/>
            <color indexed="81"/>
            <rFont val="Tahoma"/>
            <family val="2"/>
          </rPr>
          <t>Gavin Mudd:</t>
        </r>
        <r>
          <rPr>
            <sz val="9"/>
            <color indexed="81"/>
            <rFont val="Tahoma"/>
            <family val="2"/>
          </rPr>
          <t xml:space="preserve">
assumed</t>
        </r>
      </text>
    </comment>
    <comment ref="CO75" authorId="0" shapeId="0" xr:uid="{A518BAC9-74CE-4563-B6F1-730332270C06}">
      <text>
        <r>
          <rPr>
            <b/>
            <sz val="9"/>
            <color indexed="81"/>
            <rFont val="Tahoma"/>
            <family val="2"/>
          </rPr>
          <t>Gavin Mudd:</t>
        </r>
        <r>
          <rPr>
            <sz val="9"/>
            <color indexed="81"/>
            <rFont val="Tahoma"/>
            <family val="2"/>
          </rPr>
          <t xml:space="preserve">
assumed</t>
        </r>
      </text>
    </comment>
    <comment ref="CP75" authorId="0" shapeId="0" xr:uid="{0DCFA472-A9E4-4D02-BD5B-4AA8D3F7D9CC}">
      <text>
        <r>
          <rPr>
            <b/>
            <sz val="9"/>
            <color indexed="81"/>
            <rFont val="Tahoma"/>
            <family val="2"/>
          </rPr>
          <t>Gavin Mudd:</t>
        </r>
        <r>
          <rPr>
            <sz val="9"/>
            <color indexed="81"/>
            <rFont val="Tahoma"/>
            <family val="2"/>
          </rPr>
          <t xml:space="preserve">
assumed</t>
        </r>
      </text>
    </comment>
    <comment ref="DL75" authorId="0" shapeId="0" xr:uid="{ADDA75B5-F3F3-42B6-8D6E-9961B18BF3B1}">
      <text>
        <r>
          <rPr>
            <b/>
            <sz val="9"/>
            <color indexed="81"/>
            <rFont val="Tahoma"/>
            <family val="2"/>
          </rPr>
          <t>Gavin Mudd:</t>
        </r>
        <r>
          <rPr>
            <sz val="9"/>
            <color indexed="81"/>
            <rFont val="Tahoma"/>
            <family val="2"/>
          </rPr>
          <t xml:space="preserve">
assumed</t>
        </r>
      </text>
    </comment>
    <comment ref="DM75" authorId="0" shapeId="0" xr:uid="{7C50C176-2F5D-474D-BAA4-601C9C11407C}">
      <text>
        <r>
          <rPr>
            <b/>
            <sz val="9"/>
            <color indexed="81"/>
            <rFont val="Tahoma"/>
            <family val="2"/>
          </rPr>
          <t>Gavin Mudd:</t>
        </r>
        <r>
          <rPr>
            <sz val="9"/>
            <color indexed="81"/>
            <rFont val="Tahoma"/>
            <family val="2"/>
          </rPr>
          <t xml:space="preserve">
assumed</t>
        </r>
      </text>
    </comment>
    <comment ref="P76" authorId="0" shapeId="0" xr:uid="{894437B9-7AD8-4398-8D45-0ED6A740C4CB}">
      <text>
        <r>
          <rPr>
            <b/>
            <sz val="9"/>
            <color indexed="81"/>
            <rFont val="Tahoma"/>
            <family val="2"/>
          </rPr>
          <t>Gavin Mudd:</t>
        </r>
        <r>
          <rPr>
            <sz val="9"/>
            <color indexed="81"/>
            <rFont val="Tahoma"/>
            <family val="2"/>
          </rPr>
          <t xml:space="preserve">
Tumbarumba</t>
        </r>
      </text>
    </comment>
    <comment ref="Q76" authorId="0" shapeId="0" xr:uid="{460EAE6A-546D-4BAC-AA68-331DEBED7E81}">
      <text>
        <r>
          <rPr>
            <b/>
            <sz val="9"/>
            <color indexed="81"/>
            <rFont val="Tahoma"/>
            <family val="2"/>
          </rPr>
          <t>Gavin Mudd:</t>
        </r>
        <r>
          <rPr>
            <sz val="9"/>
            <color indexed="81"/>
            <rFont val="Tahoma"/>
            <family val="2"/>
          </rPr>
          <t xml:space="preserve">
assumed</t>
        </r>
      </text>
    </comment>
    <comment ref="W76" authorId="0" shapeId="0" xr:uid="{A7202284-FEC6-4623-A213-CFE08BD64664}">
      <text>
        <r>
          <rPr>
            <b/>
            <sz val="9"/>
            <color indexed="81"/>
            <rFont val="Tahoma"/>
            <family val="2"/>
          </rPr>
          <t>Gavin Mudd:</t>
        </r>
        <r>
          <rPr>
            <sz val="9"/>
            <color indexed="81"/>
            <rFont val="Tahoma"/>
            <family val="2"/>
          </rPr>
          <t xml:space="preserve">
assumed</t>
        </r>
      </text>
    </comment>
    <comment ref="Y76" authorId="0" shapeId="0" xr:uid="{23155F24-D30F-4523-BEAF-1B71AC124743}">
      <text>
        <r>
          <rPr>
            <b/>
            <sz val="9"/>
            <color indexed="81"/>
            <rFont val="Tahoma"/>
            <family val="2"/>
          </rPr>
          <t>Gavin Mudd:</t>
        </r>
        <r>
          <rPr>
            <sz val="9"/>
            <color indexed="81"/>
            <rFont val="Tahoma"/>
            <family val="2"/>
          </rPr>
          <t xml:space="preserve">
assumed</t>
        </r>
      </text>
    </comment>
    <comment ref="AA76" authorId="0" shapeId="0" xr:uid="{0A23CDF9-4E84-4146-AFFB-0E99ED0D9E1E}">
      <text>
        <r>
          <rPr>
            <b/>
            <sz val="9"/>
            <color indexed="81"/>
            <rFont val="Tahoma"/>
            <family val="2"/>
          </rPr>
          <t>Gavin Mudd:</t>
        </r>
        <r>
          <rPr>
            <sz val="9"/>
            <color indexed="81"/>
            <rFont val="Tahoma"/>
            <family val="2"/>
          </rPr>
          <t xml:space="preserve">
assumed</t>
        </r>
      </text>
    </comment>
    <comment ref="AG76" authorId="0" shapeId="0" xr:uid="{B5CB9398-46A2-4527-97E7-E4D30AAAE855}">
      <text>
        <r>
          <rPr>
            <b/>
            <sz val="9"/>
            <color indexed="81"/>
            <rFont val="Tahoma"/>
            <family val="2"/>
          </rPr>
          <t>Gavin Mudd:</t>
        </r>
        <r>
          <rPr>
            <sz val="9"/>
            <color indexed="81"/>
            <rFont val="Tahoma"/>
            <family val="2"/>
          </rPr>
          <t xml:space="preserve">
assumed</t>
        </r>
      </text>
    </comment>
    <comment ref="AK76" authorId="0" shapeId="0" xr:uid="{95BE784B-74FC-4257-86BE-93B0E5A03E40}">
      <text>
        <r>
          <rPr>
            <b/>
            <sz val="9"/>
            <color indexed="81"/>
            <rFont val="Tahoma"/>
            <family val="2"/>
          </rPr>
          <t>Gavin Mudd:</t>
        </r>
        <r>
          <rPr>
            <sz val="9"/>
            <color indexed="81"/>
            <rFont val="Tahoma"/>
            <family val="2"/>
          </rPr>
          <t xml:space="preserve">
assumed</t>
        </r>
      </text>
    </comment>
    <comment ref="AM76" authorId="0" shapeId="0" xr:uid="{18176B35-EA6E-4107-9CF3-E944F366278F}">
      <text>
        <r>
          <rPr>
            <b/>
            <sz val="9"/>
            <color indexed="81"/>
            <rFont val="Tahoma"/>
            <family val="2"/>
          </rPr>
          <t>Gavin Mudd:</t>
        </r>
        <r>
          <rPr>
            <sz val="9"/>
            <color indexed="81"/>
            <rFont val="Tahoma"/>
            <family val="2"/>
          </rPr>
          <t xml:space="preserve">
assumed</t>
        </r>
      </text>
    </comment>
    <comment ref="AO76" authorId="0" shapeId="0" xr:uid="{A230437C-4050-4B95-BF65-E044641DB21D}">
      <text>
        <r>
          <rPr>
            <b/>
            <sz val="9"/>
            <color indexed="81"/>
            <rFont val="Tahoma"/>
            <family val="2"/>
          </rPr>
          <t>Gavin Mudd:</t>
        </r>
        <r>
          <rPr>
            <sz val="9"/>
            <color indexed="81"/>
            <rFont val="Tahoma"/>
            <family val="2"/>
          </rPr>
          <t xml:space="preserve">
assumed</t>
        </r>
      </text>
    </comment>
    <comment ref="AQ76" authorId="0" shapeId="0" xr:uid="{73257CEB-111B-41CF-A706-253A36546291}">
      <text>
        <r>
          <rPr>
            <b/>
            <sz val="9"/>
            <color indexed="81"/>
            <rFont val="Tahoma"/>
            <family val="2"/>
          </rPr>
          <t>Gavin Mudd:</t>
        </r>
        <r>
          <rPr>
            <sz val="9"/>
            <color indexed="81"/>
            <rFont val="Tahoma"/>
            <family val="2"/>
          </rPr>
          <t xml:space="preserve">
assumed</t>
        </r>
      </text>
    </comment>
    <comment ref="AU76" authorId="0" shapeId="0" xr:uid="{E4C27ED9-672A-47B9-A9EF-10B7A82672F8}">
      <text>
        <r>
          <rPr>
            <b/>
            <sz val="9"/>
            <color indexed="81"/>
            <rFont val="Tahoma"/>
            <family val="2"/>
          </rPr>
          <t>Gavin Mudd:</t>
        </r>
        <r>
          <rPr>
            <sz val="9"/>
            <color indexed="81"/>
            <rFont val="Tahoma"/>
            <family val="2"/>
          </rPr>
          <t xml:space="preserve">
assumed</t>
        </r>
      </text>
    </comment>
    <comment ref="BA76" authorId="0" shapeId="0" xr:uid="{B740CB1A-B947-49B5-822B-26C3BEEA2385}">
      <text>
        <r>
          <rPr>
            <b/>
            <sz val="9"/>
            <color indexed="81"/>
            <rFont val="Tahoma"/>
            <family val="2"/>
          </rPr>
          <t>Gavin Mudd:</t>
        </r>
        <r>
          <rPr>
            <sz val="9"/>
            <color indexed="81"/>
            <rFont val="Tahoma"/>
            <family val="2"/>
          </rPr>
          <t xml:space="preserve">
assumed</t>
        </r>
      </text>
    </comment>
    <comment ref="BB76" authorId="0" shapeId="0" xr:uid="{A26954EC-D9F4-435B-8552-9440628E591C}">
      <text>
        <r>
          <rPr>
            <b/>
            <sz val="9"/>
            <color indexed="81"/>
            <rFont val="Tahoma"/>
            <family val="2"/>
          </rPr>
          <t>Gavin Mudd:</t>
        </r>
        <r>
          <rPr>
            <sz val="9"/>
            <color indexed="81"/>
            <rFont val="Tahoma"/>
            <family val="2"/>
          </rPr>
          <t xml:space="preserve">
assumed</t>
        </r>
      </text>
    </comment>
    <comment ref="CD76" authorId="0" shapeId="0" xr:uid="{246D7B5C-A3FC-486B-AEBB-EF5EEEA63259}">
      <text>
        <r>
          <rPr>
            <b/>
            <sz val="9"/>
            <color indexed="81"/>
            <rFont val="Tahoma"/>
            <family val="2"/>
          </rPr>
          <t>Gavin Mudd:</t>
        </r>
        <r>
          <rPr>
            <sz val="9"/>
            <color indexed="81"/>
            <rFont val="Tahoma"/>
            <family val="2"/>
          </rPr>
          <t xml:space="preserve">
assumed</t>
        </r>
      </text>
    </comment>
    <comment ref="CE76" authorId="0" shapeId="0" xr:uid="{7CE514A0-F6BE-4D64-A0EE-F452CF29F78D}">
      <text>
        <r>
          <rPr>
            <b/>
            <sz val="9"/>
            <color indexed="81"/>
            <rFont val="Tahoma"/>
            <family val="2"/>
          </rPr>
          <t>Gavin Mudd:</t>
        </r>
        <r>
          <rPr>
            <sz val="9"/>
            <color indexed="81"/>
            <rFont val="Tahoma"/>
            <family val="2"/>
          </rPr>
          <t xml:space="preserve">
assumed</t>
        </r>
      </text>
    </comment>
    <comment ref="CJ76" authorId="0" shapeId="0" xr:uid="{9E092F77-C511-4CEE-AE84-98D144CB90F7}">
      <text>
        <r>
          <rPr>
            <b/>
            <sz val="9"/>
            <color indexed="81"/>
            <rFont val="Tahoma"/>
            <family val="2"/>
          </rPr>
          <t>Gavin Mudd:</t>
        </r>
        <r>
          <rPr>
            <sz val="9"/>
            <color indexed="81"/>
            <rFont val="Tahoma"/>
            <family val="2"/>
          </rPr>
          <t xml:space="preserve">
assumed</t>
        </r>
      </text>
    </comment>
    <comment ref="CK76" authorId="0" shapeId="0" xr:uid="{EABE2F87-06D5-4D4F-A351-20BDCAEED3AA}">
      <text>
        <r>
          <rPr>
            <b/>
            <sz val="9"/>
            <color indexed="81"/>
            <rFont val="Tahoma"/>
            <family val="2"/>
          </rPr>
          <t>Gavin Mudd:</t>
        </r>
        <r>
          <rPr>
            <sz val="9"/>
            <color indexed="81"/>
            <rFont val="Tahoma"/>
            <family val="2"/>
          </rPr>
          <t xml:space="preserve">
assumed</t>
        </r>
      </text>
    </comment>
    <comment ref="CO76" authorId="0" shapeId="0" xr:uid="{470E48F4-CD3C-4374-9AB8-182C6CC30D21}">
      <text>
        <r>
          <rPr>
            <b/>
            <sz val="9"/>
            <color indexed="81"/>
            <rFont val="Tahoma"/>
            <family val="2"/>
          </rPr>
          <t>Gavin Mudd:</t>
        </r>
        <r>
          <rPr>
            <sz val="9"/>
            <color indexed="81"/>
            <rFont val="Tahoma"/>
            <family val="2"/>
          </rPr>
          <t xml:space="preserve">
assumed</t>
        </r>
      </text>
    </comment>
    <comment ref="CP76" authorId="0" shapeId="0" xr:uid="{BBA7AFDD-6DCA-49E8-A7F2-92E67D0F553E}">
      <text>
        <r>
          <rPr>
            <b/>
            <sz val="9"/>
            <color indexed="81"/>
            <rFont val="Tahoma"/>
            <family val="2"/>
          </rPr>
          <t>Gavin Mudd:</t>
        </r>
        <r>
          <rPr>
            <sz val="9"/>
            <color indexed="81"/>
            <rFont val="Tahoma"/>
            <family val="2"/>
          </rPr>
          <t xml:space="preserve">
assumed</t>
        </r>
      </text>
    </comment>
    <comment ref="DL76" authorId="0" shapeId="0" xr:uid="{DC494347-EAD8-41F9-95D0-DD4DD242B34A}">
      <text>
        <r>
          <rPr>
            <b/>
            <sz val="9"/>
            <color indexed="81"/>
            <rFont val="Tahoma"/>
            <family val="2"/>
          </rPr>
          <t>Gavin Mudd:</t>
        </r>
        <r>
          <rPr>
            <sz val="9"/>
            <color indexed="81"/>
            <rFont val="Tahoma"/>
            <family val="2"/>
          </rPr>
          <t xml:space="preserve">
assumed</t>
        </r>
      </text>
    </comment>
    <comment ref="DM76" authorId="0" shapeId="0" xr:uid="{F2E5B44A-852C-4757-B6E7-82EB7E2C1127}">
      <text>
        <r>
          <rPr>
            <b/>
            <sz val="9"/>
            <color indexed="81"/>
            <rFont val="Tahoma"/>
            <family val="2"/>
          </rPr>
          <t>Gavin Mudd:</t>
        </r>
        <r>
          <rPr>
            <sz val="9"/>
            <color indexed="81"/>
            <rFont val="Tahoma"/>
            <family val="2"/>
          </rPr>
          <t xml:space="preserve">
assumed</t>
        </r>
      </text>
    </comment>
    <comment ref="E77" authorId="0" shapeId="0" xr:uid="{8E4C8BE5-48D9-4A84-BD1F-96E87C2ACD8C}">
      <text>
        <r>
          <rPr>
            <b/>
            <sz val="9"/>
            <color indexed="81"/>
            <rFont val="Tahoma"/>
            <family val="2"/>
          </rPr>
          <t>Gavin Mudd:</t>
        </r>
        <r>
          <rPr>
            <sz val="9"/>
            <color indexed="81"/>
            <rFont val="Tahoma"/>
            <family val="2"/>
          </rPr>
          <t xml:space="preserve">
assumed</t>
        </r>
      </text>
    </comment>
    <comment ref="P77" authorId="0" shapeId="0" xr:uid="{53415F0C-0292-46F8-965B-1CFF803605AA}">
      <text>
        <r>
          <rPr>
            <b/>
            <sz val="9"/>
            <color indexed="81"/>
            <rFont val="Tahoma"/>
            <family val="2"/>
          </rPr>
          <t>Gavin Mudd:</t>
        </r>
        <r>
          <rPr>
            <sz val="9"/>
            <color indexed="81"/>
            <rFont val="Tahoma"/>
            <family val="2"/>
          </rPr>
          <t xml:space="preserve">
Holbrook &amp; Tumbarumba</t>
        </r>
      </text>
    </comment>
    <comment ref="Q77" authorId="0" shapeId="0" xr:uid="{BF7AA43E-5D77-4FBA-9417-B0A3C00EE006}">
      <text>
        <r>
          <rPr>
            <b/>
            <sz val="9"/>
            <color indexed="81"/>
            <rFont val="Tahoma"/>
            <family val="2"/>
          </rPr>
          <t>Gavin Mudd:</t>
        </r>
        <r>
          <rPr>
            <sz val="9"/>
            <color indexed="81"/>
            <rFont val="Tahoma"/>
            <family val="2"/>
          </rPr>
          <t xml:space="preserve">
assumed</t>
        </r>
      </text>
    </comment>
    <comment ref="W77" authorId="0" shapeId="0" xr:uid="{D4A2F4D1-A2E2-4481-AB57-92EBF090F2C6}">
      <text>
        <r>
          <rPr>
            <b/>
            <sz val="9"/>
            <color indexed="81"/>
            <rFont val="Tahoma"/>
            <family val="2"/>
          </rPr>
          <t>Gavin Mudd:</t>
        </r>
        <r>
          <rPr>
            <sz val="9"/>
            <color indexed="81"/>
            <rFont val="Tahoma"/>
            <family val="2"/>
          </rPr>
          <t xml:space="preserve">
assumed</t>
        </r>
      </text>
    </comment>
    <comment ref="Y77" authorId="0" shapeId="0" xr:uid="{EFDBF80C-6E99-4B1F-AEB9-1C299AA317B6}">
      <text>
        <r>
          <rPr>
            <b/>
            <sz val="9"/>
            <color indexed="81"/>
            <rFont val="Tahoma"/>
            <family val="2"/>
          </rPr>
          <t>Gavin Mudd:</t>
        </r>
        <r>
          <rPr>
            <sz val="9"/>
            <color indexed="81"/>
            <rFont val="Tahoma"/>
            <family val="2"/>
          </rPr>
          <t xml:space="preserve">
assumed</t>
        </r>
      </text>
    </comment>
    <comment ref="AA77" authorId="0" shapeId="0" xr:uid="{788DD108-76E3-4AE5-8C11-98546C768C8C}">
      <text>
        <r>
          <rPr>
            <b/>
            <sz val="9"/>
            <color indexed="81"/>
            <rFont val="Tahoma"/>
            <family val="2"/>
          </rPr>
          <t>Gavin Mudd:</t>
        </r>
        <r>
          <rPr>
            <sz val="9"/>
            <color indexed="81"/>
            <rFont val="Tahoma"/>
            <family val="2"/>
          </rPr>
          <t xml:space="preserve">
assumed</t>
        </r>
      </text>
    </comment>
    <comment ref="AG77" authorId="0" shapeId="0" xr:uid="{4B4F0BCC-34DF-4D41-8AF0-555FEB8C669F}">
      <text>
        <r>
          <rPr>
            <b/>
            <sz val="9"/>
            <color indexed="81"/>
            <rFont val="Tahoma"/>
            <family val="2"/>
          </rPr>
          <t>Gavin Mudd:</t>
        </r>
        <r>
          <rPr>
            <sz val="9"/>
            <color indexed="81"/>
            <rFont val="Tahoma"/>
            <family val="2"/>
          </rPr>
          <t xml:space="preserve">
assumed</t>
        </r>
      </text>
    </comment>
    <comment ref="AK77" authorId="0" shapeId="0" xr:uid="{B832BC2A-1994-4052-AF05-025AAB8D118A}">
      <text>
        <r>
          <rPr>
            <b/>
            <sz val="9"/>
            <color indexed="81"/>
            <rFont val="Tahoma"/>
            <family val="2"/>
          </rPr>
          <t>Gavin Mudd:</t>
        </r>
        <r>
          <rPr>
            <sz val="9"/>
            <color indexed="81"/>
            <rFont val="Tahoma"/>
            <family val="2"/>
          </rPr>
          <t xml:space="preserve">
assumed</t>
        </r>
      </text>
    </comment>
    <comment ref="AM77" authorId="0" shapeId="0" xr:uid="{7EEE3A63-3087-4204-BA15-CF9D7EB55A83}">
      <text>
        <r>
          <rPr>
            <b/>
            <sz val="9"/>
            <color indexed="81"/>
            <rFont val="Tahoma"/>
            <family val="2"/>
          </rPr>
          <t>Gavin Mudd:</t>
        </r>
        <r>
          <rPr>
            <sz val="9"/>
            <color indexed="81"/>
            <rFont val="Tahoma"/>
            <family val="2"/>
          </rPr>
          <t xml:space="preserve">
assumed</t>
        </r>
      </text>
    </comment>
    <comment ref="AO77" authorId="0" shapeId="0" xr:uid="{850FAD27-90CD-41E0-96F5-9FC343986658}">
      <text>
        <r>
          <rPr>
            <b/>
            <sz val="9"/>
            <color indexed="81"/>
            <rFont val="Tahoma"/>
            <family val="2"/>
          </rPr>
          <t>Gavin Mudd:</t>
        </r>
        <r>
          <rPr>
            <sz val="9"/>
            <color indexed="81"/>
            <rFont val="Tahoma"/>
            <family val="2"/>
          </rPr>
          <t xml:space="preserve">
assumed</t>
        </r>
      </text>
    </comment>
    <comment ref="AQ77" authorId="0" shapeId="0" xr:uid="{994A535C-9472-48A6-9650-A500BEE8035C}">
      <text>
        <r>
          <rPr>
            <b/>
            <sz val="9"/>
            <color indexed="81"/>
            <rFont val="Tahoma"/>
            <family val="2"/>
          </rPr>
          <t>Gavin Mudd:</t>
        </r>
        <r>
          <rPr>
            <sz val="9"/>
            <color indexed="81"/>
            <rFont val="Tahoma"/>
            <family val="2"/>
          </rPr>
          <t xml:space="preserve">
assumed</t>
        </r>
      </text>
    </comment>
    <comment ref="AU77" authorId="0" shapeId="0" xr:uid="{D82CBB21-51AA-4A08-B3B2-54695EEEBCC5}">
      <text>
        <r>
          <rPr>
            <b/>
            <sz val="9"/>
            <color indexed="81"/>
            <rFont val="Tahoma"/>
            <family val="2"/>
          </rPr>
          <t>Gavin Mudd:</t>
        </r>
        <r>
          <rPr>
            <sz val="9"/>
            <color indexed="81"/>
            <rFont val="Tahoma"/>
            <family val="2"/>
          </rPr>
          <t xml:space="preserve">
assumed</t>
        </r>
      </text>
    </comment>
    <comment ref="BA77" authorId="0" shapeId="0" xr:uid="{DED852ED-6A5F-46BF-8EDE-7CD31400CA4F}">
      <text>
        <r>
          <rPr>
            <b/>
            <sz val="9"/>
            <color indexed="81"/>
            <rFont val="Tahoma"/>
            <family val="2"/>
          </rPr>
          <t>Gavin Mudd:</t>
        </r>
        <r>
          <rPr>
            <sz val="9"/>
            <color indexed="81"/>
            <rFont val="Tahoma"/>
            <family val="2"/>
          </rPr>
          <t xml:space="preserve">
assumed</t>
        </r>
      </text>
    </comment>
    <comment ref="BB77" authorId="0" shapeId="0" xr:uid="{C37E43E9-B2B5-4F18-B20A-145F1E6B361A}">
      <text>
        <r>
          <rPr>
            <b/>
            <sz val="9"/>
            <color indexed="81"/>
            <rFont val="Tahoma"/>
            <family val="2"/>
          </rPr>
          <t>Gavin Mudd:</t>
        </r>
        <r>
          <rPr>
            <sz val="9"/>
            <color indexed="81"/>
            <rFont val="Tahoma"/>
            <family val="2"/>
          </rPr>
          <t xml:space="preserve">
assumed</t>
        </r>
      </text>
    </comment>
    <comment ref="CD77" authorId="0" shapeId="0" xr:uid="{F2E2DA0A-3A32-4F47-AABA-EA0E60A1A9CD}">
      <text>
        <r>
          <rPr>
            <b/>
            <sz val="9"/>
            <color indexed="81"/>
            <rFont val="Tahoma"/>
            <family val="2"/>
          </rPr>
          <t>Gavin Mudd:</t>
        </r>
        <r>
          <rPr>
            <sz val="9"/>
            <color indexed="81"/>
            <rFont val="Tahoma"/>
            <family val="2"/>
          </rPr>
          <t xml:space="preserve">
assumed</t>
        </r>
      </text>
    </comment>
    <comment ref="CE77" authorId="0" shapeId="0" xr:uid="{FCDE0757-39B5-4BC1-98DD-EA9F9BC3427F}">
      <text>
        <r>
          <rPr>
            <b/>
            <sz val="9"/>
            <color indexed="81"/>
            <rFont val="Tahoma"/>
            <family val="2"/>
          </rPr>
          <t>Gavin Mudd:</t>
        </r>
        <r>
          <rPr>
            <sz val="9"/>
            <color indexed="81"/>
            <rFont val="Tahoma"/>
            <family val="2"/>
          </rPr>
          <t xml:space="preserve">
assumed</t>
        </r>
      </text>
    </comment>
    <comment ref="CJ77" authorId="0" shapeId="0" xr:uid="{E929C66F-73F8-473E-827D-0DECD8CAEE81}">
      <text>
        <r>
          <rPr>
            <b/>
            <sz val="9"/>
            <color indexed="81"/>
            <rFont val="Tahoma"/>
            <family val="2"/>
          </rPr>
          <t>Gavin Mudd:</t>
        </r>
        <r>
          <rPr>
            <sz val="9"/>
            <color indexed="81"/>
            <rFont val="Tahoma"/>
            <family val="2"/>
          </rPr>
          <t xml:space="preserve">
assumed</t>
        </r>
      </text>
    </comment>
    <comment ref="CK77" authorId="0" shapeId="0" xr:uid="{8A120E17-430F-4FE0-AA10-495FA86CC20A}">
      <text>
        <r>
          <rPr>
            <b/>
            <sz val="9"/>
            <color indexed="81"/>
            <rFont val="Tahoma"/>
            <family val="2"/>
          </rPr>
          <t>Gavin Mudd:</t>
        </r>
        <r>
          <rPr>
            <sz val="9"/>
            <color indexed="81"/>
            <rFont val="Tahoma"/>
            <family val="2"/>
          </rPr>
          <t xml:space="preserve">
assumed</t>
        </r>
      </text>
    </comment>
    <comment ref="CO77" authorId="0" shapeId="0" xr:uid="{36039B3F-4145-448C-AA57-AF44A9C33CB7}">
      <text>
        <r>
          <rPr>
            <b/>
            <sz val="9"/>
            <color indexed="81"/>
            <rFont val="Tahoma"/>
            <family val="2"/>
          </rPr>
          <t>Gavin Mudd:</t>
        </r>
        <r>
          <rPr>
            <sz val="9"/>
            <color indexed="81"/>
            <rFont val="Tahoma"/>
            <family val="2"/>
          </rPr>
          <t xml:space="preserve">
assumed</t>
        </r>
      </text>
    </comment>
    <comment ref="CP77" authorId="0" shapeId="0" xr:uid="{EF5C3F20-36B1-4AA2-B92F-B5823D328DFF}">
      <text>
        <r>
          <rPr>
            <b/>
            <sz val="9"/>
            <color indexed="81"/>
            <rFont val="Tahoma"/>
            <family val="2"/>
          </rPr>
          <t>Gavin Mudd:</t>
        </r>
        <r>
          <rPr>
            <sz val="9"/>
            <color indexed="81"/>
            <rFont val="Tahoma"/>
            <family val="2"/>
          </rPr>
          <t xml:space="preserve">
assumed</t>
        </r>
      </text>
    </comment>
    <comment ref="DL77" authorId="0" shapeId="0" xr:uid="{DE2B6F01-45A6-40F8-992D-D9CD34E4205C}">
      <text>
        <r>
          <rPr>
            <b/>
            <sz val="9"/>
            <color indexed="81"/>
            <rFont val="Tahoma"/>
            <family val="2"/>
          </rPr>
          <t>Gavin Mudd:</t>
        </r>
        <r>
          <rPr>
            <sz val="9"/>
            <color indexed="81"/>
            <rFont val="Tahoma"/>
            <family val="2"/>
          </rPr>
          <t xml:space="preserve">
assumed</t>
        </r>
      </text>
    </comment>
    <comment ref="DM77" authorId="0" shapeId="0" xr:uid="{D15D08CB-6C47-4E06-82CF-7C8D70819B78}">
      <text>
        <r>
          <rPr>
            <b/>
            <sz val="9"/>
            <color indexed="81"/>
            <rFont val="Tahoma"/>
            <family val="2"/>
          </rPr>
          <t>Gavin Mudd:</t>
        </r>
        <r>
          <rPr>
            <sz val="9"/>
            <color indexed="81"/>
            <rFont val="Tahoma"/>
            <family val="2"/>
          </rPr>
          <t xml:space="preserve">
assumed</t>
        </r>
      </text>
    </comment>
    <comment ref="P78" authorId="0" shapeId="0" xr:uid="{A8AB00C7-10D3-4965-AF9E-A914810B9F7C}">
      <text>
        <r>
          <rPr>
            <b/>
            <sz val="9"/>
            <color indexed="81"/>
            <rFont val="Tahoma"/>
            <family val="2"/>
          </rPr>
          <t>Gavin Mudd:</t>
        </r>
        <r>
          <rPr>
            <sz val="9"/>
            <color indexed="81"/>
            <rFont val="Tahoma"/>
            <family val="2"/>
          </rPr>
          <t xml:space="preserve">
Tumbarumba</t>
        </r>
      </text>
    </comment>
    <comment ref="Q78" authorId="0" shapeId="0" xr:uid="{C06F3A9A-698D-4407-B9C6-5AE4F5043AC3}">
      <text>
        <r>
          <rPr>
            <b/>
            <sz val="9"/>
            <color indexed="81"/>
            <rFont val="Tahoma"/>
            <family val="2"/>
          </rPr>
          <t>Gavin Mudd:</t>
        </r>
        <r>
          <rPr>
            <sz val="9"/>
            <color indexed="81"/>
            <rFont val="Tahoma"/>
            <family val="2"/>
          </rPr>
          <t xml:space="preserve">
assumed</t>
        </r>
      </text>
    </comment>
    <comment ref="W78" authorId="0" shapeId="0" xr:uid="{F4337544-8CAB-4827-A43B-C8F26B84DEB9}">
      <text>
        <r>
          <rPr>
            <b/>
            <sz val="9"/>
            <color indexed="81"/>
            <rFont val="Tahoma"/>
            <family val="2"/>
          </rPr>
          <t>Gavin Mudd:</t>
        </r>
        <r>
          <rPr>
            <sz val="9"/>
            <color indexed="81"/>
            <rFont val="Tahoma"/>
            <family val="2"/>
          </rPr>
          <t xml:space="preserve">
assumed</t>
        </r>
      </text>
    </comment>
    <comment ref="Y78" authorId="0" shapeId="0" xr:uid="{0E9D73C0-D378-49D6-BF95-7ED537B4D005}">
      <text>
        <r>
          <rPr>
            <b/>
            <sz val="9"/>
            <color indexed="81"/>
            <rFont val="Tahoma"/>
            <family val="2"/>
          </rPr>
          <t>Gavin Mudd:</t>
        </r>
        <r>
          <rPr>
            <sz val="9"/>
            <color indexed="81"/>
            <rFont val="Tahoma"/>
            <family val="2"/>
          </rPr>
          <t xml:space="preserve">
assumed</t>
        </r>
      </text>
    </comment>
    <comment ref="AA78" authorId="0" shapeId="0" xr:uid="{29D8DC07-7219-4A04-89C7-11EF93E5EFC0}">
      <text>
        <r>
          <rPr>
            <b/>
            <sz val="9"/>
            <color indexed="81"/>
            <rFont val="Tahoma"/>
            <family val="2"/>
          </rPr>
          <t>Gavin Mudd:</t>
        </r>
        <r>
          <rPr>
            <sz val="9"/>
            <color indexed="81"/>
            <rFont val="Tahoma"/>
            <family val="2"/>
          </rPr>
          <t xml:space="preserve">
assumed</t>
        </r>
      </text>
    </comment>
    <comment ref="AG78" authorId="0" shapeId="0" xr:uid="{3F2AA39A-0D94-477F-90D4-F2E962D3B7C4}">
      <text>
        <r>
          <rPr>
            <b/>
            <sz val="9"/>
            <color indexed="81"/>
            <rFont val="Tahoma"/>
            <family val="2"/>
          </rPr>
          <t>Gavin Mudd:</t>
        </r>
        <r>
          <rPr>
            <sz val="9"/>
            <color indexed="81"/>
            <rFont val="Tahoma"/>
            <family val="2"/>
          </rPr>
          <t xml:space="preserve">
assumed</t>
        </r>
      </text>
    </comment>
    <comment ref="AK78" authorId="0" shapeId="0" xr:uid="{7AF54684-B2A2-4F98-8043-BDA1EC04AB94}">
      <text>
        <r>
          <rPr>
            <b/>
            <sz val="9"/>
            <color indexed="81"/>
            <rFont val="Tahoma"/>
            <family val="2"/>
          </rPr>
          <t>Gavin Mudd:</t>
        </r>
        <r>
          <rPr>
            <sz val="9"/>
            <color indexed="81"/>
            <rFont val="Tahoma"/>
            <family val="2"/>
          </rPr>
          <t xml:space="preserve">
assumed</t>
        </r>
      </text>
    </comment>
    <comment ref="AM78" authorId="0" shapeId="0" xr:uid="{01B5F329-8F19-4A1B-8379-3870203EF481}">
      <text>
        <r>
          <rPr>
            <b/>
            <sz val="9"/>
            <color indexed="81"/>
            <rFont val="Tahoma"/>
            <family val="2"/>
          </rPr>
          <t>Gavin Mudd:</t>
        </r>
        <r>
          <rPr>
            <sz val="9"/>
            <color indexed="81"/>
            <rFont val="Tahoma"/>
            <family val="2"/>
          </rPr>
          <t xml:space="preserve">
assumed</t>
        </r>
      </text>
    </comment>
    <comment ref="AO78" authorId="0" shapeId="0" xr:uid="{5620E056-85F0-4FD9-8294-15334D2A54AD}">
      <text>
        <r>
          <rPr>
            <b/>
            <sz val="9"/>
            <color indexed="81"/>
            <rFont val="Tahoma"/>
            <family val="2"/>
          </rPr>
          <t>Gavin Mudd:</t>
        </r>
        <r>
          <rPr>
            <sz val="9"/>
            <color indexed="81"/>
            <rFont val="Tahoma"/>
            <family val="2"/>
          </rPr>
          <t xml:space="preserve">
assumed</t>
        </r>
      </text>
    </comment>
    <comment ref="AQ78" authorId="0" shapeId="0" xr:uid="{6A05E15C-7497-42B2-AFDF-72244C981A0C}">
      <text>
        <r>
          <rPr>
            <b/>
            <sz val="9"/>
            <color indexed="81"/>
            <rFont val="Tahoma"/>
            <family val="2"/>
          </rPr>
          <t>Gavin Mudd:</t>
        </r>
        <r>
          <rPr>
            <sz val="9"/>
            <color indexed="81"/>
            <rFont val="Tahoma"/>
            <family val="2"/>
          </rPr>
          <t xml:space="preserve">
assumed</t>
        </r>
      </text>
    </comment>
    <comment ref="AU78" authorId="0" shapeId="0" xr:uid="{CE20B06C-76D3-484C-9CB4-9FCC59F7E1A3}">
      <text>
        <r>
          <rPr>
            <b/>
            <sz val="9"/>
            <color indexed="81"/>
            <rFont val="Tahoma"/>
            <family val="2"/>
          </rPr>
          <t>Gavin Mudd:</t>
        </r>
        <r>
          <rPr>
            <sz val="9"/>
            <color indexed="81"/>
            <rFont val="Tahoma"/>
            <family val="2"/>
          </rPr>
          <t xml:space="preserve">
assumed</t>
        </r>
      </text>
    </comment>
    <comment ref="BA78" authorId="0" shapeId="0" xr:uid="{EF046632-B848-496C-BEC2-4FCA4AB56B52}">
      <text>
        <r>
          <rPr>
            <b/>
            <sz val="9"/>
            <color indexed="81"/>
            <rFont val="Tahoma"/>
            <family val="2"/>
          </rPr>
          <t>Gavin Mudd:</t>
        </r>
        <r>
          <rPr>
            <sz val="9"/>
            <color indexed="81"/>
            <rFont val="Tahoma"/>
            <family val="2"/>
          </rPr>
          <t xml:space="preserve">
assumed</t>
        </r>
      </text>
    </comment>
    <comment ref="BB78" authorId="0" shapeId="0" xr:uid="{F375640B-82E8-4867-A7E4-EAF9F6D17235}">
      <text>
        <r>
          <rPr>
            <b/>
            <sz val="9"/>
            <color indexed="81"/>
            <rFont val="Tahoma"/>
            <family val="2"/>
          </rPr>
          <t>Gavin Mudd:</t>
        </r>
        <r>
          <rPr>
            <sz val="9"/>
            <color indexed="81"/>
            <rFont val="Tahoma"/>
            <family val="2"/>
          </rPr>
          <t xml:space="preserve">
assumed</t>
        </r>
      </text>
    </comment>
    <comment ref="CD78" authorId="0" shapeId="0" xr:uid="{843EC22A-764E-4593-B5C5-3B2FC70D5171}">
      <text>
        <r>
          <rPr>
            <b/>
            <sz val="9"/>
            <color indexed="81"/>
            <rFont val="Tahoma"/>
            <family val="2"/>
          </rPr>
          <t>Gavin Mudd:</t>
        </r>
        <r>
          <rPr>
            <sz val="9"/>
            <color indexed="81"/>
            <rFont val="Tahoma"/>
            <family val="2"/>
          </rPr>
          <t xml:space="preserve">
assumed</t>
        </r>
      </text>
    </comment>
    <comment ref="CE78" authorId="0" shapeId="0" xr:uid="{EE22575D-814C-4B72-85B9-4E820C81FE7D}">
      <text>
        <r>
          <rPr>
            <b/>
            <sz val="9"/>
            <color indexed="81"/>
            <rFont val="Tahoma"/>
            <family val="2"/>
          </rPr>
          <t>Gavin Mudd:</t>
        </r>
        <r>
          <rPr>
            <sz val="9"/>
            <color indexed="81"/>
            <rFont val="Tahoma"/>
            <family val="2"/>
          </rPr>
          <t xml:space="preserve">
assumed</t>
        </r>
      </text>
    </comment>
    <comment ref="CJ78" authorId="0" shapeId="0" xr:uid="{A2151D3F-2BA5-4761-91F2-2D29FBC7AEB9}">
      <text>
        <r>
          <rPr>
            <b/>
            <sz val="9"/>
            <color indexed="81"/>
            <rFont val="Tahoma"/>
            <family val="2"/>
          </rPr>
          <t>Gavin Mudd:</t>
        </r>
        <r>
          <rPr>
            <sz val="9"/>
            <color indexed="81"/>
            <rFont val="Tahoma"/>
            <family val="2"/>
          </rPr>
          <t xml:space="preserve">
assumed</t>
        </r>
      </text>
    </comment>
    <comment ref="CK78" authorId="0" shapeId="0" xr:uid="{7F11217E-10AD-49EE-B378-B02D3E07FE69}">
      <text>
        <r>
          <rPr>
            <b/>
            <sz val="9"/>
            <color indexed="81"/>
            <rFont val="Tahoma"/>
            <family val="2"/>
          </rPr>
          <t>Gavin Mudd:</t>
        </r>
        <r>
          <rPr>
            <sz val="9"/>
            <color indexed="81"/>
            <rFont val="Tahoma"/>
            <family val="2"/>
          </rPr>
          <t xml:space="preserve">
assumed</t>
        </r>
      </text>
    </comment>
    <comment ref="CO78" authorId="0" shapeId="0" xr:uid="{58BCD019-183E-4789-A4DD-E1646A276A66}">
      <text>
        <r>
          <rPr>
            <b/>
            <sz val="9"/>
            <color indexed="81"/>
            <rFont val="Tahoma"/>
            <family val="2"/>
          </rPr>
          <t>Gavin Mudd:</t>
        </r>
        <r>
          <rPr>
            <sz val="9"/>
            <color indexed="81"/>
            <rFont val="Tahoma"/>
            <family val="2"/>
          </rPr>
          <t xml:space="preserve">
assumed</t>
        </r>
      </text>
    </comment>
    <comment ref="CP78" authorId="0" shapeId="0" xr:uid="{ACB4F551-E719-467D-BBD6-C3F1F08CD7AD}">
      <text>
        <r>
          <rPr>
            <b/>
            <sz val="9"/>
            <color indexed="81"/>
            <rFont val="Tahoma"/>
            <family val="2"/>
          </rPr>
          <t>Gavin Mudd:</t>
        </r>
        <r>
          <rPr>
            <sz val="9"/>
            <color indexed="81"/>
            <rFont val="Tahoma"/>
            <family val="2"/>
          </rPr>
          <t xml:space="preserve">
assumed</t>
        </r>
      </text>
    </comment>
    <comment ref="DL78" authorId="0" shapeId="0" xr:uid="{EA435262-44B2-4F0D-8046-B178282CBBF8}">
      <text>
        <r>
          <rPr>
            <b/>
            <sz val="9"/>
            <color indexed="81"/>
            <rFont val="Tahoma"/>
            <family val="2"/>
          </rPr>
          <t>Gavin Mudd:</t>
        </r>
        <r>
          <rPr>
            <sz val="9"/>
            <color indexed="81"/>
            <rFont val="Tahoma"/>
            <family val="2"/>
          </rPr>
          <t xml:space="preserve">
assumed</t>
        </r>
      </text>
    </comment>
    <comment ref="DM78" authorId="0" shapeId="0" xr:uid="{3193D07B-79D2-4788-BF7F-E4625273A557}">
      <text>
        <r>
          <rPr>
            <b/>
            <sz val="9"/>
            <color indexed="81"/>
            <rFont val="Tahoma"/>
            <family val="2"/>
          </rPr>
          <t>Gavin Mudd:</t>
        </r>
        <r>
          <rPr>
            <sz val="9"/>
            <color indexed="81"/>
            <rFont val="Tahoma"/>
            <family val="2"/>
          </rPr>
          <t xml:space="preserve">
assumed</t>
        </r>
      </text>
    </comment>
    <comment ref="B79" authorId="0" shapeId="0" xr:uid="{568F5413-1EBD-4F9C-AAE8-43491AB8A020}">
      <text>
        <r>
          <rPr>
            <b/>
            <sz val="9"/>
            <color indexed="81"/>
            <rFont val="Tahoma"/>
            <family val="2"/>
          </rPr>
          <t>Gavin Mudd:</t>
        </r>
        <r>
          <rPr>
            <sz val="9"/>
            <color indexed="81"/>
            <rFont val="Tahoma"/>
            <family val="2"/>
          </rPr>
          <t xml:space="preserve">
Fifield</t>
        </r>
      </text>
    </comment>
    <comment ref="C79" authorId="0" shapeId="0" xr:uid="{9191AED0-805D-4679-8D87-0A33A725872A}">
      <text>
        <r>
          <rPr>
            <b/>
            <sz val="9"/>
            <color indexed="81"/>
            <rFont val="Tahoma"/>
            <family val="2"/>
          </rPr>
          <t>Gavin Mudd:</t>
        </r>
        <r>
          <rPr>
            <sz val="9"/>
            <color indexed="81"/>
            <rFont val="Tahoma"/>
            <family val="2"/>
          </rPr>
          <t xml:space="preserve">
assumed</t>
        </r>
      </text>
    </comment>
    <comment ref="G79" authorId="0" shapeId="0" xr:uid="{FC37FD4B-3D24-4941-980C-5EA22C66632A}">
      <text>
        <r>
          <rPr>
            <b/>
            <sz val="9"/>
            <color indexed="81"/>
            <rFont val="Tahoma"/>
            <family val="2"/>
          </rPr>
          <t>Gavin Mudd:</t>
        </r>
        <r>
          <rPr>
            <sz val="9"/>
            <color indexed="81"/>
            <rFont val="Tahoma"/>
            <family val="2"/>
          </rPr>
          <t xml:space="preserve">
assumed</t>
        </r>
      </text>
    </comment>
    <comment ref="H79" authorId="0" shapeId="0" xr:uid="{8BD6A1DB-CD11-49ED-A613-BC15B82AB7B3}">
      <text>
        <r>
          <rPr>
            <b/>
            <sz val="9"/>
            <color indexed="81"/>
            <rFont val="Tahoma"/>
            <family val="2"/>
          </rPr>
          <t>Gavin Mudd:</t>
        </r>
        <r>
          <rPr>
            <sz val="9"/>
            <color indexed="81"/>
            <rFont val="Tahoma"/>
            <family val="2"/>
          </rPr>
          <t xml:space="preserve">
Grenfell &amp; Narrandera</t>
        </r>
      </text>
    </comment>
    <comment ref="I79" authorId="0" shapeId="0" xr:uid="{901352C5-5B81-44F0-BEBD-1F568D508689}">
      <text>
        <r>
          <rPr>
            <b/>
            <sz val="9"/>
            <color indexed="81"/>
            <rFont val="Tahoma"/>
            <family val="2"/>
          </rPr>
          <t>Gavin Mudd:</t>
        </r>
        <r>
          <rPr>
            <sz val="9"/>
            <color indexed="81"/>
            <rFont val="Tahoma"/>
            <family val="2"/>
          </rPr>
          <t xml:space="preserve">
assumed</t>
        </r>
      </text>
    </comment>
    <comment ref="J79" authorId="0" shapeId="0" xr:uid="{ACCA37B2-83CA-4B75-82D0-634CDB9F0596}">
      <text>
        <r>
          <rPr>
            <b/>
            <sz val="9"/>
            <color indexed="81"/>
            <rFont val="Tahoma"/>
            <family val="2"/>
          </rPr>
          <t>Gavin Mudd:</t>
        </r>
        <r>
          <rPr>
            <sz val="9"/>
            <color indexed="81"/>
            <rFont val="Tahoma"/>
            <family val="2"/>
          </rPr>
          <t xml:space="preserve">
Tumut</t>
        </r>
      </text>
    </comment>
    <comment ref="K79" authorId="0" shapeId="0" xr:uid="{7EBA00D2-CAF1-4F0B-836E-E08D6B08C685}">
      <text>
        <r>
          <rPr>
            <b/>
            <sz val="9"/>
            <color indexed="81"/>
            <rFont val="Tahoma"/>
            <family val="2"/>
          </rPr>
          <t>Gavin Mudd:</t>
        </r>
        <r>
          <rPr>
            <sz val="9"/>
            <color indexed="81"/>
            <rFont val="Tahoma"/>
            <family val="2"/>
          </rPr>
          <t xml:space="preserve">
assumed</t>
        </r>
      </text>
    </comment>
    <comment ref="P79" authorId="0" shapeId="0" xr:uid="{1F7691B3-ECA7-47AD-AD1B-44D8CDCF0108}">
      <text>
        <r>
          <rPr>
            <b/>
            <sz val="9"/>
            <color indexed="81"/>
            <rFont val="Tahoma"/>
            <family val="2"/>
          </rPr>
          <t>Gavin Mudd:</t>
        </r>
        <r>
          <rPr>
            <sz val="9"/>
            <color indexed="81"/>
            <rFont val="Tahoma"/>
            <family val="2"/>
          </rPr>
          <t xml:space="preserve">
Holbrook &amp; Tumbarumba</t>
        </r>
      </text>
    </comment>
    <comment ref="Q79" authorId="0" shapeId="0" xr:uid="{4CD339E0-9069-48BE-98BC-DF371848D520}">
      <text>
        <r>
          <rPr>
            <b/>
            <sz val="9"/>
            <color indexed="81"/>
            <rFont val="Tahoma"/>
            <family val="2"/>
          </rPr>
          <t>Gavin Mudd:</t>
        </r>
        <r>
          <rPr>
            <sz val="9"/>
            <color indexed="81"/>
            <rFont val="Tahoma"/>
            <family val="2"/>
          </rPr>
          <t xml:space="preserve">
assumed</t>
        </r>
      </text>
    </comment>
    <comment ref="R79" authorId="0" shapeId="0" xr:uid="{AF2435A9-8A20-43F0-A2A0-38FF89A5FE82}">
      <text>
        <r>
          <rPr>
            <b/>
            <sz val="9"/>
            <color indexed="81"/>
            <rFont val="Tahoma"/>
            <family val="2"/>
          </rPr>
          <t>Gavin Mudd:</t>
        </r>
        <r>
          <rPr>
            <sz val="9"/>
            <color indexed="81"/>
            <rFont val="Tahoma"/>
            <family val="2"/>
          </rPr>
          <t xml:space="preserve">
Milton</t>
        </r>
      </text>
    </comment>
    <comment ref="S79" authorId="0" shapeId="0" xr:uid="{01E77C13-BB01-4E32-917D-7E314B87DF42}">
      <text>
        <r>
          <rPr>
            <b/>
            <sz val="9"/>
            <color indexed="81"/>
            <rFont val="Tahoma"/>
            <family val="2"/>
          </rPr>
          <t>Gavin Mudd:</t>
        </r>
        <r>
          <rPr>
            <sz val="9"/>
            <color indexed="81"/>
            <rFont val="Tahoma"/>
            <family val="2"/>
          </rPr>
          <t xml:space="preserve">
assumed</t>
        </r>
      </text>
    </comment>
    <comment ref="U79" authorId="0" shapeId="0" xr:uid="{9D84C5C8-8B7B-4935-887F-66FB2577D127}">
      <text>
        <r>
          <rPr>
            <b/>
            <sz val="9"/>
            <color indexed="81"/>
            <rFont val="Tahoma"/>
            <family val="2"/>
          </rPr>
          <t>Gavin Mudd:</t>
        </r>
        <r>
          <rPr>
            <sz val="9"/>
            <color indexed="81"/>
            <rFont val="Tahoma"/>
            <family val="2"/>
          </rPr>
          <t xml:space="preserve">
assumed</t>
        </r>
      </text>
    </comment>
    <comment ref="W79" authorId="0" shapeId="0" xr:uid="{3B3F9CFE-90DF-4C01-A781-2A360C0121AD}">
      <text>
        <r>
          <rPr>
            <b/>
            <sz val="9"/>
            <color indexed="81"/>
            <rFont val="Tahoma"/>
            <family val="2"/>
          </rPr>
          <t>Gavin Mudd:</t>
        </r>
        <r>
          <rPr>
            <sz val="9"/>
            <color indexed="81"/>
            <rFont val="Tahoma"/>
            <family val="2"/>
          </rPr>
          <t xml:space="preserve">
assumed</t>
        </r>
      </text>
    </comment>
    <comment ref="Y79" authorId="0" shapeId="0" xr:uid="{C0E7B60C-E65D-4E48-83AB-AA71DD50AEF6}">
      <text>
        <r>
          <rPr>
            <b/>
            <sz val="9"/>
            <color indexed="81"/>
            <rFont val="Tahoma"/>
            <family val="2"/>
          </rPr>
          <t>Gavin Mudd:</t>
        </r>
        <r>
          <rPr>
            <sz val="9"/>
            <color indexed="81"/>
            <rFont val="Tahoma"/>
            <family val="2"/>
          </rPr>
          <t xml:space="preserve">
assumed</t>
        </r>
      </text>
    </comment>
    <comment ref="AA79" authorId="0" shapeId="0" xr:uid="{54F9E0FD-7BA0-4759-BCF9-FB0B0B965A28}">
      <text>
        <r>
          <rPr>
            <b/>
            <sz val="9"/>
            <color indexed="81"/>
            <rFont val="Tahoma"/>
            <family val="2"/>
          </rPr>
          <t>Gavin Mudd:</t>
        </r>
        <r>
          <rPr>
            <sz val="9"/>
            <color indexed="81"/>
            <rFont val="Tahoma"/>
            <family val="2"/>
          </rPr>
          <t xml:space="preserve">
assumed</t>
        </r>
      </text>
    </comment>
    <comment ref="AG79" authorId="0" shapeId="0" xr:uid="{A4B7B17D-9ED9-4566-9B30-D89A34D89442}">
      <text>
        <r>
          <rPr>
            <b/>
            <sz val="9"/>
            <color indexed="81"/>
            <rFont val="Tahoma"/>
            <family val="2"/>
          </rPr>
          <t>Gavin Mudd:</t>
        </r>
        <r>
          <rPr>
            <sz val="9"/>
            <color indexed="81"/>
            <rFont val="Tahoma"/>
            <family val="2"/>
          </rPr>
          <t xml:space="preserve">
assumed</t>
        </r>
      </text>
    </comment>
    <comment ref="AK79" authorId="0" shapeId="0" xr:uid="{66973944-552A-42AC-8460-8057EDCE31BE}">
      <text>
        <r>
          <rPr>
            <b/>
            <sz val="9"/>
            <color indexed="81"/>
            <rFont val="Tahoma"/>
            <family val="2"/>
          </rPr>
          <t>Gavin Mudd:</t>
        </r>
        <r>
          <rPr>
            <sz val="9"/>
            <color indexed="81"/>
            <rFont val="Tahoma"/>
            <family val="2"/>
          </rPr>
          <t xml:space="preserve">
assumed</t>
        </r>
      </text>
    </comment>
    <comment ref="AM79" authorId="0" shapeId="0" xr:uid="{C742F4B6-A92D-43D9-A30E-AB9E957F6771}">
      <text>
        <r>
          <rPr>
            <b/>
            <sz val="9"/>
            <color indexed="81"/>
            <rFont val="Tahoma"/>
            <family val="2"/>
          </rPr>
          <t>Gavin Mudd:</t>
        </r>
        <r>
          <rPr>
            <sz val="9"/>
            <color indexed="81"/>
            <rFont val="Tahoma"/>
            <family val="2"/>
          </rPr>
          <t xml:space="preserve">
assumed</t>
        </r>
      </text>
    </comment>
    <comment ref="AO79" authorId="0" shapeId="0" xr:uid="{CC7AAA86-F596-4CDA-B273-BD7B980B51DC}">
      <text>
        <r>
          <rPr>
            <b/>
            <sz val="9"/>
            <color indexed="81"/>
            <rFont val="Tahoma"/>
            <family val="2"/>
          </rPr>
          <t>Gavin Mudd:</t>
        </r>
        <r>
          <rPr>
            <sz val="9"/>
            <color indexed="81"/>
            <rFont val="Tahoma"/>
            <family val="2"/>
          </rPr>
          <t xml:space="preserve">
assumed</t>
        </r>
      </text>
    </comment>
    <comment ref="AQ79" authorId="0" shapeId="0" xr:uid="{751670A7-4310-432A-8876-5F867756BCB9}">
      <text>
        <r>
          <rPr>
            <b/>
            <sz val="9"/>
            <color indexed="81"/>
            <rFont val="Tahoma"/>
            <family val="2"/>
          </rPr>
          <t>Gavin Mudd:</t>
        </r>
        <r>
          <rPr>
            <sz val="9"/>
            <color indexed="81"/>
            <rFont val="Tahoma"/>
            <family val="2"/>
          </rPr>
          <t xml:space="preserve">
assumed</t>
        </r>
      </text>
    </comment>
    <comment ref="AU79" authorId="0" shapeId="0" xr:uid="{BB102871-8EEC-4ED7-8984-B560B5CE73F0}">
      <text>
        <r>
          <rPr>
            <b/>
            <sz val="9"/>
            <color indexed="81"/>
            <rFont val="Tahoma"/>
            <family val="2"/>
          </rPr>
          <t>Gavin Mudd:</t>
        </r>
        <r>
          <rPr>
            <sz val="9"/>
            <color indexed="81"/>
            <rFont val="Tahoma"/>
            <family val="2"/>
          </rPr>
          <t xml:space="preserve">
assumed</t>
        </r>
      </text>
    </comment>
    <comment ref="BA79" authorId="0" shapeId="0" xr:uid="{7A92CC5C-EF6C-42D6-9514-EA75A9A09E57}">
      <text>
        <r>
          <rPr>
            <b/>
            <sz val="9"/>
            <color indexed="81"/>
            <rFont val="Tahoma"/>
            <family val="2"/>
          </rPr>
          <t>Gavin Mudd:</t>
        </r>
        <r>
          <rPr>
            <sz val="9"/>
            <color indexed="81"/>
            <rFont val="Tahoma"/>
            <family val="2"/>
          </rPr>
          <t xml:space="preserve">
assumed</t>
        </r>
      </text>
    </comment>
    <comment ref="BB79" authorId="0" shapeId="0" xr:uid="{D65D7C48-C19E-49CA-832D-2F7CD1E07A5E}">
      <text>
        <r>
          <rPr>
            <b/>
            <sz val="9"/>
            <color indexed="81"/>
            <rFont val="Tahoma"/>
            <family val="2"/>
          </rPr>
          <t>Gavin Mudd:</t>
        </r>
        <r>
          <rPr>
            <sz val="9"/>
            <color indexed="81"/>
            <rFont val="Tahoma"/>
            <family val="2"/>
          </rPr>
          <t xml:space="preserve">
assumed</t>
        </r>
      </text>
    </comment>
    <comment ref="CD79" authorId="0" shapeId="0" xr:uid="{55B4E489-35A9-4649-BA41-4D6F5BE13A01}">
      <text>
        <r>
          <rPr>
            <b/>
            <sz val="9"/>
            <color indexed="81"/>
            <rFont val="Tahoma"/>
            <family val="2"/>
          </rPr>
          <t>Gavin Mudd:</t>
        </r>
        <r>
          <rPr>
            <sz val="9"/>
            <color indexed="81"/>
            <rFont val="Tahoma"/>
            <family val="2"/>
          </rPr>
          <t xml:space="preserve">
assumed</t>
        </r>
      </text>
    </comment>
    <comment ref="CE79" authorId="0" shapeId="0" xr:uid="{0921016A-5123-4DB6-AA2D-DB303ECF5B4D}">
      <text>
        <r>
          <rPr>
            <b/>
            <sz val="9"/>
            <color indexed="81"/>
            <rFont val="Tahoma"/>
            <family val="2"/>
          </rPr>
          <t>Gavin Mudd:</t>
        </r>
        <r>
          <rPr>
            <sz val="9"/>
            <color indexed="81"/>
            <rFont val="Tahoma"/>
            <family val="2"/>
          </rPr>
          <t xml:space="preserve">
assumed</t>
        </r>
      </text>
    </comment>
    <comment ref="CJ79" authorId="0" shapeId="0" xr:uid="{936AF542-ED0C-4C97-BE10-612EF0478B6B}">
      <text>
        <r>
          <rPr>
            <b/>
            <sz val="9"/>
            <color indexed="81"/>
            <rFont val="Tahoma"/>
            <family val="2"/>
          </rPr>
          <t>Gavin Mudd:</t>
        </r>
        <r>
          <rPr>
            <sz val="9"/>
            <color indexed="81"/>
            <rFont val="Tahoma"/>
            <family val="2"/>
          </rPr>
          <t xml:space="preserve">
assumed</t>
        </r>
      </text>
    </comment>
    <comment ref="CK79" authorId="0" shapeId="0" xr:uid="{2B592467-9E10-40DA-BFB1-5CEBE598FDD0}">
      <text>
        <r>
          <rPr>
            <b/>
            <sz val="9"/>
            <color indexed="81"/>
            <rFont val="Tahoma"/>
            <family val="2"/>
          </rPr>
          <t>Gavin Mudd:</t>
        </r>
        <r>
          <rPr>
            <sz val="9"/>
            <color indexed="81"/>
            <rFont val="Tahoma"/>
            <family val="2"/>
          </rPr>
          <t xml:space="preserve">
assumed</t>
        </r>
      </text>
    </comment>
    <comment ref="CO79" authorId="0" shapeId="0" xr:uid="{46B751DD-723C-4538-810C-63B4FA151338}">
      <text>
        <r>
          <rPr>
            <b/>
            <sz val="9"/>
            <color indexed="81"/>
            <rFont val="Tahoma"/>
            <family val="2"/>
          </rPr>
          <t>Gavin Mudd:</t>
        </r>
        <r>
          <rPr>
            <sz val="9"/>
            <color indexed="81"/>
            <rFont val="Tahoma"/>
            <family val="2"/>
          </rPr>
          <t xml:space="preserve">
assumed</t>
        </r>
      </text>
    </comment>
    <comment ref="CP79" authorId="0" shapeId="0" xr:uid="{59E6B03E-B637-4D99-9D05-CB37830E95CE}">
      <text>
        <r>
          <rPr>
            <b/>
            <sz val="9"/>
            <color indexed="81"/>
            <rFont val="Tahoma"/>
            <family val="2"/>
          </rPr>
          <t>Gavin Mudd:</t>
        </r>
        <r>
          <rPr>
            <sz val="9"/>
            <color indexed="81"/>
            <rFont val="Tahoma"/>
            <family val="2"/>
          </rPr>
          <t xml:space="preserve">
assumed</t>
        </r>
      </text>
    </comment>
    <comment ref="DL79" authorId="0" shapeId="0" xr:uid="{4C81FE43-F294-4171-8D30-5F86645F2A0F}">
      <text>
        <r>
          <rPr>
            <b/>
            <sz val="9"/>
            <color indexed="81"/>
            <rFont val="Tahoma"/>
            <family val="2"/>
          </rPr>
          <t>Gavin Mudd:</t>
        </r>
        <r>
          <rPr>
            <sz val="9"/>
            <color indexed="81"/>
            <rFont val="Tahoma"/>
            <family val="2"/>
          </rPr>
          <t xml:space="preserve">
assumed</t>
        </r>
      </text>
    </comment>
    <comment ref="DM79" authorId="0" shapeId="0" xr:uid="{F97FFAF8-CD70-4AB8-A100-53E63918E37C}">
      <text>
        <r>
          <rPr>
            <b/>
            <sz val="9"/>
            <color indexed="81"/>
            <rFont val="Tahoma"/>
            <family val="2"/>
          </rPr>
          <t>Gavin Mudd:</t>
        </r>
        <r>
          <rPr>
            <sz val="9"/>
            <color indexed="81"/>
            <rFont val="Tahoma"/>
            <family val="2"/>
          </rPr>
          <t xml:space="preserve">
assumed</t>
        </r>
      </text>
    </comment>
    <comment ref="B80" authorId="0" shapeId="0" xr:uid="{FAE1CEA7-A65B-47B1-9558-10F07FEEE432}">
      <text>
        <r>
          <rPr>
            <b/>
            <sz val="9"/>
            <color indexed="81"/>
            <rFont val="Tahoma"/>
            <family val="2"/>
          </rPr>
          <t>Gavin Mudd:</t>
        </r>
        <r>
          <rPr>
            <sz val="9"/>
            <color indexed="81"/>
            <rFont val="Tahoma"/>
            <family val="2"/>
          </rPr>
          <t xml:space="preserve">
Fifield</t>
        </r>
      </text>
    </comment>
    <comment ref="C80" authorId="0" shapeId="0" xr:uid="{FA9B2BF6-F0BF-4664-9CD7-9B5B9A6D3777}">
      <text>
        <r>
          <rPr>
            <b/>
            <sz val="9"/>
            <color indexed="81"/>
            <rFont val="Tahoma"/>
            <family val="2"/>
          </rPr>
          <t>Gavin Mudd:</t>
        </r>
        <r>
          <rPr>
            <sz val="9"/>
            <color indexed="81"/>
            <rFont val="Tahoma"/>
            <family val="2"/>
          </rPr>
          <t xml:space="preserve">
assumed</t>
        </r>
      </text>
    </comment>
    <comment ref="F80" authorId="0" shapeId="0" xr:uid="{792F6C07-A4D6-4A69-9F01-7B3B16AB7211}">
      <text>
        <r>
          <rPr>
            <b/>
            <sz val="9"/>
            <color indexed="81"/>
            <rFont val="Tahoma"/>
            <family val="2"/>
          </rPr>
          <t>Gavin Mudd:</t>
        </r>
        <r>
          <rPr>
            <sz val="9"/>
            <color indexed="81"/>
            <rFont val="Tahoma"/>
            <family val="2"/>
          </rPr>
          <t xml:space="preserve">
tailings</t>
        </r>
      </text>
    </comment>
    <comment ref="G80" authorId="0" shapeId="0" xr:uid="{68D31B68-9D75-4251-8B97-507E0286468F}">
      <text>
        <r>
          <rPr>
            <b/>
            <sz val="9"/>
            <color indexed="81"/>
            <rFont val="Tahoma"/>
            <family val="2"/>
          </rPr>
          <t>Gavin Mudd:</t>
        </r>
        <r>
          <rPr>
            <sz val="9"/>
            <color indexed="81"/>
            <rFont val="Tahoma"/>
            <family val="2"/>
          </rPr>
          <t xml:space="preserve">
assumed</t>
        </r>
      </text>
    </comment>
    <comment ref="H80" authorId="0" shapeId="0" xr:uid="{8BE7A749-0944-49BA-9CC5-C157F76B81A8}">
      <text>
        <r>
          <rPr>
            <b/>
            <sz val="9"/>
            <color indexed="81"/>
            <rFont val="Tahoma"/>
            <family val="2"/>
          </rPr>
          <t>Gavin Mudd:</t>
        </r>
        <r>
          <rPr>
            <sz val="9"/>
            <color indexed="81"/>
            <rFont val="Tahoma"/>
            <family val="2"/>
          </rPr>
          <t xml:space="preserve">
Grenfell &amp; Narrandera</t>
        </r>
      </text>
    </comment>
    <comment ref="I80" authorId="0" shapeId="0" xr:uid="{A6C5BAE7-18E7-4ACF-8BE0-3EBBC880353F}">
      <text>
        <r>
          <rPr>
            <b/>
            <sz val="9"/>
            <color indexed="81"/>
            <rFont val="Tahoma"/>
            <family val="2"/>
          </rPr>
          <t>Gavin Mudd:</t>
        </r>
        <r>
          <rPr>
            <sz val="9"/>
            <color indexed="81"/>
            <rFont val="Tahoma"/>
            <family val="2"/>
          </rPr>
          <t xml:space="preserve">
assumed</t>
        </r>
      </text>
    </comment>
    <comment ref="P80" authorId="0" shapeId="0" xr:uid="{CA21C8AB-B00F-4A2E-9D2E-EF20061AEC41}">
      <text>
        <r>
          <rPr>
            <b/>
            <sz val="9"/>
            <color indexed="81"/>
            <rFont val="Tahoma"/>
            <family val="2"/>
          </rPr>
          <t>Gavin Mudd:</t>
        </r>
        <r>
          <rPr>
            <sz val="9"/>
            <color indexed="81"/>
            <rFont val="Tahoma"/>
            <family val="2"/>
          </rPr>
          <t xml:space="preserve">
Holbrook &amp; Narrandera &amp; Tumbarumba</t>
        </r>
      </text>
    </comment>
    <comment ref="Q80" authorId="0" shapeId="0" xr:uid="{D47A3924-22CA-4D9F-A765-3D70F68A53D3}">
      <text>
        <r>
          <rPr>
            <b/>
            <sz val="9"/>
            <color indexed="81"/>
            <rFont val="Tahoma"/>
            <family val="2"/>
          </rPr>
          <t>Gavin Mudd:</t>
        </r>
        <r>
          <rPr>
            <sz val="9"/>
            <color indexed="81"/>
            <rFont val="Tahoma"/>
            <family val="2"/>
          </rPr>
          <t xml:space="preserve">
assumed</t>
        </r>
      </text>
    </comment>
    <comment ref="R80" authorId="0" shapeId="0" xr:uid="{5B8BAB80-42EC-42EE-A8A9-0AB0EEB22AFE}">
      <text>
        <r>
          <rPr>
            <b/>
            <sz val="9"/>
            <color indexed="81"/>
            <rFont val="Tahoma"/>
            <family val="2"/>
          </rPr>
          <t>Gavin Mudd:</t>
        </r>
        <r>
          <rPr>
            <sz val="9"/>
            <color indexed="81"/>
            <rFont val="Tahoma"/>
            <family val="2"/>
          </rPr>
          <t xml:space="preserve">
Milton</t>
        </r>
      </text>
    </comment>
    <comment ref="S80" authorId="0" shapeId="0" xr:uid="{890A005B-C707-48B4-B6F0-FA00555FC89E}">
      <text>
        <r>
          <rPr>
            <b/>
            <sz val="9"/>
            <color indexed="81"/>
            <rFont val="Tahoma"/>
            <family val="2"/>
          </rPr>
          <t>Gavin Mudd:</t>
        </r>
        <r>
          <rPr>
            <sz val="9"/>
            <color indexed="81"/>
            <rFont val="Tahoma"/>
            <family val="2"/>
          </rPr>
          <t xml:space="preserve">
assumed</t>
        </r>
      </text>
    </comment>
    <comment ref="W80" authorId="0" shapeId="0" xr:uid="{33EB9B3F-1CBF-4EC3-A2B8-BC1E37448345}">
      <text>
        <r>
          <rPr>
            <b/>
            <sz val="9"/>
            <color indexed="81"/>
            <rFont val="Tahoma"/>
            <family val="2"/>
          </rPr>
          <t>Gavin Mudd:</t>
        </r>
        <r>
          <rPr>
            <sz val="9"/>
            <color indexed="81"/>
            <rFont val="Tahoma"/>
            <family val="2"/>
          </rPr>
          <t xml:space="preserve">
assumed</t>
        </r>
      </text>
    </comment>
    <comment ref="Y80" authorId="0" shapeId="0" xr:uid="{B110462C-766C-4325-AFAE-AFE1CCCBAFA8}">
      <text>
        <r>
          <rPr>
            <b/>
            <sz val="9"/>
            <color indexed="81"/>
            <rFont val="Tahoma"/>
            <family val="2"/>
          </rPr>
          <t>Gavin Mudd:</t>
        </r>
        <r>
          <rPr>
            <sz val="9"/>
            <color indexed="81"/>
            <rFont val="Tahoma"/>
            <family val="2"/>
          </rPr>
          <t xml:space="preserve">
assumed</t>
        </r>
      </text>
    </comment>
    <comment ref="AA80" authorId="0" shapeId="0" xr:uid="{91506594-03FE-4176-A287-6FFD9100B457}">
      <text>
        <r>
          <rPr>
            <b/>
            <sz val="9"/>
            <color indexed="81"/>
            <rFont val="Tahoma"/>
            <family val="2"/>
          </rPr>
          <t>Gavin Mudd:</t>
        </r>
        <r>
          <rPr>
            <sz val="9"/>
            <color indexed="81"/>
            <rFont val="Tahoma"/>
            <family val="2"/>
          </rPr>
          <t xml:space="preserve">
assumed</t>
        </r>
      </text>
    </comment>
    <comment ref="AG80" authorId="0" shapeId="0" xr:uid="{159CE640-7077-4BA5-AD74-D3BCE96097A9}">
      <text>
        <r>
          <rPr>
            <b/>
            <sz val="9"/>
            <color indexed="81"/>
            <rFont val="Tahoma"/>
            <family val="2"/>
          </rPr>
          <t>Gavin Mudd:</t>
        </r>
        <r>
          <rPr>
            <sz val="9"/>
            <color indexed="81"/>
            <rFont val="Tahoma"/>
            <family val="2"/>
          </rPr>
          <t xml:space="preserve">
assumed</t>
        </r>
      </text>
    </comment>
    <comment ref="AH80" authorId="0" shapeId="0" xr:uid="{B9FA3CAB-CE53-47D3-8820-73EA77B5AB12}">
      <text>
        <r>
          <rPr>
            <b/>
            <sz val="9"/>
            <color indexed="81"/>
            <rFont val="Tahoma"/>
            <family val="2"/>
          </rPr>
          <t>Gavin Mudd:</t>
        </r>
        <r>
          <rPr>
            <sz val="9"/>
            <color indexed="81"/>
            <rFont val="Tahoma"/>
            <family val="2"/>
          </rPr>
          <t xml:space="preserve">
Hillgrove</t>
        </r>
      </text>
    </comment>
    <comment ref="AI80" authorId="0" shapeId="0" xr:uid="{7E57AAD1-043C-4052-B331-5E560E75B0B2}">
      <text>
        <r>
          <rPr>
            <b/>
            <sz val="9"/>
            <color indexed="81"/>
            <rFont val="Tahoma"/>
            <family val="2"/>
          </rPr>
          <t>Gavin Mudd:</t>
        </r>
        <r>
          <rPr>
            <sz val="9"/>
            <color indexed="81"/>
            <rFont val="Tahoma"/>
            <family val="2"/>
          </rPr>
          <t xml:space="preserve">
assumed</t>
        </r>
      </text>
    </comment>
    <comment ref="AK80" authorId="0" shapeId="0" xr:uid="{D023D0CD-C2F8-4078-BD09-AC9F81A7ADF5}">
      <text>
        <r>
          <rPr>
            <b/>
            <sz val="9"/>
            <color indexed="81"/>
            <rFont val="Tahoma"/>
            <family val="2"/>
          </rPr>
          <t>Gavin Mudd:</t>
        </r>
        <r>
          <rPr>
            <sz val="9"/>
            <color indexed="81"/>
            <rFont val="Tahoma"/>
            <family val="2"/>
          </rPr>
          <t xml:space="preserve">
assumed</t>
        </r>
      </text>
    </comment>
    <comment ref="AM80" authorId="0" shapeId="0" xr:uid="{80A74D69-F6A3-4AF3-BEB3-97E62F022383}">
      <text>
        <r>
          <rPr>
            <b/>
            <sz val="9"/>
            <color indexed="81"/>
            <rFont val="Tahoma"/>
            <family val="2"/>
          </rPr>
          <t>Gavin Mudd:</t>
        </r>
        <r>
          <rPr>
            <sz val="9"/>
            <color indexed="81"/>
            <rFont val="Tahoma"/>
            <family val="2"/>
          </rPr>
          <t xml:space="preserve">
assumed</t>
        </r>
      </text>
    </comment>
    <comment ref="AO80" authorId="0" shapeId="0" xr:uid="{CB14B1BC-111F-4BB6-8F6E-221F4D30E1D8}">
      <text>
        <r>
          <rPr>
            <b/>
            <sz val="9"/>
            <color indexed="81"/>
            <rFont val="Tahoma"/>
            <family val="2"/>
          </rPr>
          <t>Gavin Mudd:</t>
        </r>
        <r>
          <rPr>
            <sz val="9"/>
            <color indexed="81"/>
            <rFont val="Tahoma"/>
            <family val="2"/>
          </rPr>
          <t xml:space="preserve">
assumed</t>
        </r>
      </text>
    </comment>
    <comment ref="AQ80" authorId="0" shapeId="0" xr:uid="{9ECB8156-BB59-4513-BA1E-F5CC2FE1A3AD}">
      <text>
        <r>
          <rPr>
            <b/>
            <sz val="9"/>
            <color indexed="81"/>
            <rFont val="Tahoma"/>
            <family val="2"/>
          </rPr>
          <t>Gavin Mudd:</t>
        </r>
        <r>
          <rPr>
            <sz val="9"/>
            <color indexed="81"/>
            <rFont val="Tahoma"/>
            <family val="2"/>
          </rPr>
          <t xml:space="preserve">
assumed</t>
        </r>
      </text>
    </comment>
    <comment ref="AU80" authorId="0" shapeId="0" xr:uid="{132458AD-3DDD-43C4-87C2-54E06BB52F91}">
      <text>
        <r>
          <rPr>
            <b/>
            <sz val="9"/>
            <color indexed="81"/>
            <rFont val="Tahoma"/>
            <family val="2"/>
          </rPr>
          <t>Gavin Mudd:</t>
        </r>
        <r>
          <rPr>
            <sz val="9"/>
            <color indexed="81"/>
            <rFont val="Tahoma"/>
            <family val="2"/>
          </rPr>
          <t xml:space="preserve">
assumed</t>
        </r>
      </text>
    </comment>
    <comment ref="BA80" authorId="0" shapeId="0" xr:uid="{45FA6DCA-7CC4-4C6D-A05F-EC467D6FC7E0}">
      <text>
        <r>
          <rPr>
            <b/>
            <sz val="9"/>
            <color indexed="81"/>
            <rFont val="Tahoma"/>
            <family val="2"/>
          </rPr>
          <t>Gavin Mudd:</t>
        </r>
        <r>
          <rPr>
            <sz val="9"/>
            <color indexed="81"/>
            <rFont val="Tahoma"/>
            <family val="2"/>
          </rPr>
          <t xml:space="preserve">
assumed</t>
        </r>
      </text>
    </comment>
    <comment ref="BB80" authorId="0" shapeId="0" xr:uid="{C0B88F0F-FB15-420C-8CAD-576F3240213C}">
      <text>
        <r>
          <rPr>
            <b/>
            <sz val="9"/>
            <color indexed="81"/>
            <rFont val="Tahoma"/>
            <family val="2"/>
          </rPr>
          <t>Gavin Mudd:</t>
        </r>
        <r>
          <rPr>
            <sz val="9"/>
            <color indexed="81"/>
            <rFont val="Tahoma"/>
            <family val="2"/>
          </rPr>
          <t xml:space="preserve">
assumed</t>
        </r>
      </text>
    </comment>
    <comment ref="CD80" authorId="0" shapeId="0" xr:uid="{B33839FE-B519-4914-99C4-0C6C1F1CE4AE}">
      <text>
        <r>
          <rPr>
            <b/>
            <sz val="9"/>
            <color indexed="81"/>
            <rFont val="Tahoma"/>
            <family val="2"/>
          </rPr>
          <t>Gavin Mudd:</t>
        </r>
        <r>
          <rPr>
            <sz val="9"/>
            <color indexed="81"/>
            <rFont val="Tahoma"/>
            <family val="2"/>
          </rPr>
          <t xml:space="preserve">
assumed</t>
        </r>
      </text>
    </comment>
    <comment ref="CE80" authorId="0" shapeId="0" xr:uid="{5AA614BC-343D-431C-ABF9-0A6695EBFB23}">
      <text>
        <r>
          <rPr>
            <b/>
            <sz val="9"/>
            <color indexed="81"/>
            <rFont val="Tahoma"/>
            <family val="2"/>
          </rPr>
          <t>Gavin Mudd:</t>
        </r>
        <r>
          <rPr>
            <sz val="9"/>
            <color indexed="81"/>
            <rFont val="Tahoma"/>
            <family val="2"/>
          </rPr>
          <t xml:space="preserve">
assumed</t>
        </r>
      </text>
    </comment>
    <comment ref="CJ80" authorId="0" shapeId="0" xr:uid="{34AC7D7D-EAD1-4414-A770-4101034E4851}">
      <text>
        <r>
          <rPr>
            <b/>
            <sz val="9"/>
            <color indexed="81"/>
            <rFont val="Tahoma"/>
            <family val="2"/>
          </rPr>
          <t>Gavin Mudd:</t>
        </r>
        <r>
          <rPr>
            <sz val="9"/>
            <color indexed="81"/>
            <rFont val="Tahoma"/>
            <family val="2"/>
          </rPr>
          <t xml:space="preserve">
assumed</t>
        </r>
      </text>
    </comment>
    <comment ref="CK80" authorId="0" shapeId="0" xr:uid="{2DD264E4-0E59-4688-86FB-521B77C359A5}">
      <text>
        <r>
          <rPr>
            <b/>
            <sz val="9"/>
            <color indexed="81"/>
            <rFont val="Tahoma"/>
            <family val="2"/>
          </rPr>
          <t>Gavin Mudd:</t>
        </r>
        <r>
          <rPr>
            <sz val="9"/>
            <color indexed="81"/>
            <rFont val="Tahoma"/>
            <family val="2"/>
          </rPr>
          <t xml:space="preserve">
assumed</t>
        </r>
      </text>
    </comment>
    <comment ref="CO80" authorId="0" shapeId="0" xr:uid="{9A60DF3B-673F-4AB5-ACAE-2E3DD8C97880}">
      <text>
        <r>
          <rPr>
            <b/>
            <sz val="9"/>
            <color indexed="81"/>
            <rFont val="Tahoma"/>
            <family val="2"/>
          </rPr>
          <t>Gavin Mudd:</t>
        </r>
        <r>
          <rPr>
            <sz val="9"/>
            <color indexed="81"/>
            <rFont val="Tahoma"/>
            <family val="2"/>
          </rPr>
          <t xml:space="preserve">
assumed</t>
        </r>
      </text>
    </comment>
    <comment ref="CP80" authorId="0" shapeId="0" xr:uid="{4771CDBA-0569-4EBA-A21A-E8633783DC5D}">
      <text>
        <r>
          <rPr>
            <b/>
            <sz val="9"/>
            <color indexed="81"/>
            <rFont val="Tahoma"/>
            <family val="2"/>
          </rPr>
          <t>Gavin Mudd:</t>
        </r>
        <r>
          <rPr>
            <sz val="9"/>
            <color indexed="81"/>
            <rFont val="Tahoma"/>
            <family val="2"/>
          </rPr>
          <t xml:space="preserve">
assumed</t>
        </r>
      </text>
    </comment>
    <comment ref="DL80" authorId="0" shapeId="0" xr:uid="{AAEBD48D-3144-4A99-A241-42DCDB90C6A0}">
      <text>
        <r>
          <rPr>
            <b/>
            <sz val="9"/>
            <color indexed="81"/>
            <rFont val="Tahoma"/>
            <family val="2"/>
          </rPr>
          <t>Gavin Mudd:</t>
        </r>
        <r>
          <rPr>
            <sz val="9"/>
            <color indexed="81"/>
            <rFont val="Tahoma"/>
            <family val="2"/>
          </rPr>
          <t xml:space="preserve">
assumed</t>
        </r>
      </text>
    </comment>
    <comment ref="DM80" authorId="0" shapeId="0" xr:uid="{ABC50527-81E2-47B1-82EB-5A0FE95A439F}">
      <text>
        <r>
          <rPr>
            <b/>
            <sz val="9"/>
            <color indexed="81"/>
            <rFont val="Tahoma"/>
            <family val="2"/>
          </rPr>
          <t>Gavin Mudd:</t>
        </r>
        <r>
          <rPr>
            <sz val="9"/>
            <color indexed="81"/>
            <rFont val="Tahoma"/>
            <family val="2"/>
          </rPr>
          <t xml:space="preserve">
assumed</t>
        </r>
      </text>
    </comment>
    <comment ref="F81" authorId="0" shapeId="0" xr:uid="{D58765C8-027F-441F-BBDA-E24F919C88D2}">
      <text>
        <r>
          <rPr>
            <b/>
            <sz val="9"/>
            <color indexed="81"/>
            <rFont val="Tahoma"/>
            <family val="2"/>
          </rPr>
          <t>Gavin Mudd:</t>
        </r>
        <r>
          <rPr>
            <sz val="9"/>
            <color indexed="81"/>
            <rFont val="Tahoma"/>
            <family val="2"/>
          </rPr>
          <t xml:space="preserve">
tailings</t>
        </r>
      </text>
    </comment>
    <comment ref="G81" authorId="0" shapeId="0" xr:uid="{BE71AC9F-6DE7-45C1-8B9D-D7AF2CE06412}">
      <text>
        <r>
          <rPr>
            <b/>
            <sz val="9"/>
            <color indexed="81"/>
            <rFont val="Tahoma"/>
            <family val="2"/>
          </rPr>
          <t>Gavin Mudd:</t>
        </r>
        <r>
          <rPr>
            <sz val="9"/>
            <color indexed="81"/>
            <rFont val="Tahoma"/>
            <family val="2"/>
          </rPr>
          <t xml:space="preserve">
assumed</t>
        </r>
      </text>
    </comment>
    <comment ref="P81" authorId="0" shapeId="0" xr:uid="{135F1306-09E9-4575-BF44-51C02014B6C3}">
      <text>
        <r>
          <rPr>
            <b/>
            <sz val="9"/>
            <color indexed="81"/>
            <rFont val="Tahoma"/>
            <family val="2"/>
          </rPr>
          <t>Gavin Mudd:</t>
        </r>
        <r>
          <rPr>
            <sz val="9"/>
            <color indexed="81"/>
            <rFont val="Tahoma"/>
            <family val="2"/>
          </rPr>
          <t xml:space="preserve">
Tumbarumba</t>
        </r>
      </text>
    </comment>
    <comment ref="Q81" authorId="0" shapeId="0" xr:uid="{93A07229-C9FF-4549-8B32-FF4954868695}">
      <text>
        <r>
          <rPr>
            <b/>
            <sz val="9"/>
            <color indexed="81"/>
            <rFont val="Tahoma"/>
            <family val="2"/>
          </rPr>
          <t>Gavin Mudd:</t>
        </r>
        <r>
          <rPr>
            <sz val="9"/>
            <color indexed="81"/>
            <rFont val="Tahoma"/>
            <family val="2"/>
          </rPr>
          <t xml:space="preserve">
assumed</t>
        </r>
      </text>
    </comment>
    <comment ref="W81" authorId="0" shapeId="0" xr:uid="{4FAF0AEC-7435-441A-861B-E109C790CC70}">
      <text>
        <r>
          <rPr>
            <b/>
            <sz val="9"/>
            <color indexed="81"/>
            <rFont val="Tahoma"/>
            <family val="2"/>
          </rPr>
          <t>Gavin Mudd:</t>
        </r>
        <r>
          <rPr>
            <sz val="9"/>
            <color indexed="81"/>
            <rFont val="Tahoma"/>
            <family val="2"/>
          </rPr>
          <t xml:space="preserve">
assumed</t>
        </r>
      </text>
    </comment>
    <comment ref="Y81" authorId="0" shapeId="0" xr:uid="{F626EC5D-1F06-4697-A659-D3494A948762}">
      <text>
        <r>
          <rPr>
            <b/>
            <sz val="9"/>
            <color indexed="81"/>
            <rFont val="Tahoma"/>
            <family val="2"/>
          </rPr>
          <t>Gavin Mudd:</t>
        </r>
        <r>
          <rPr>
            <sz val="9"/>
            <color indexed="81"/>
            <rFont val="Tahoma"/>
            <family val="2"/>
          </rPr>
          <t xml:space="preserve">
assumed</t>
        </r>
      </text>
    </comment>
    <comment ref="AA81" authorId="0" shapeId="0" xr:uid="{75ECAB8E-6C28-4FDE-B939-637AE87B064E}">
      <text>
        <r>
          <rPr>
            <b/>
            <sz val="9"/>
            <color indexed="81"/>
            <rFont val="Tahoma"/>
            <family val="2"/>
          </rPr>
          <t>Gavin Mudd:</t>
        </r>
        <r>
          <rPr>
            <sz val="9"/>
            <color indexed="81"/>
            <rFont val="Tahoma"/>
            <family val="2"/>
          </rPr>
          <t xml:space="preserve">
assumed</t>
        </r>
      </text>
    </comment>
    <comment ref="AG81" authorId="0" shapeId="0" xr:uid="{14EDA394-07BA-41EC-B3A0-5D020CDE4C8C}">
      <text>
        <r>
          <rPr>
            <b/>
            <sz val="9"/>
            <color indexed="81"/>
            <rFont val="Tahoma"/>
            <family val="2"/>
          </rPr>
          <t>Gavin Mudd:</t>
        </r>
        <r>
          <rPr>
            <sz val="9"/>
            <color indexed="81"/>
            <rFont val="Tahoma"/>
            <family val="2"/>
          </rPr>
          <t xml:space="preserve">
assumed</t>
        </r>
      </text>
    </comment>
    <comment ref="AH81" authorId="0" shapeId="0" xr:uid="{AE0FE908-557B-4289-BFBD-B022BAD257E6}">
      <text>
        <r>
          <rPr>
            <b/>
            <sz val="9"/>
            <color indexed="81"/>
            <rFont val="Tahoma"/>
            <family val="2"/>
          </rPr>
          <t>Gavin Mudd:</t>
        </r>
        <r>
          <rPr>
            <sz val="9"/>
            <color indexed="81"/>
            <rFont val="Tahoma"/>
            <family val="2"/>
          </rPr>
          <t xml:space="preserve">
Hillgrove</t>
        </r>
      </text>
    </comment>
    <comment ref="AI81" authorId="0" shapeId="0" xr:uid="{7D93F7D3-88B3-4D28-9505-0CDF65E571D6}">
      <text>
        <r>
          <rPr>
            <b/>
            <sz val="9"/>
            <color indexed="81"/>
            <rFont val="Tahoma"/>
            <family val="2"/>
          </rPr>
          <t>Gavin Mudd:</t>
        </r>
        <r>
          <rPr>
            <sz val="9"/>
            <color indexed="81"/>
            <rFont val="Tahoma"/>
            <family val="2"/>
          </rPr>
          <t xml:space="preserve">
assumed</t>
        </r>
      </text>
    </comment>
    <comment ref="AK81" authorId="0" shapeId="0" xr:uid="{EFE7278F-7580-41AD-995B-C1B5C157749F}">
      <text>
        <r>
          <rPr>
            <b/>
            <sz val="9"/>
            <color indexed="81"/>
            <rFont val="Tahoma"/>
            <family val="2"/>
          </rPr>
          <t>Gavin Mudd:</t>
        </r>
        <r>
          <rPr>
            <sz val="9"/>
            <color indexed="81"/>
            <rFont val="Tahoma"/>
            <family val="2"/>
          </rPr>
          <t xml:space="preserve">
assumed</t>
        </r>
      </text>
    </comment>
    <comment ref="AM81" authorId="0" shapeId="0" xr:uid="{DA139CE9-D98D-40DA-90FF-7FF6DE7BF784}">
      <text>
        <r>
          <rPr>
            <b/>
            <sz val="9"/>
            <color indexed="81"/>
            <rFont val="Tahoma"/>
            <family val="2"/>
          </rPr>
          <t>Gavin Mudd:</t>
        </r>
        <r>
          <rPr>
            <sz val="9"/>
            <color indexed="81"/>
            <rFont val="Tahoma"/>
            <family val="2"/>
          </rPr>
          <t xml:space="preserve">
assumed</t>
        </r>
      </text>
    </comment>
    <comment ref="AO81" authorId="0" shapeId="0" xr:uid="{AD332555-F2F7-4388-8185-9D23755DA74B}">
      <text>
        <r>
          <rPr>
            <b/>
            <sz val="9"/>
            <color indexed="81"/>
            <rFont val="Tahoma"/>
            <family val="2"/>
          </rPr>
          <t>Gavin Mudd:</t>
        </r>
        <r>
          <rPr>
            <sz val="9"/>
            <color indexed="81"/>
            <rFont val="Tahoma"/>
            <family val="2"/>
          </rPr>
          <t xml:space="preserve">
assumed</t>
        </r>
      </text>
    </comment>
    <comment ref="AU81" authorId="0" shapeId="0" xr:uid="{4A623A3D-1A34-4D5D-AB89-D012E7B39BBE}">
      <text>
        <r>
          <rPr>
            <b/>
            <sz val="9"/>
            <color indexed="81"/>
            <rFont val="Tahoma"/>
            <family val="2"/>
          </rPr>
          <t>Gavin Mudd:</t>
        </r>
        <r>
          <rPr>
            <sz val="9"/>
            <color indexed="81"/>
            <rFont val="Tahoma"/>
            <family val="2"/>
          </rPr>
          <t xml:space="preserve">
assumed</t>
        </r>
      </text>
    </comment>
    <comment ref="BA81" authorId="0" shapeId="0" xr:uid="{8107A677-5CBC-475F-BB46-22306ED7DB91}">
      <text>
        <r>
          <rPr>
            <b/>
            <sz val="9"/>
            <color indexed="81"/>
            <rFont val="Tahoma"/>
            <family val="2"/>
          </rPr>
          <t>Gavin Mudd:</t>
        </r>
        <r>
          <rPr>
            <sz val="9"/>
            <color indexed="81"/>
            <rFont val="Tahoma"/>
            <family val="2"/>
          </rPr>
          <t xml:space="preserve">
assumed</t>
        </r>
      </text>
    </comment>
    <comment ref="BB81" authorId="0" shapeId="0" xr:uid="{62275483-5EE0-483E-85B8-19EB2844CFDF}">
      <text>
        <r>
          <rPr>
            <b/>
            <sz val="9"/>
            <color indexed="81"/>
            <rFont val="Tahoma"/>
            <family val="2"/>
          </rPr>
          <t>Gavin Mudd:</t>
        </r>
        <r>
          <rPr>
            <sz val="9"/>
            <color indexed="81"/>
            <rFont val="Tahoma"/>
            <family val="2"/>
          </rPr>
          <t xml:space="preserve">
assumed</t>
        </r>
      </text>
    </comment>
    <comment ref="CD81" authorId="0" shapeId="0" xr:uid="{FACE6205-D5C6-4E74-B07F-6B6161640401}">
      <text>
        <r>
          <rPr>
            <b/>
            <sz val="9"/>
            <color indexed="81"/>
            <rFont val="Tahoma"/>
            <family val="2"/>
          </rPr>
          <t>Gavin Mudd:</t>
        </r>
        <r>
          <rPr>
            <sz val="9"/>
            <color indexed="81"/>
            <rFont val="Tahoma"/>
            <family val="2"/>
          </rPr>
          <t xml:space="preserve">
assumed</t>
        </r>
      </text>
    </comment>
    <comment ref="CE81" authorId="0" shapeId="0" xr:uid="{E75DA6C2-9800-40CF-8555-3905FB989B13}">
      <text>
        <r>
          <rPr>
            <b/>
            <sz val="9"/>
            <color indexed="81"/>
            <rFont val="Tahoma"/>
            <family val="2"/>
          </rPr>
          <t>Gavin Mudd:</t>
        </r>
        <r>
          <rPr>
            <sz val="9"/>
            <color indexed="81"/>
            <rFont val="Tahoma"/>
            <family val="2"/>
          </rPr>
          <t xml:space="preserve">
assumed</t>
        </r>
      </text>
    </comment>
    <comment ref="CJ81" authorId="0" shapeId="0" xr:uid="{BDAC4311-5A87-4431-B18B-AE91AF3413BE}">
      <text>
        <r>
          <rPr>
            <b/>
            <sz val="9"/>
            <color indexed="81"/>
            <rFont val="Tahoma"/>
            <family val="2"/>
          </rPr>
          <t>Gavin Mudd:</t>
        </r>
        <r>
          <rPr>
            <sz val="9"/>
            <color indexed="81"/>
            <rFont val="Tahoma"/>
            <family val="2"/>
          </rPr>
          <t xml:space="preserve">
assumed</t>
        </r>
      </text>
    </comment>
    <comment ref="CK81" authorId="0" shapeId="0" xr:uid="{BB7C6F56-FB16-4D72-929C-75E8A12B18A0}">
      <text>
        <r>
          <rPr>
            <b/>
            <sz val="9"/>
            <color indexed="81"/>
            <rFont val="Tahoma"/>
            <family val="2"/>
          </rPr>
          <t>Gavin Mudd:</t>
        </r>
        <r>
          <rPr>
            <sz val="9"/>
            <color indexed="81"/>
            <rFont val="Tahoma"/>
            <family val="2"/>
          </rPr>
          <t xml:space="preserve">
assumed</t>
        </r>
      </text>
    </comment>
    <comment ref="CO81" authorId="0" shapeId="0" xr:uid="{020F2663-657C-40DE-B83D-D598D02931FE}">
      <text>
        <r>
          <rPr>
            <b/>
            <sz val="9"/>
            <color indexed="81"/>
            <rFont val="Tahoma"/>
            <family val="2"/>
          </rPr>
          <t>Gavin Mudd:</t>
        </r>
        <r>
          <rPr>
            <sz val="9"/>
            <color indexed="81"/>
            <rFont val="Tahoma"/>
            <family val="2"/>
          </rPr>
          <t xml:space="preserve">
assumed</t>
        </r>
      </text>
    </comment>
    <comment ref="CP81" authorId="0" shapeId="0" xr:uid="{DAE8D1F9-9805-4F70-A50C-DDB90353CA5C}">
      <text>
        <r>
          <rPr>
            <b/>
            <sz val="9"/>
            <color indexed="81"/>
            <rFont val="Tahoma"/>
            <family val="2"/>
          </rPr>
          <t>Gavin Mudd:</t>
        </r>
        <r>
          <rPr>
            <sz val="9"/>
            <color indexed="81"/>
            <rFont val="Tahoma"/>
            <family val="2"/>
          </rPr>
          <t xml:space="preserve">
assumed</t>
        </r>
      </text>
    </comment>
    <comment ref="DL81" authorId="0" shapeId="0" xr:uid="{24F7FF54-1BD7-4D9E-8A8E-8150AD4B2197}">
      <text>
        <r>
          <rPr>
            <b/>
            <sz val="9"/>
            <color indexed="81"/>
            <rFont val="Tahoma"/>
            <family val="2"/>
          </rPr>
          <t>Gavin Mudd:</t>
        </r>
        <r>
          <rPr>
            <sz val="9"/>
            <color indexed="81"/>
            <rFont val="Tahoma"/>
            <family val="2"/>
          </rPr>
          <t xml:space="preserve">
assumed</t>
        </r>
      </text>
    </comment>
    <comment ref="DM81" authorId="0" shapeId="0" xr:uid="{CF3C1B69-80C5-46C6-B92E-514A416BB38F}">
      <text>
        <r>
          <rPr>
            <b/>
            <sz val="9"/>
            <color indexed="81"/>
            <rFont val="Tahoma"/>
            <family val="2"/>
          </rPr>
          <t>Gavin Mudd:</t>
        </r>
        <r>
          <rPr>
            <sz val="9"/>
            <color indexed="81"/>
            <rFont val="Tahoma"/>
            <family val="2"/>
          </rPr>
          <t xml:space="preserve">
assumed</t>
        </r>
      </text>
    </comment>
    <comment ref="F82" authorId="0" shapeId="0" xr:uid="{7DA5452D-97AC-4224-8EE6-82F263897B77}">
      <text>
        <r>
          <rPr>
            <b/>
            <sz val="9"/>
            <color indexed="81"/>
            <rFont val="Tahoma"/>
            <family val="2"/>
          </rPr>
          <t>Gavin Mudd:</t>
        </r>
        <r>
          <rPr>
            <sz val="9"/>
            <color indexed="81"/>
            <rFont val="Tahoma"/>
            <family val="2"/>
          </rPr>
          <t xml:space="preserve">
tailings</t>
        </r>
      </text>
    </comment>
    <comment ref="G82" authorId="0" shapeId="0" xr:uid="{AD53753B-1900-48B2-B31A-195FD5B8D1D3}">
      <text>
        <r>
          <rPr>
            <b/>
            <sz val="9"/>
            <color indexed="81"/>
            <rFont val="Tahoma"/>
            <family val="2"/>
          </rPr>
          <t>Gavin Mudd:</t>
        </r>
        <r>
          <rPr>
            <sz val="9"/>
            <color indexed="81"/>
            <rFont val="Tahoma"/>
            <family val="2"/>
          </rPr>
          <t xml:space="preserve">
assumed</t>
        </r>
      </text>
    </comment>
    <comment ref="P82" authorId="0" shapeId="0" xr:uid="{FA01BC73-50CC-46A9-949A-AAEE83511493}">
      <text>
        <r>
          <rPr>
            <b/>
            <sz val="9"/>
            <color indexed="81"/>
            <rFont val="Tahoma"/>
            <family val="2"/>
          </rPr>
          <t>Gavin Mudd:</t>
        </r>
        <r>
          <rPr>
            <sz val="9"/>
            <color indexed="81"/>
            <rFont val="Tahoma"/>
            <family val="2"/>
          </rPr>
          <t xml:space="preserve">
Holbrook &amp; Tumbarumba</t>
        </r>
      </text>
    </comment>
    <comment ref="Q82" authorId="0" shapeId="0" xr:uid="{FF7D8BCA-04B9-4057-BDA3-D370DEAA9A1A}">
      <text>
        <r>
          <rPr>
            <b/>
            <sz val="9"/>
            <color indexed="81"/>
            <rFont val="Tahoma"/>
            <family val="2"/>
          </rPr>
          <t>Gavin Mudd:</t>
        </r>
        <r>
          <rPr>
            <sz val="9"/>
            <color indexed="81"/>
            <rFont val="Tahoma"/>
            <family val="2"/>
          </rPr>
          <t xml:space="preserve">
assumed</t>
        </r>
      </text>
    </comment>
    <comment ref="W82" authorId="0" shapeId="0" xr:uid="{03F1D3ED-AFCD-4A75-82AC-568DC540F986}">
      <text>
        <r>
          <rPr>
            <b/>
            <sz val="9"/>
            <color indexed="81"/>
            <rFont val="Tahoma"/>
            <family val="2"/>
          </rPr>
          <t>Gavin Mudd:</t>
        </r>
        <r>
          <rPr>
            <sz val="9"/>
            <color indexed="81"/>
            <rFont val="Tahoma"/>
            <family val="2"/>
          </rPr>
          <t xml:space="preserve">
assumed</t>
        </r>
      </text>
    </comment>
    <comment ref="Y82" authorId="0" shapeId="0" xr:uid="{985CA576-FC52-471B-B54D-B6B79BE4553D}">
      <text>
        <r>
          <rPr>
            <b/>
            <sz val="9"/>
            <color indexed="81"/>
            <rFont val="Tahoma"/>
            <family val="2"/>
          </rPr>
          <t>Gavin Mudd:</t>
        </r>
        <r>
          <rPr>
            <sz val="9"/>
            <color indexed="81"/>
            <rFont val="Tahoma"/>
            <family val="2"/>
          </rPr>
          <t xml:space="preserve">
assumed</t>
        </r>
      </text>
    </comment>
    <comment ref="AA82" authorId="0" shapeId="0" xr:uid="{ABB4A260-FB37-4E40-B009-A282B4C31737}">
      <text>
        <r>
          <rPr>
            <b/>
            <sz val="9"/>
            <color indexed="81"/>
            <rFont val="Tahoma"/>
            <family val="2"/>
          </rPr>
          <t>Gavin Mudd:</t>
        </r>
        <r>
          <rPr>
            <sz val="9"/>
            <color indexed="81"/>
            <rFont val="Tahoma"/>
            <family val="2"/>
          </rPr>
          <t xml:space="preserve">
assumed</t>
        </r>
      </text>
    </comment>
    <comment ref="AG82" authorId="0" shapeId="0" xr:uid="{1ADCD851-CCD4-4FE0-9EDA-4147DD1F9467}">
      <text>
        <r>
          <rPr>
            <b/>
            <sz val="9"/>
            <color indexed="81"/>
            <rFont val="Tahoma"/>
            <family val="2"/>
          </rPr>
          <t>Gavin Mudd:</t>
        </r>
        <r>
          <rPr>
            <sz val="9"/>
            <color indexed="81"/>
            <rFont val="Tahoma"/>
            <family val="2"/>
          </rPr>
          <t xml:space="preserve">
assumed</t>
        </r>
      </text>
    </comment>
    <comment ref="AK82" authorId="0" shapeId="0" xr:uid="{CB549383-DF5A-4077-95D9-589D8AEE075D}">
      <text>
        <r>
          <rPr>
            <b/>
            <sz val="9"/>
            <color indexed="81"/>
            <rFont val="Tahoma"/>
            <family val="2"/>
          </rPr>
          <t>Gavin Mudd:</t>
        </r>
        <r>
          <rPr>
            <sz val="9"/>
            <color indexed="81"/>
            <rFont val="Tahoma"/>
            <family val="2"/>
          </rPr>
          <t xml:space="preserve">
assumed</t>
        </r>
      </text>
    </comment>
    <comment ref="AM82" authorId="0" shapeId="0" xr:uid="{B129E521-4505-4C8B-80E0-EC53AA4D88DF}">
      <text>
        <r>
          <rPr>
            <b/>
            <sz val="9"/>
            <color indexed="81"/>
            <rFont val="Tahoma"/>
            <family val="2"/>
          </rPr>
          <t>Gavin Mudd:</t>
        </r>
        <r>
          <rPr>
            <sz val="9"/>
            <color indexed="81"/>
            <rFont val="Tahoma"/>
            <family val="2"/>
          </rPr>
          <t xml:space="preserve">
assumed</t>
        </r>
      </text>
    </comment>
    <comment ref="AO82" authorId="0" shapeId="0" xr:uid="{1F8675A5-5870-4AE6-8E5A-461553C310EC}">
      <text>
        <r>
          <rPr>
            <b/>
            <sz val="9"/>
            <color indexed="81"/>
            <rFont val="Tahoma"/>
            <family val="2"/>
          </rPr>
          <t>Gavin Mudd:</t>
        </r>
        <r>
          <rPr>
            <sz val="9"/>
            <color indexed="81"/>
            <rFont val="Tahoma"/>
            <family val="2"/>
          </rPr>
          <t xml:space="preserve">
assumed</t>
        </r>
      </text>
    </comment>
    <comment ref="AU82" authorId="0" shapeId="0" xr:uid="{D18C5D48-026E-475A-BD9E-9E079E47F3B6}">
      <text>
        <r>
          <rPr>
            <b/>
            <sz val="9"/>
            <color indexed="81"/>
            <rFont val="Tahoma"/>
            <family val="2"/>
          </rPr>
          <t>Gavin Mudd:</t>
        </r>
        <r>
          <rPr>
            <sz val="9"/>
            <color indexed="81"/>
            <rFont val="Tahoma"/>
            <family val="2"/>
          </rPr>
          <t xml:space="preserve">
assumed</t>
        </r>
      </text>
    </comment>
    <comment ref="BA82" authorId="0" shapeId="0" xr:uid="{E9067E8B-31AD-4476-B0D9-C64295A833A2}">
      <text>
        <r>
          <rPr>
            <b/>
            <sz val="9"/>
            <color indexed="81"/>
            <rFont val="Tahoma"/>
            <family val="2"/>
          </rPr>
          <t>Gavin Mudd:</t>
        </r>
        <r>
          <rPr>
            <sz val="9"/>
            <color indexed="81"/>
            <rFont val="Tahoma"/>
            <family val="2"/>
          </rPr>
          <t xml:space="preserve">
assumed</t>
        </r>
      </text>
    </comment>
    <comment ref="BB82" authorId="0" shapeId="0" xr:uid="{9D8F166F-B2FF-4518-BA97-25BCEA058DCD}">
      <text>
        <r>
          <rPr>
            <b/>
            <sz val="9"/>
            <color indexed="81"/>
            <rFont val="Tahoma"/>
            <family val="2"/>
          </rPr>
          <t>Gavin Mudd:</t>
        </r>
        <r>
          <rPr>
            <sz val="9"/>
            <color indexed="81"/>
            <rFont val="Tahoma"/>
            <family val="2"/>
          </rPr>
          <t xml:space="preserve">
assumed</t>
        </r>
      </text>
    </comment>
    <comment ref="CD82" authorId="0" shapeId="0" xr:uid="{9BE5A0EF-8528-4B08-8828-D3B2825C9AF5}">
      <text>
        <r>
          <rPr>
            <b/>
            <sz val="9"/>
            <color indexed="81"/>
            <rFont val="Tahoma"/>
            <family val="2"/>
          </rPr>
          <t>Gavin Mudd:</t>
        </r>
        <r>
          <rPr>
            <sz val="9"/>
            <color indexed="81"/>
            <rFont val="Tahoma"/>
            <family val="2"/>
          </rPr>
          <t xml:space="preserve">
assumed</t>
        </r>
      </text>
    </comment>
    <comment ref="CE82" authorId="0" shapeId="0" xr:uid="{31417127-920F-4368-BF7A-485C47A9B838}">
      <text>
        <r>
          <rPr>
            <b/>
            <sz val="9"/>
            <color indexed="81"/>
            <rFont val="Tahoma"/>
            <family val="2"/>
          </rPr>
          <t>Gavin Mudd:</t>
        </r>
        <r>
          <rPr>
            <sz val="9"/>
            <color indexed="81"/>
            <rFont val="Tahoma"/>
            <family val="2"/>
          </rPr>
          <t xml:space="preserve">
assumed</t>
        </r>
      </text>
    </comment>
    <comment ref="CJ82" authorId="0" shapeId="0" xr:uid="{D39A3D78-B38F-4660-B899-E095C965B00B}">
      <text>
        <r>
          <rPr>
            <b/>
            <sz val="9"/>
            <color indexed="81"/>
            <rFont val="Tahoma"/>
            <family val="2"/>
          </rPr>
          <t>Gavin Mudd:</t>
        </r>
        <r>
          <rPr>
            <sz val="9"/>
            <color indexed="81"/>
            <rFont val="Tahoma"/>
            <family val="2"/>
          </rPr>
          <t xml:space="preserve">
assumed</t>
        </r>
      </text>
    </comment>
    <comment ref="CK82" authorId="0" shapeId="0" xr:uid="{6DC4F071-EC5F-48A8-8429-4C334A11D970}">
      <text>
        <r>
          <rPr>
            <b/>
            <sz val="9"/>
            <color indexed="81"/>
            <rFont val="Tahoma"/>
            <family val="2"/>
          </rPr>
          <t>Gavin Mudd:</t>
        </r>
        <r>
          <rPr>
            <sz val="9"/>
            <color indexed="81"/>
            <rFont val="Tahoma"/>
            <family val="2"/>
          </rPr>
          <t xml:space="preserve">
assumed</t>
        </r>
      </text>
    </comment>
    <comment ref="CO82" authorId="0" shapeId="0" xr:uid="{406E55A7-7248-4E40-A76E-6256EA694280}">
      <text>
        <r>
          <rPr>
            <b/>
            <sz val="9"/>
            <color indexed="81"/>
            <rFont val="Tahoma"/>
            <family val="2"/>
          </rPr>
          <t>Gavin Mudd:</t>
        </r>
        <r>
          <rPr>
            <sz val="9"/>
            <color indexed="81"/>
            <rFont val="Tahoma"/>
            <family val="2"/>
          </rPr>
          <t xml:space="preserve">
assumed</t>
        </r>
      </text>
    </comment>
    <comment ref="CP82" authorId="0" shapeId="0" xr:uid="{41F2142A-2558-4F0F-A57C-A4594571373A}">
      <text>
        <r>
          <rPr>
            <b/>
            <sz val="9"/>
            <color indexed="81"/>
            <rFont val="Tahoma"/>
            <family val="2"/>
          </rPr>
          <t>Gavin Mudd:</t>
        </r>
        <r>
          <rPr>
            <sz val="9"/>
            <color indexed="81"/>
            <rFont val="Tahoma"/>
            <family val="2"/>
          </rPr>
          <t xml:space="preserve">
assumed</t>
        </r>
      </text>
    </comment>
    <comment ref="DL82" authorId="0" shapeId="0" xr:uid="{85E61665-B5D8-4986-B8BF-A3B9011A758B}">
      <text>
        <r>
          <rPr>
            <b/>
            <sz val="9"/>
            <color indexed="81"/>
            <rFont val="Tahoma"/>
            <family val="2"/>
          </rPr>
          <t>Gavin Mudd:</t>
        </r>
        <r>
          <rPr>
            <sz val="9"/>
            <color indexed="81"/>
            <rFont val="Tahoma"/>
            <family val="2"/>
          </rPr>
          <t xml:space="preserve">
assumed</t>
        </r>
      </text>
    </comment>
    <comment ref="DM82" authorId="0" shapeId="0" xr:uid="{23EBD1AD-9D0D-4492-852C-379DB76EE5CE}">
      <text>
        <r>
          <rPr>
            <b/>
            <sz val="9"/>
            <color indexed="81"/>
            <rFont val="Tahoma"/>
            <family val="2"/>
          </rPr>
          <t>Gavin Mudd:</t>
        </r>
        <r>
          <rPr>
            <sz val="9"/>
            <color indexed="81"/>
            <rFont val="Tahoma"/>
            <family val="2"/>
          </rPr>
          <t xml:space="preserve">
assumed</t>
        </r>
      </text>
    </comment>
    <comment ref="J83" authorId="0" shapeId="0" xr:uid="{0ED42D69-52F1-43E2-8228-5E74B20382BA}">
      <text>
        <r>
          <rPr>
            <b/>
            <sz val="9"/>
            <color indexed="81"/>
            <rFont val="Tahoma"/>
            <family val="2"/>
          </rPr>
          <t>Gavin Mudd:</t>
        </r>
        <r>
          <rPr>
            <sz val="9"/>
            <color indexed="81"/>
            <rFont val="Tahoma"/>
            <family val="2"/>
          </rPr>
          <t xml:space="preserve">
Tumut</t>
        </r>
      </text>
    </comment>
    <comment ref="K83" authorId="0" shapeId="0" xr:uid="{339DAD63-FD16-4D10-8643-4173D0B998FF}">
      <text>
        <r>
          <rPr>
            <b/>
            <sz val="9"/>
            <color indexed="81"/>
            <rFont val="Tahoma"/>
            <family val="2"/>
          </rPr>
          <t>Gavin Mudd:</t>
        </r>
        <r>
          <rPr>
            <sz val="9"/>
            <color indexed="81"/>
            <rFont val="Tahoma"/>
            <family val="2"/>
          </rPr>
          <t xml:space="preserve">
assumed</t>
        </r>
      </text>
    </comment>
    <comment ref="M83" authorId="0" shapeId="0" xr:uid="{5C73A566-BEF3-41C6-A15B-062236B90FA2}">
      <text>
        <r>
          <rPr>
            <b/>
            <sz val="9"/>
            <color indexed="81"/>
            <rFont val="Tahoma"/>
            <family val="2"/>
          </rPr>
          <t>Gavin Mudd:</t>
        </r>
        <r>
          <rPr>
            <sz val="9"/>
            <color indexed="81"/>
            <rFont val="Tahoma"/>
            <family val="2"/>
          </rPr>
          <t xml:space="preserve">
assumed</t>
        </r>
      </text>
    </comment>
    <comment ref="O83" authorId="0" shapeId="0" xr:uid="{07D731FF-238C-4761-A750-3B4DC9814533}">
      <text>
        <r>
          <rPr>
            <b/>
            <sz val="9"/>
            <color indexed="81"/>
            <rFont val="Tahoma"/>
            <family val="2"/>
          </rPr>
          <t>Gavin Mudd:</t>
        </r>
        <r>
          <rPr>
            <sz val="9"/>
            <color indexed="81"/>
            <rFont val="Tahoma"/>
            <family val="2"/>
          </rPr>
          <t xml:space="preserve">
assumed</t>
        </r>
      </text>
    </comment>
    <comment ref="P83" authorId="0" shapeId="0" xr:uid="{27FF8A97-F41D-4908-81D4-76F61DFFF6B5}">
      <text>
        <r>
          <rPr>
            <b/>
            <sz val="9"/>
            <color indexed="81"/>
            <rFont val="Tahoma"/>
            <family val="2"/>
          </rPr>
          <t>Gavin Mudd:</t>
        </r>
        <r>
          <rPr>
            <sz val="9"/>
            <color indexed="81"/>
            <rFont val="Tahoma"/>
            <family val="2"/>
          </rPr>
          <t xml:space="preserve">
Tumbarumba</t>
        </r>
      </text>
    </comment>
    <comment ref="Q83" authorId="0" shapeId="0" xr:uid="{F25A070C-84A4-4271-B504-3079EA491755}">
      <text>
        <r>
          <rPr>
            <b/>
            <sz val="9"/>
            <color indexed="81"/>
            <rFont val="Tahoma"/>
            <family val="2"/>
          </rPr>
          <t>Gavin Mudd:</t>
        </r>
        <r>
          <rPr>
            <sz val="9"/>
            <color indexed="81"/>
            <rFont val="Tahoma"/>
            <family val="2"/>
          </rPr>
          <t xml:space="preserve">
assumed</t>
        </r>
      </text>
    </comment>
    <comment ref="U83" authorId="0" shapeId="0" xr:uid="{31AB67B2-5249-4E19-9900-330417E0055A}">
      <text>
        <r>
          <rPr>
            <b/>
            <sz val="9"/>
            <color indexed="81"/>
            <rFont val="Tahoma"/>
            <family val="2"/>
          </rPr>
          <t>Gavin Mudd:</t>
        </r>
        <r>
          <rPr>
            <sz val="9"/>
            <color indexed="81"/>
            <rFont val="Tahoma"/>
            <family val="2"/>
          </rPr>
          <t xml:space="preserve">
assumed</t>
        </r>
      </text>
    </comment>
    <comment ref="W83" authorId="0" shapeId="0" xr:uid="{FDA0F7D0-7947-406F-80AA-F1230C8AC7EE}">
      <text>
        <r>
          <rPr>
            <b/>
            <sz val="9"/>
            <color indexed="81"/>
            <rFont val="Tahoma"/>
            <family val="2"/>
          </rPr>
          <t>Gavin Mudd:</t>
        </r>
        <r>
          <rPr>
            <sz val="9"/>
            <color indexed="81"/>
            <rFont val="Tahoma"/>
            <family val="2"/>
          </rPr>
          <t xml:space="preserve">
assumed</t>
        </r>
      </text>
    </comment>
    <comment ref="Y83" authorId="0" shapeId="0" xr:uid="{8A7F458D-3222-4C45-881C-E87B14EC65D3}">
      <text>
        <r>
          <rPr>
            <b/>
            <sz val="9"/>
            <color indexed="81"/>
            <rFont val="Tahoma"/>
            <family val="2"/>
          </rPr>
          <t>Gavin Mudd:</t>
        </r>
        <r>
          <rPr>
            <sz val="9"/>
            <color indexed="81"/>
            <rFont val="Tahoma"/>
            <family val="2"/>
          </rPr>
          <t xml:space="preserve">
assumed</t>
        </r>
      </text>
    </comment>
    <comment ref="AA83" authorId="0" shapeId="0" xr:uid="{8C1177CA-BFF1-4CBE-9ADA-3E6C701FDC90}">
      <text>
        <r>
          <rPr>
            <b/>
            <sz val="9"/>
            <color indexed="81"/>
            <rFont val="Tahoma"/>
            <family val="2"/>
          </rPr>
          <t>Gavin Mudd:</t>
        </r>
        <r>
          <rPr>
            <sz val="9"/>
            <color indexed="81"/>
            <rFont val="Tahoma"/>
            <family val="2"/>
          </rPr>
          <t xml:space="preserve">
assumed</t>
        </r>
      </text>
    </comment>
    <comment ref="AG83" authorId="0" shapeId="0" xr:uid="{50CB68B9-F9C8-49CB-826A-0DEEA79B5176}">
      <text>
        <r>
          <rPr>
            <b/>
            <sz val="9"/>
            <color indexed="81"/>
            <rFont val="Tahoma"/>
            <family val="2"/>
          </rPr>
          <t>Gavin Mudd:</t>
        </r>
        <r>
          <rPr>
            <sz val="9"/>
            <color indexed="81"/>
            <rFont val="Tahoma"/>
            <family val="2"/>
          </rPr>
          <t xml:space="preserve">
assumed</t>
        </r>
      </text>
    </comment>
    <comment ref="AK83" authorId="0" shapeId="0" xr:uid="{2D9F1935-E6E9-4378-9DF2-4803788468A0}">
      <text>
        <r>
          <rPr>
            <b/>
            <sz val="9"/>
            <color indexed="81"/>
            <rFont val="Tahoma"/>
            <family val="2"/>
          </rPr>
          <t>Gavin Mudd:</t>
        </r>
        <r>
          <rPr>
            <sz val="9"/>
            <color indexed="81"/>
            <rFont val="Tahoma"/>
            <family val="2"/>
          </rPr>
          <t xml:space="preserve">
assumed</t>
        </r>
      </text>
    </comment>
    <comment ref="AM83" authorId="0" shapeId="0" xr:uid="{858D426A-73D7-4609-B7B2-436CE02FCE87}">
      <text>
        <r>
          <rPr>
            <b/>
            <sz val="9"/>
            <color indexed="81"/>
            <rFont val="Tahoma"/>
            <family val="2"/>
          </rPr>
          <t>Gavin Mudd:</t>
        </r>
        <r>
          <rPr>
            <sz val="9"/>
            <color indexed="81"/>
            <rFont val="Tahoma"/>
            <family val="2"/>
          </rPr>
          <t xml:space="preserve">
assumed</t>
        </r>
      </text>
    </comment>
    <comment ref="AO83" authorId="0" shapeId="0" xr:uid="{B676633A-E37E-4644-B367-B67749A877A3}">
      <text>
        <r>
          <rPr>
            <b/>
            <sz val="9"/>
            <color indexed="81"/>
            <rFont val="Tahoma"/>
            <family val="2"/>
          </rPr>
          <t>Gavin Mudd:</t>
        </r>
        <r>
          <rPr>
            <sz val="9"/>
            <color indexed="81"/>
            <rFont val="Tahoma"/>
            <family val="2"/>
          </rPr>
          <t xml:space="preserve">
assumed</t>
        </r>
      </text>
    </comment>
    <comment ref="AQ83" authorId="0" shapeId="0" xr:uid="{AEC64C7A-4DF4-4E95-BF9B-9EF4BD255629}">
      <text>
        <r>
          <rPr>
            <b/>
            <sz val="9"/>
            <color indexed="81"/>
            <rFont val="Tahoma"/>
            <family val="2"/>
          </rPr>
          <t>Gavin Mudd:</t>
        </r>
        <r>
          <rPr>
            <sz val="9"/>
            <color indexed="81"/>
            <rFont val="Tahoma"/>
            <family val="2"/>
          </rPr>
          <t xml:space="preserve">
assumed</t>
        </r>
      </text>
    </comment>
    <comment ref="AU83" authorId="0" shapeId="0" xr:uid="{25718C0C-BAF4-4941-B8A8-D1609C0351E9}">
      <text>
        <r>
          <rPr>
            <b/>
            <sz val="9"/>
            <color indexed="81"/>
            <rFont val="Tahoma"/>
            <family val="2"/>
          </rPr>
          <t>Gavin Mudd:</t>
        </r>
        <r>
          <rPr>
            <sz val="9"/>
            <color indexed="81"/>
            <rFont val="Tahoma"/>
            <family val="2"/>
          </rPr>
          <t xml:space="preserve">
assumed</t>
        </r>
      </text>
    </comment>
    <comment ref="CD83" authorId="0" shapeId="0" xr:uid="{882E2A27-23A9-42B1-AF04-EFCB1F3C6070}">
      <text>
        <r>
          <rPr>
            <b/>
            <sz val="9"/>
            <color indexed="81"/>
            <rFont val="Tahoma"/>
            <family val="2"/>
          </rPr>
          <t>Gavin Mudd:</t>
        </r>
        <r>
          <rPr>
            <sz val="9"/>
            <color indexed="81"/>
            <rFont val="Tahoma"/>
            <family val="2"/>
          </rPr>
          <t xml:space="preserve">
assumed</t>
        </r>
      </text>
    </comment>
    <comment ref="CE83" authorId="0" shapeId="0" xr:uid="{FFA4389B-482B-4167-ACD8-012AFA80F1D3}">
      <text>
        <r>
          <rPr>
            <b/>
            <sz val="9"/>
            <color indexed="81"/>
            <rFont val="Tahoma"/>
            <family val="2"/>
          </rPr>
          <t>Gavin Mudd:</t>
        </r>
        <r>
          <rPr>
            <sz val="9"/>
            <color indexed="81"/>
            <rFont val="Tahoma"/>
            <family val="2"/>
          </rPr>
          <t xml:space="preserve">
assumed</t>
        </r>
      </text>
    </comment>
    <comment ref="CJ83" authorId="0" shapeId="0" xr:uid="{F6E33C1A-340C-4D3F-84AB-C8A1772B2F3F}">
      <text>
        <r>
          <rPr>
            <b/>
            <sz val="9"/>
            <color indexed="81"/>
            <rFont val="Tahoma"/>
            <family val="2"/>
          </rPr>
          <t>Gavin Mudd:</t>
        </r>
        <r>
          <rPr>
            <sz val="9"/>
            <color indexed="81"/>
            <rFont val="Tahoma"/>
            <family val="2"/>
          </rPr>
          <t xml:space="preserve">
assumed</t>
        </r>
      </text>
    </comment>
    <comment ref="CK83" authorId="0" shapeId="0" xr:uid="{92694691-3907-4B99-8286-AE074638446D}">
      <text>
        <r>
          <rPr>
            <b/>
            <sz val="9"/>
            <color indexed="81"/>
            <rFont val="Tahoma"/>
            <family val="2"/>
          </rPr>
          <t>Gavin Mudd:</t>
        </r>
        <r>
          <rPr>
            <sz val="9"/>
            <color indexed="81"/>
            <rFont val="Tahoma"/>
            <family val="2"/>
          </rPr>
          <t xml:space="preserve">
assumed</t>
        </r>
      </text>
    </comment>
    <comment ref="CO83" authorId="0" shapeId="0" xr:uid="{EF82134B-2DBA-4EF8-88FC-1860DFF106F7}">
      <text>
        <r>
          <rPr>
            <b/>
            <sz val="9"/>
            <color indexed="81"/>
            <rFont val="Tahoma"/>
            <family val="2"/>
          </rPr>
          <t>Gavin Mudd:</t>
        </r>
        <r>
          <rPr>
            <sz val="9"/>
            <color indexed="81"/>
            <rFont val="Tahoma"/>
            <family val="2"/>
          </rPr>
          <t xml:space="preserve">
assumed</t>
        </r>
      </text>
    </comment>
    <comment ref="CP83" authorId="0" shapeId="0" xr:uid="{788B7E39-A1CE-41A8-A202-70E09CDCF056}">
      <text>
        <r>
          <rPr>
            <b/>
            <sz val="9"/>
            <color indexed="81"/>
            <rFont val="Tahoma"/>
            <family val="2"/>
          </rPr>
          <t>Gavin Mudd:</t>
        </r>
        <r>
          <rPr>
            <sz val="9"/>
            <color indexed="81"/>
            <rFont val="Tahoma"/>
            <family val="2"/>
          </rPr>
          <t xml:space="preserve">
assumed</t>
        </r>
      </text>
    </comment>
    <comment ref="CT83" authorId="0" shapeId="0" xr:uid="{EC607496-4E1B-43C3-8112-27B0EE24E4B9}">
      <text>
        <r>
          <rPr>
            <b/>
            <sz val="9"/>
            <color indexed="81"/>
            <rFont val="Tahoma"/>
            <family val="2"/>
          </rPr>
          <t>Gavin Mudd:</t>
        </r>
        <r>
          <rPr>
            <sz val="9"/>
            <color indexed="81"/>
            <rFont val="Tahoma"/>
            <family val="2"/>
          </rPr>
          <t xml:space="preserve">
assumed</t>
        </r>
      </text>
    </comment>
    <comment ref="CU83" authorId="0" shapeId="0" xr:uid="{6A4841AF-26AF-4125-903A-64B500E11A0E}">
      <text>
        <r>
          <rPr>
            <b/>
            <sz val="9"/>
            <color indexed="81"/>
            <rFont val="Tahoma"/>
            <family val="2"/>
          </rPr>
          <t>Gavin Mudd:</t>
        </r>
        <r>
          <rPr>
            <sz val="9"/>
            <color indexed="81"/>
            <rFont val="Tahoma"/>
            <family val="2"/>
          </rPr>
          <t xml:space="preserve">
assumed</t>
        </r>
      </text>
    </comment>
    <comment ref="DL83" authorId="0" shapeId="0" xr:uid="{7873A188-A328-4744-888E-25F3919C32A7}">
      <text>
        <r>
          <rPr>
            <b/>
            <sz val="9"/>
            <color indexed="81"/>
            <rFont val="Tahoma"/>
            <family val="2"/>
          </rPr>
          <t>Gavin Mudd:</t>
        </r>
        <r>
          <rPr>
            <sz val="9"/>
            <color indexed="81"/>
            <rFont val="Tahoma"/>
            <family val="2"/>
          </rPr>
          <t xml:space="preserve">
assumed</t>
        </r>
      </text>
    </comment>
    <comment ref="DM83" authorId="0" shapeId="0" xr:uid="{2FF6F594-B4B8-40F6-AED1-0F93C9A9A20B}">
      <text>
        <r>
          <rPr>
            <b/>
            <sz val="9"/>
            <color indexed="81"/>
            <rFont val="Tahoma"/>
            <family val="2"/>
          </rPr>
          <t>Gavin Mudd:</t>
        </r>
        <r>
          <rPr>
            <sz val="9"/>
            <color indexed="81"/>
            <rFont val="Tahoma"/>
            <family val="2"/>
          </rPr>
          <t xml:space="preserve">
assumed</t>
        </r>
      </text>
    </comment>
    <comment ref="F84" authorId="0" shapeId="0" xr:uid="{AD75E3CE-99CC-4429-BBF5-8EA1A36CF4CE}">
      <text>
        <r>
          <rPr>
            <b/>
            <sz val="9"/>
            <color indexed="81"/>
            <rFont val="Tahoma"/>
            <family val="2"/>
          </rPr>
          <t>Gavin Mudd:</t>
        </r>
        <r>
          <rPr>
            <sz val="9"/>
            <color indexed="81"/>
            <rFont val="Tahoma"/>
            <family val="2"/>
          </rPr>
          <t xml:space="preserve">
tailings</t>
        </r>
      </text>
    </comment>
    <comment ref="G84" authorId="0" shapeId="0" xr:uid="{2401F627-0DC4-4F01-B8C2-01B79F4DCCCE}">
      <text>
        <r>
          <rPr>
            <b/>
            <sz val="9"/>
            <color indexed="81"/>
            <rFont val="Tahoma"/>
            <family val="2"/>
          </rPr>
          <t>Gavin Mudd:</t>
        </r>
        <r>
          <rPr>
            <sz val="9"/>
            <color indexed="81"/>
            <rFont val="Tahoma"/>
            <family val="2"/>
          </rPr>
          <t xml:space="preserve">
assumed</t>
        </r>
      </text>
    </comment>
    <comment ref="J84" authorId="0" shapeId="0" xr:uid="{FC42A178-3CAB-4231-A44E-146B6B02F69A}">
      <text>
        <r>
          <rPr>
            <b/>
            <sz val="9"/>
            <color indexed="81"/>
            <rFont val="Tahoma"/>
            <family val="2"/>
          </rPr>
          <t>Gavin Mudd:</t>
        </r>
        <r>
          <rPr>
            <sz val="9"/>
            <color indexed="81"/>
            <rFont val="Tahoma"/>
            <family val="2"/>
          </rPr>
          <t xml:space="preserve">
Tumut</t>
        </r>
      </text>
    </comment>
    <comment ref="K84" authorId="0" shapeId="0" xr:uid="{647D6D3F-00E9-4437-85A4-279E21307ACB}">
      <text>
        <r>
          <rPr>
            <b/>
            <sz val="9"/>
            <color indexed="81"/>
            <rFont val="Tahoma"/>
            <family val="2"/>
          </rPr>
          <t>Gavin Mudd:</t>
        </r>
        <r>
          <rPr>
            <sz val="9"/>
            <color indexed="81"/>
            <rFont val="Tahoma"/>
            <family val="2"/>
          </rPr>
          <t xml:space="preserve">
assumed</t>
        </r>
      </text>
    </comment>
    <comment ref="P84" authorId="0" shapeId="0" xr:uid="{95790F02-2C71-4C41-B664-1D5647855B9E}">
      <text>
        <r>
          <rPr>
            <b/>
            <sz val="9"/>
            <color indexed="81"/>
            <rFont val="Tahoma"/>
            <family val="2"/>
          </rPr>
          <t>Gavin Mudd:</t>
        </r>
        <r>
          <rPr>
            <sz val="9"/>
            <color indexed="81"/>
            <rFont val="Tahoma"/>
            <family val="2"/>
          </rPr>
          <t xml:space="preserve">
Holbrook &amp; Tumbarumba</t>
        </r>
      </text>
    </comment>
    <comment ref="Q84" authorId="0" shapeId="0" xr:uid="{91A92B07-DB11-498B-9DC2-7B1B3A426D60}">
      <text>
        <r>
          <rPr>
            <b/>
            <sz val="9"/>
            <color indexed="81"/>
            <rFont val="Tahoma"/>
            <family val="2"/>
          </rPr>
          <t>Gavin Mudd:</t>
        </r>
        <r>
          <rPr>
            <sz val="9"/>
            <color indexed="81"/>
            <rFont val="Tahoma"/>
            <family val="2"/>
          </rPr>
          <t xml:space="preserve">
assumed</t>
        </r>
      </text>
    </comment>
    <comment ref="U84" authorId="0" shapeId="0" xr:uid="{DFC0D3EE-2032-42D1-9484-6769C05B5488}">
      <text>
        <r>
          <rPr>
            <b/>
            <sz val="9"/>
            <color indexed="81"/>
            <rFont val="Tahoma"/>
            <family val="2"/>
          </rPr>
          <t>Gavin Mudd:</t>
        </r>
        <r>
          <rPr>
            <sz val="9"/>
            <color indexed="81"/>
            <rFont val="Tahoma"/>
            <family val="2"/>
          </rPr>
          <t xml:space="preserve">
assumed</t>
        </r>
      </text>
    </comment>
    <comment ref="W84" authorId="0" shapeId="0" xr:uid="{DFA4CE55-2399-4037-B25B-2760FAF0A449}">
      <text>
        <r>
          <rPr>
            <b/>
            <sz val="9"/>
            <color indexed="81"/>
            <rFont val="Tahoma"/>
            <family val="2"/>
          </rPr>
          <t>Gavin Mudd:</t>
        </r>
        <r>
          <rPr>
            <sz val="9"/>
            <color indexed="81"/>
            <rFont val="Tahoma"/>
            <family val="2"/>
          </rPr>
          <t xml:space="preserve">
assumed</t>
        </r>
      </text>
    </comment>
    <comment ref="Y84" authorId="0" shapeId="0" xr:uid="{FCE08048-6151-48AC-8272-FD590E49135D}">
      <text>
        <r>
          <rPr>
            <b/>
            <sz val="9"/>
            <color indexed="81"/>
            <rFont val="Tahoma"/>
            <family val="2"/>
          </rPr>
          <t>Gavin Mudd:</t>
        </r>
        <r>
          <rPr>
            <sz val="9"/>
            <color indexed="81"/>
            <rFont val="Tahoma"/>
            <family val="2"/>
          </rPr>
          <t xml:space="preserve">
assumed</t>
        </r>
      </text>
    </comment>
    <comment ref="AA84" authorId="0" shapeId="0" xr:uid="{6E173C25-1598-427B-9290-D280AF2C59BE}">
      <text>
        <r>
          <rPr>
            <b/>
            <sz val="9"/>
            <color indexed="81"/>
            <rFont val="Tahoma"/>
            <family val="2"/>
          </rPr>
          <t>Gavin Mudd:</t>
        </r>
        <r>
          <rPr>
            <sz val="9"/>
            <color indexed="81"/>
            <rFont val="Tahoma"/>
            <family val="2"/>
          </rPr>
          <t xml:space="preserve">
assumed</t>
        </r>
      </text>
    </comment>
    <comment ref="AG84" authorId="0" shapeId="0" xr:uid="{2D0C5257-AEB6-4999-BD41-9BF4DAAE76DA}">
      <text>
        <r>
          <rPr>
            <b/>
            <sz val="9"/>
            <color indexed="81"/>
            <rFont val="Tahoma"/>
            <family val="2"/>
          </rPr>
          <t>Gavin Mudd:</t>
        </r>
        <r>
          <rPr>
            <sz val="9"/>
            <color indexed="81"/>
            <rFont val="Tahoma"/>
            <family val="2"/>
          </rPr>
          <t xml:space="preserve">
assumed</t>
        </r>
      </text>
    </comment>
    <comment ref="AK84" authorId="0" shapeId="0" xr:uid="{9D4961DF-A717-422A-A441-C1E8A4C464CD}">
      <text>
        <r>
          <rPr>
            <b/>
            <sz val="9"/>
            <color indexed="81"/>
            <rFont val="Tahoma"/>
            <family val="2"/>
          </rPr>
          <t>Gavin Mudd:</t>
        </r>
        <r>
          <rPr>
            <sz val="9"/>
            <color indexed="81"/>
            <rFont val="Tahoma"/>
            <family val="2"/>
          </rPr>
          <t xml:space="preserve">
assumed</t>
        </r>
      </text>
    </comment>
    <comment ref="AM84" authorId="0" shapeId="0" xr:uid="{7D4879F7-7518-4DF2-967F-59C4789FE25E}">
      <text>
        <r>
          <rPr>
            <b/>
            <sz val="9"/>
            <color indexed="81"/>
            <rFont val="Tahoma"/>
            <family val="2"/>
          </rPr>
          <t>Gavin Mudd:</t>
        </r>
        <r>
          <rPr>
            <sz val="9"/>
            <color indexed="81"/>
            <rFont val="Tahoma"/>
            <family val="2"/>
          </rPr>
          <t xml:space="preserve">
assumed</t>
        </r>
      </text>
    </comment>
    <comment ref="AO84" authorId="0" shapeId="0" xr:uid="{BFAC3AE4-04E0-409A-A685-58111C2EC38A}">
      <text>
        <r>
          <rPr>
            <b/>
            <sz val="9"/>
            <color indexed="81"/>
            <rFont val="Tahoma"/>
            <family val="2"/>
          </rPr>
          <t>Gavin Mudd:</t>
        </r>
        <r>
          <rPr>
            <sz val="9"/>
            <color indexed="81"/>
            <rFont val="Tahoma"/>
            <family val="2"/>
          </rPr>
          <t xml:space="preserve">
assumed</t>
        </r>
      </text>
    </comment>
    <comment ref="AQ84" authorId="0" shapeId="0" xr:uid="{7D80F2E7-5C1B-44A7-9D58-B2EF41BE0A99}">
      <text>
        <r>
          <rPr>
            <b/>
            <sz val="9"/>
            <color indexed="81"/>
            <rFont val="Tahoma"/>
            <family val="2"/>
          </rPr>
          <t>Gavin Mudd:</t>
        </r>
        <r>
          <rPr>
            <sz val="9"/>
            <color indexed="81"/>
            <rFont val="Tahoma"/>
            <family val="2"/>
          </rPr>
          <t xml:space="preserve">
assumed</t>
        </r>
      </text>
    </comment>
    <comment ref="AU84" authorId="0" shapeId="0" xr:uid="{8698D126-F3BF-4B5F-A57A-348879ACF6EA}">
      <text>
        <r>
          <rPr>
            <b/>
            <sz val="9"/>
            <color indexed="81"/>
            <rFont val="Tahoma"/>
            <family val="2"/>
          </rPr>
          <t>Gavin Mudd:</t>
        </r>
        <r>
          <rPr>
            <sz val="9"/>
            <color indexed="81"/>
            <rFont val="Tahoma"/>
            <family val="2"/>
          </rPr>
          <t xml:space="preserve">
assumed</t>
        </r>
      </text>
    </comment>
    <comment ref="BA84" authorId="0" shapeId="0" xr:uid="{6DD3A4CA-DCE4-4B34-A35D-124DE7C0C86C}">
      <text>
        <r>
          <rPr>
            <b/>
            <sz val="9"/>
            <color indexed="81"/>
            <rFont val="Tahoma"/>
            <family val="2"/>
          </rPr>
          <t>Gavin Mudd:</t>
        </r>
        <r>
          <rPr>
            <sz val="9"/>
            <color indexed="81"/>
            <rFont val="Tahoma"/>
            <family val="2"/>
          </rPr>
          <t xml:space="preserve">
assumed</t>
        </r>
      </text>
    </comment>
    <comment ref="BB84" authorId="0" shapeId="0" xr:uid="{01CB814B-92C7-475D-AAB1-571E7903637C}">
      <text>
        <r>
          <rPr>
            <b/>
            <sz val="9"/>
            <color indexed="81"/>
            <rFont val="Tahoma"/>
            <family val="2"/>
          </rPr>
          <t>Gavin Mudd:</t>
        </r>
        <r>
          <rPr>
            <sz val="9"/>
            <color indexed="81"/>
            <rFont val="Tahoma"/>
            <family val="2"/>
          </rPr>
          <t xml:space="preserve">
assumed</t>
        </r>
      </text>
    </comment>
    <comment ref="CD84" authorId="0" shapeId="0" xr:uid="{17A687CB-047A-40A2-BD96-1DD16204F071}">
      <text>
        <r>
          <rPr>
            <b/>
            <sz val="9"/>
            <color indexed="81"/>
            <rFont val="Tahoma"/>
            <family val="2"/>
          </rPr>
          <t>Gavin Mudd:</t>
        </r>
        <r>
          <rPr>
            <sz val="9"/>
            <color indexed="81"/>
            <rFont val="Tahoma"/>
            <family val="2"/>
          </rPr>
          <t xml:space="preserve">
assumed</t>
        </r>
      </text>
    </comment>
    <comment ref="CE84" authorId="0" shapeId="0" xr:uid="{2B74C9CE-16D1-4380-9146-106BF586EEBA}">
      <text>
        <r>
          <rPr>
            <b/>
            <sz val="9"/>
            <color indexed="81"/>
            <rFont val="Tahoma"/>
            <family val="2"/>
          </rPr>
          <t>Gavin Mudd:</t>
        </r>
        <r>
          <rPr>
            <sz val="9"/>
            <color indexed="81"/>
            <rFont val="Tahoma"/>
            <family val="2"/>
          </rPr>
          <t xml:space="preserve">
assumed</t>
        </r>
      </text>
    </comment>
    <comment ref="CO84" authorId="0" shapeId="0" xr:uid="{F508928E-3493-46FA-9A31-6EC3826D155D}">
      <text>
        <r>
          <rPr>
            <b/>
            <sz val="9"/>
            <color indexed="81"/>
            <rFont val="Tahoma"/>
            <family val="2"/>
          </rPr>
          <t>Gavin Mudd:</t>
        </r>
        <r>
          <rPr>
            <sz val="9"/>
            <color indexed="81"/>
            <rFont val="Tahoma"/>
            <family val="2"/>
          </rPr>
          <t xml:space="preserve">
assumed</t>
        </r>
      </text>
    </comment>
    <comment ref="CP84" authorId="0" shapeId="0" xr:uid="{62837F98-3313-4EAF-8B35-3DE489E26EE4}">
      <text>
        <r>
          <rPr>
            <b/>
            <sz val="9"/>
            <color indexed="81"/>
            <rFont val="Tahoma"/>
            <family val="2"/>
          </rPr>
          <t>Gavin Mudd:</t>
        </r>
        <r>
          <rPr>
            <sz val="9"/>
            <color indexed="81"/>
            <rFont val="Tahoma"/>
            <family val="2"/>
          </rPr>
          <t xml:space="preserve">
assumed</t>
        </r>
      </text>
    </comment>
    <comment ref="DL84" authorId="0" shapeId="0" xr:uid="{842D78D4-85BE-4FBB-9D8E-636EA553E813}">
      <text>
        <r>
          <rPr>
            <b/>
            <sz val="9"/>
            <color indexed="81"/>
            <rFont val="Tahoma"/>
            <family val="2"/>
          </rPr>
          <t>Gavin Mudd:</t>
        </r>
        <r>
          <rPr>
            <sz val="9"/>
            <color indexed="81"/>
            <rFont val="Tahoma"/>
            <family val="2"/>
          </rPr>
          <t xml:space="preserve">
assumed</t>
        </r>
      </text>
    </comment>
    <comment ref="DM84" authorId="0" shapeId="0" xr:uid="{B9524128-C75E-46CD-8457-BB97CCC668E0}">
      <text>
        <r>
          <rPr>
            <b/>
            <sz val="9"/>
            <color indexed="81"/>
            <rFont val="Tahoma"/>
            <family val="2"/>
          </rPr>
          <t>Gavin Mudd:</t>
        </r>
        <r>
          <rPr>
            <sz val="9"/>
            <color indexed="81"/>
            <rFont val="Tahoma"/>
            <family val="2"/>
          </rPr>
          <t xml:space="preserve">
assumed</t>
        </r>
      </text>
    </comment>
    <comment ref="F85" authorId="0" shapeId="0" xr:uid="{C23A14BD-C004-461F-BC12-4FC6587D2BB5}">
      <text>
        <r>
          <rPr>
            <b/>
            <sz val="9"/>
            <color indexed="81"/>
            <rFont val="Tahoma"/>
            <family val="2"/>
          </rPr>
          <t>Gavin Mudd:</t>
        </r>
        <r>
          <rPr>
            <sz val="9"/>
            <color indexed="81"/>
            <rFont val="Tahoma"/>
            <family val="2"/>
          </rPr>
          <t xml:space="preserve">
tailings</t>
        </r>
      </text>
    </comment>
    <comment ref="J85" authorId="0" shapeId="0" xr:uid="{E69594A9-6F0B-446F-B4C8-FCA581CA00B7}">
      <text>
        <r>
          <rPr>
            <b/>
            <sz val="9"/>
            <color indexed="81"/>
            <rFont val="Tahoma"/>
            <family val="2"/>
          </rPr>
          <t>Gavin Mudd:</t>
        </r>
        <r>
          <rPr>
            <sz val="9"/>
            <color indexed="81"/>
            <rFont val="Tahoma"/>
            <family val="2"/>
          </rPr>
          <t xml:space="preserve">
Tumut</t>
        </r>
      </text>
    </comment>
    <comment ref="K85" authorId="0" shapeId="0" xr:uid="{534472D3-EA5D-4B72-A031-2724EE90C107}">
      <text>
        <r>
          <rPr>
            <b/>
            <sz val="9"/>
            <color indexed="81"/>
            <rFont val="Tahoma"/>
            <family val="2"/>
          </rPr>
          <t>Gavin Mudd:</t>
        </r>
        <r>
          <rPr>
            <sz val="9"/>
            <color indexed="81"/>
            <rFont val="Tahoma"/>
            <family val="2"/>
          </rPr>
          <t xml:space="preserve">
assumed</t>
        </r>
      </text>
    </comment>
    <comment ref="P85" authorId="0" shapeId="0" xr:uid="{6DD3A3A3-3032-46C0-805D-75470E86D86F}">
      <text>
        <r>
          <rPr>
            <b/>
            <sz val="9"/>
            <color indexed="81"/>
            <rFont val="Tahoma"/>
            <family val="2"/>
          </rPr>
          <t>Gavin Mudd:</t>
        </r>
        <r>
          <rPr>
            <sz val="9"/>
            <color indexed="81"/>
            <rFont val="Tahoma"/>
            <family val="2"/>
          </rPr>
          <t xml:space="preserve">
Holbrook &amp; Tumbarumba</t>
        </r>
      </text>
    </comment>
    <comment ref="Q85" authorId="0" shapeId="0" xr:uid="{A4E31EEE-1633-4780-B79C-4D9832422658}">
      <text>
        <r>
          <rPr>
            <b/>
            <sz val="9"/>
            <color indexed="81"/>
            <rFont val="Tahoma"/>
            <family val="2"/>
          </rPr>
          <t>Gavin Mudd:</t>
        </r>
        <r>
          <rPr>
            <sz val="9"/>
            <color indexed="81"/>
            <rFont val="Tahoma"/>
            <family val="2"/>
          </rPr>
          <t xml:space="preserve">
assumed</t>
        </r>
      </text>
    </comment>
    <comment ref="S85" authorId="0" shapeId="0" xr:uid="{9982BF92-B485-4341-96FB-D7589C34E48E}">
      <text>
        <r>
          <rPr>
            <b/>
            <sz val="9"/>
            <color indexed="81"/>
            <rFont val="Tahoma"/>
            <family val="2"/>
          </rPr>
          <t>Gavin Mudd:</t>
        </r>
        <r>
          <rPr>
            <sz val="9"/>
            <color indexed="81"/>
            <rFont val="Tahoma"/>
            <family val="2"/>
          </rPr>
          <t xml:space="preserve">
assumed</t>
        </r>
      </text>
    </comment>
    <comment ref="W85" authorId="0" shapeId="0" xr:uid="{B3749538-78CE-4E28-958E-14962C0211EC}">
      <text>
        <r>
          <rPr>
            <b/>
            <sz val="9"/>
            <color indexed="81"/>
            <rFont val="Tahoma"/>
            <family val="2"/>
          </rPr>
          <t>Gavin Mudd:</t>
        </r>
        <r>
          <rPr>
            <sz val="9"/>
            <color indexed="81"/>
            <rFont val="Tahoma"/>
            <family val="2"/>
          </rPr>
          <t xml:space="preserve">
assumed</t>
        </r>
      </text>
    </comment>
    <comment ref="Y85" authorId="0" shapeId="0" xr:uid="{08FAFC06-F272-466D-92C8-DDA348F3F8D6}">
      <text>
        <r>
          <rPr>
            <b/>
            <sz val="9"/>
            <color indexed="81"/>
            <rFont val="Tahoma"/>
            <family val="2"/>
          </rPr>
          <t>Gavin Mudd:</t>
        </r>
        <r>
          <rPr>
            <sz val="9"/>
            <color indexed="81"/>
            <rFont val="Tahoma"/>
            <family val="2"/>
          </rPr>
          <t xml:space="preserve">
assumed</t>
        </r>
      </text>
    </comment>
    <comment ref="AA85" authorId="0" shapeId="0" xr:uid="{865BE4CA-BA07-4015-9274-81006311520C}">
      <text>
        <r>
          <rPr>
            <b/>
            <sz val="9"/>
            <color indexed="81"/>
            <rFont val="Tahoma"/>
            <family val="2"/>
          </rPr>
          <t>Gavin Mudd:</t>
        </r>
        <r>
          <rPr>
            <sz val="9"/>
            <color indexed="81"/>
            <rFont val="Tahoma"/>
            <family val="2"/>
          </rPr>
          <t xml:space="preserve">
assumed</t>
        </r>
      </text>
    </comment>
    <comment ref="AG85" authorId="0" shapeId="0" xr:uid="{4832C224-DD1F-4568-8929-7C6DD7F58E06}">
      <text>
        <r>
          <rPr>
            <b/>
            <sz val="9"/>
            <color indexed="81"/>
            <rFont val="Tahoma"/>
            <family val="2"/>
          </rPr>
          <t>Gavin Mudd:</t>
        </r>
        <r>
          <rPr>
            <sz val="9"/>
            <color indexed="81"/>
            <rFont val="Tahoma"/>
            <family val="2"/>
          </rPr>
          <t xml:space="preserve">
assumed</t>
        </r>
      </text>
    </comment>
    <comment ref="AK85" authorId="0" shapeId="0" xr:uid="{B7AA1FC7-CD06-439D-84F7-5D60012AE5B7}">
      <text>
        <r>
          <rPr>
            <b/>
            <sz val="9"/>
            <color indexed="81"/>
            <rFont val="Tahoma"/>
            <family val="2"/>
          </rPr>
          <t>Gavin Mudd:</t>
        </r>
        <r>
          <rPr>
            <sz val="9"/>
            <color indexed="81"/>
            <rFont val="Tahoma"/>
            <family val="2"/>
          </rPr>
          <t xml:space="preserve">
assumed</t>
        </r>
      </text>
    </comment>
    <comment ref="AM85" authorId="0" shapeId="0" xr:uid="{C42CDC81-EA18-499F-960E-74A85C0308FA}">
      <text>
        <r>
          <rPr>
            <b/>
            <sz val="9"/>
            <color indexed="81"/>
            <rFont val="Tahoma"/>
            <family val="2"/>
          </rPr>
          <t>Gavin Mudd:</t>
        </r>
        <r>
          <rPr>
            <sz val="9"/>
            <color indexed="81"/>
            <rFont val="Tahoma"/>
            <family val="2"/>
          </rPr>
          <t xml:space="preserve">
assumed</t>
        </r>
      </text>
    </comment>
    <comment ref="AO85" authorId="0" shapeId="0" xr:uid="{7ECD67E8-9541-4C2E-AC11-956024C196CF}">
      <text>
        <r>
          <rPr>
            <b/>
            <sz val="9"/>
            <color indexed="81"/>
            <rFont val="Tahoma"/>
            <family val="2"/>
          </rPr>
          <t>Gavin Mudd:</t>
        </r>
        <r>
          <rPr>
            <sz val="9"/>
            <color indexed="81"/>
            <rFont val="Tahoma"/>
            <family val="2"/>
          </rPr>
          <t xml:space="preserve">
assumed</t>
        </r>
      </text>
    </comment>
    <comment ref="AU85" authorId="0" shapeId="0" xr:uid="{B1619B14-7F98-4AA6-95C1-6C23646A96C7}">
      <text>
        <r>
          <rPr>
            <b/>
            <sz val="9"/>
            <color indexed="81"/>
            <rFont val="Tahoma"/>
            <family val="2"/>
          </rPr>
          <t>Gavin Mudd:</t>
        </r>
        <r>
          <rPr>
            <sz val="9"/>
            <color indexed="81"/>
            <rFont val="Tahoma"/>
            <family val="2"/>
          </rPr>
          <t xml:space="preserve">
assumed</t>
        </r>
      </text>
    </comment>
    <comment ref="BA85" authorId="0" shapeId="0" xr:uid="{DA85827E-43C3-436B-BE6A-69E104651650}">
      <text>
        <r>
          <rPr>
            <b/>
            <sz val="9"/>
            <color indexed="81"/>
            <rFont val="Tahoma"/>
            <family val="2"/>
          </rPr>
          <t>Gavin Mudd:</t>
        </r>
        <r>
          <rPr>
            <sz val="9"/>
            <color indexed="81"/>
            <rFont val="Tahoma"/>
            <family val="2"/>
          </rPr>
          <t xml:space="preserve">
assumed</t>
        </r>
      </text>
    </comment>
    <comment ref="BB85" authorId="0" shapeId="0" xr:uid="{5E91509B-2E0D-4084-8FB7-44478AC921F1}">
      <text>
        <r>
          <rPr>
            <b/>
            <sz val="9"/>
            <color indexed="81"/>
            <rFont val="Tahoma"/>
            <family val="2"/>
          </rPr>
          <t>Gavin Mudd:</t>
        </r>
        <r>
          <rPr>
            <sz val="9"/>
            <color indexed="81"/>
            <rFont val="Tahoma"/>
            <family val="2"/>
          </rPr>
          <t xml:space="preserve">
assumed</t>
        </r>
      </text>
    </comment>
    <comment ref="CD85" authorId="0" shapeId="0" xr:uid="{F1A30A60-7BAA-4584-919C-2BCAC8BDEFF5}">
      <text>
        <r>
          <rPr>
            <b/>
            <sz val="9"/>
            <color indexed="81"/>
            <rFont val="Tahoma"/>
            <family val="2"/>
          </rPr>
          <t>Gavin Mudd:</t>
        </r>
        <r>
          <rPr>
            <sz val="9"/>
            <color indexed="81"/>
            <rFont val="Tahoma"/>
            <family val="2"/>
          </rPr>
          <t xml:space="preserve">
assumed</t>
        </r>
      </text>
    </comment>
    <comment ref="CE85" authorId="0" shapeId="0" xr:uid="{9F91BA29-6E61-4EC4-B178-A946AC8C08B1}">
      <text>
        <r>
          <rPr>
            <b/>
            <sz val="9"/>
            <color indexed="81"/>
            <rFont val="Tahoma"/>
            <family val="2"/>
          </rPr>
          <t>Gavin Mudd:</t>
        </r>
        <r>
          <rPr>
            <sz val="9"/>
            <color indexed="81"/>
            <rFont val="Tahoma"/>
            <family val="2"/>
          </rPr>
          <t xml:space="preserve">
assumed</t>
        </r>
      </text>
    </comment>
    <comment ref="CJ85" authorId="0" shapeId="0" xr:uid="{2E3F51BF-F346-4DF9-B09B-483436B59C1F}">
      <text>
        <r>
          <rPr>
            <b/>
            <sz val="9"/>
            <color indexed="81"/>
            <rFont val="Tahoma"/>
            <family val="2"/>
          </rPr>
          <t>Gavin Mudd:</t>
        </r>
        <r>
          <rPr>
            <sz val="9"/>
            <color indexed="81"/>
            <rFont val="Tahoma"/>
            <family val="2"/>
          </rPr>
          <t xml:space="preserve">
assumed</t>
        </r>
      </text>
    </comment>
    <comment ref="CK85" authorId="0" shapeId="0" xr:uid="{268E9119-ED01-4D62-8FFE-B0588C463A96}">
      <text>
        <r>
          <rPr>
            <b/>
            <sz val="9"/>
            <color indexed="81"/>
            <rFont val="Tahoma"/>
            <family val="2"/>
          </rPr>
          <t>Gavin Mudd:</t>
        </r>
        <r>
          <rPr>
            <sz val="9"/>
            <color indexed="81"/>
            <rFont val="Tahoma"/>
            <family val="2"/>
          </rPr>
          <t xml:space="preserve">
assumed</t>
        </r>
      </text>
    </comment>
    <comment ref="CO85" authorId="0" shapeId="0" xr:uid="{C87FB610-E06A-42D9-AF03-01F5647B6E17}">
      <text>
        <r>
          <rPr>
            <b/>
            <sz val="9"/>
            <color indexed="81"/>
            <rFont val="Tahoma"/>
            <family val="2"/>
          </rPr>
          <t>Gavin Mudd:</t>
        </r>
        <r>
          <rPr>
            <sz val="9"/>
            <color indexed="81"/>
            <rFont val="Tahoma"/>
            <family val="2"/>
          </rPr>
          <t xml:space="preserve">
assumed</t>
        </r>
      </text>
    </comment>
    <comment ref="CP85" authorId="0" shapeId="0" xr:uid="{2AFC5B8F-11FE-4D7D-8F20-71CEE714FA42}">
      <text>
        <r>
          <rPr>
            <b/>
            <sz val="9"/>
            <color indexed="81"/>
            <rFont val="Tahoma"/>
            <family val="2"/>
          </rPr>
          <t>Gavin Mudd:</t>
        </r>
        <r>
          <rPr>
            <sz val="9"/>
            <color indexed="81"/>
            <rFont val="Tahoma"/>
            <family val="2"/>
          </rPr>
          <t xml:space="preserve">
assumed</t>
        </r>
      </text>
    </comment>
    <comment ref="DL85" authorId="0" shapeId="0" xr:uid="{45090A6B-916F-4801-83AB-59E47E2A6F2B}">
      <text>
        <r>
          <rPr>
            <b/>
            <sz val="9"/>
            <color indexed="81"/>
            <rFont val="Tahoma"/>
            <family val="2"/>
          </rPr>
          <t>Gavin Mudd:</t>
        </r>
        <r>
          <rPr>
            <sz val="9"/>
            <color indexed="81"/>
            <rFont val="Tahoma"/>
            <family val="2"/>
          </rPr>
          <t xml:space="preserve">
assumed</t>
        </r>
      </text>
    </comment>
    <comment ref="DM85" authorId="0" shapeId="0" xr:uid="{A653C3E5-4821-44AE-9752-1E31D49B3EBE}">
      <text>
        <r>
          <rPr>
            <b/>
            <sz val="9"/>
            <color indexed="81"/>
            <rFont val="Tahoma"/>
            <family val="2"/>
          </rPr>
          <t>Gavin Mudd:</t>
        </r>
        <r>
          <rPr>
            <sz val="9"/>
            <color indexed="81"/>
            <rFont val="Tahoma"/>
            <family val="2"/>
          </rPr>
          <t xml:space="preserve">
assumed</t>
        </r>
      </text>
    </comment>
    <comment ref="I86" authorId="0" shapeId="0" xr:uid="{450CF338-9508-43BC-8345-6A13AC7D37AF}">
      <text>
        <r>
          <rPr>
            <b/>
            <sz val="9"/>
            <color indexed="81"/>
            <rFont val="Tahoma"/>
            <family val="2"/>
          </rPr>
          <t>Gavin Mudd:</t>
        </r>
        <r>
          <rPr>
            <sz val="9"/>
            <color indexed="81"/>
            <rFont val="Tahoma"/>
            <family val="2"/>
          </rPr>
          <t xml:space="preserve">
assumed</t>
        </r>
      </text>
    </comment>
    <comment ref="S86" authorId="0" shapeId="0" xr:uid="{F08C78EB-2F65-4C65-A2CD-9313863AF78E}">
      <text>
        <r>
          <rPr>
            <b/>
            <sz val="9"/>
            <color indexed="81"/>
            <rFont val="Tahoma"/>
            <family val="2"/>
          </rPr>
          <t>Gavin Mudd:</t>
        </r>
        <r>
          <rPr>
            <sz val="9"/>
            <color indexed="81"/>
            <rFont val="Tahoma"/>
            <family val="2"/>
          </rPr>
          <t xml:space="preserve">
assumed</t>
        </r>
      </text>
    </comment>
    <comment ref="W86" authorId="0" shapeId="0" xr:uid="{AAA39E52-8735-4340-87FC-D84AB28A957F}">
      <text>
        <r>
          <rPr>
            <b/>
            <sz val="9"/>
            <color indexed="81"/>
            <rFont val="Tahoma"/>
            <family val="2"/>
          </rPr>
          <t>Gavin Mudd:</t>
        </r>
        <r>
          <rPr>
            <sz val="9"/>
            <color indexed="81"/>
            <rFont val="Tahoma"/>
            <family val="2"/>
          </rPr>
          <t xml:space="preserve">
assumed</t>
        </r>
      </text>
    </comment>
    <comment ref="Y86" authorId="0" shapeId="0" xr:uid="{8E987547-AE26-4D99-BAB1-80B6937B2E81}">
      <text>
        <r>
          <rPr>
            <b/>
            <sz val="9"/>
            <color indexed="81"/>
            <rFont val="Tahoma"/>
            <family val="2"/>
          </rPr>
          <t>Gavin Mudd:</t>
        </r>
        <r>
          <rPr>
            <sz val="9"/>
            <color indexed="81"/>
            <rFont val="Tahoma"/>
            <family val="2"/>
          </rPr>
          <t xml:space="preserve">
assumed</t>
        </r>
      </text>
    </comment>
    <comment ref="AA86" authorId="0" shapeId="0" xr:uid="{CB12553C-0852-4B2F-9C01-7CB978D491FE}">
      <text>
        <r>
          <rPr>
            <b/>
            <sz val="9"/>
            <color indexed="81"/>
            <rFont val="Tahoma"/>
            <family val="2"/>
          </rPr>
          <t>Gavin Mudd:</t>
        </r>
        <r>
          <rPr>
            <sz val="9"/>
            <color indexed="81"/>
            <rFont val="Tahoma"/>
            <family val="2"/>
          </rPr>
          <t xml:space="preserve">
assumed</t>
        </r>
      </text>
    </comment>
    <comment ref="AG86" authorId="0" shapeId="0" xr:uid="{0E75E609-6C5A-480B-BC00-56F8041E8C6E}">
      <text>
        <r>
          <rPr>
            <b/>
            <sz val="9"/>
            <color indexed="81"/>
            <rFont val="Tahoma"/>
            <family val="2"/>
          </rPr>
          <t>Gavin Mudd:</t>
        </r>
        <r>
          <rPr>
            <sz val="9"/>
            <color indexed="81"/>
            <rFont val="Tahoma"/>
            <family val="2"/>
          </rPr>
          <t xml:space="preserve">
assumed</t>
        </r>
      </text>
    </comment>
    <comment ref="AK86" authorId="0" shapeId="0" xr:uid="{5854314E-53F6-463E-B9A1-AAB6D18E9829}">
      <text>
        <r>
          <rPr>
            <b/>
            <sz val="9"/>
            <color indexed="81"/>
            <rFont val="Tahoma"/>
            <family val="2"/>
          </rPr>
          <t>Gavin Mudd:</t>
        </r>
        <r>
          <rPr>
            <sz val="9"/>
            <color indexed="81"/>
            <rFont val="Tahoma"/>
            <family val="2"/>
          </rPr>
          <t xml:space="preserve">
assumed</t>
        </r>
      </text>
    </comment>
    <comment ref="AM86" authorId="0" shapeId="0" xr:uid="{A9549308-6EE7-49B6-BEBF-3B6979096F90}">
      <text>
        <r>
          <rPr>
            <b/>
            <sz val="9"/>
            <color indexed="81"/>
            <rFont val="Tahoma"/>
            <family val="2"/>
          </rPr>
          <t>Gavin Mudd:</t>
        </r>
        <r>
          <rPr>
            <sz val="9"/>
            <color indexed="81"/>
            <rFont val="Tahoma"/>
            <family val="2"/>
          </rPr>
          <t xml:space="preserve">
assumed</t>
        </r>
      </text>
    </comment>
    <comment ref="AO86" authorId="0" shapeId="0" xr:uid="{19500793-5825-4E13-92D5-1E0119DE18D6}">
      <text>
        <r>
          <rPr>
            <b/>
            <sz val="9"/>
            <color indexed="81"/>
            <rFont val="Tahoma"/>
            <family val="2"/>
          </rPr>
          <t>Gavin Mudd:</t>
        </r>
        <r>
          <rPr>
            <sz val="9"/>
            <color indexed="81"/>
            <rFont val="Tahoma"/>
            <family val="2"/>
          </rPr>
          <t xml:space="preserve">
assumed</t>
        </r>
      </text>
    </comment>
    <comment ref="AU86" authorId="0" shapeId="0" xr:uid="{1988317F-F5B6-4EB4-8F3F-E14661055D7C}">
      <text>
        <r>
          <rPr>
            <b/>
            <sz val="9"/>
            <color indexed="81"/>
            <rFont val="Tahoma"/>
            <family val="2"/>
          </rPr>
          <t>Gavin Mudd:</t>
        </r>
        <r>
          <rPr>
            <sz val="9"/>
            <color indexed="81"/>
            <rFont val="Tahoma"/>
            <family val="2"/>
          </rPr>
          <t xml:space="preserve">
assumed</t>
        </r>
      </text>
    </comment>
    <comment ref="BA86" authorId="0" shapeId="0" xr:uid="{144EFBFF-102F-44A2-AB4B-184577F8946E}">
      <text>
        <r>
          <rPr>
            <b/>
            <sz val="9"/>
            <color indexed="81"/>
            <rFont val="Tahoma"/>
            <family val="2"/>
          </rPr>
          <t>Gavin Mudd:</t>
        </r>
        <r>
          <rPr>
            <sz val="9"/>
            <color indexed="81"/>
            <rFont val="Tahoma"/>
            <family val="2"/>
          </rPr>
          <t xml:space="preserve">
assumed</t>
        </r>
      </text>
    </comment>
    <comment ref="BB86" authorId="0" shapeId="0" xr:uid="{96364B71-4A8D-47F7-8F1E-FC0A35DB31E2}">
      <text>
        <r>
          <rPr>
            <b/>
            <sz val="9"/>
            <color indexed="81"/>
            <rFont val="Tahoma"/>
            <family val="2"/>
          </rPr>
          <t>Gavin Mudd:</t>
        </r>
        <r>
          <rPr>
            <sz val="9"/>
            <color indexed="81"/>
            <rFont val="Tahoma"/>
            <family val="2"/>
          </rPr>
          <t xml:space="preserve">
assumed</t>
        </r>
      </text>
    </comment>
    <comment ref="CD86" authorId="0" shapeId="0" xr:uid="{5EC71940-8CA3-4E94-91BB-C0785F8E30BE}">
      <text>
        <r>
          <rPr>
            <b/>
            <sz val="9"/>
            <color indexed="81"/>
            <rFont val="Tahoma"/>
            <family val="2"/>
          </rPr>
          <t>Gavin Mudd:</t>
        </r>
        <r>
          <rPr>
            <sz val="9"/>
            <color indexed="81"/>
            <rFont val="Tahoma"/>
            <family val="2"/>
          </rPr>
          <t xml:space="preserve">
assumed</t>
        </r>
      </text>
    </comment>
    <comment ref="CE86" authorId="0" shapeId="0" xr:uid="{0532A4AF-7335-4150-B0BD-2763F71B20FE}">
      <text>
        <r>
          <rPr>
            <b/>
            <sz val="9"/>
            <color indexed="81"/>
            <rFont val="Tahoma"/>
            <family val="2"/>
          </rPr>
          <t>Gavin Mudd:</t>
        </r>
        <r>
          <rPr>
            <sz val="9"/>
            <color indexed="81"/>
            <rFont val="Tahoma"/>
            <family val="2"/>
          </rPr>
          <t xml:space="preserve">
assumed</t>
        </r>
      </text>
    </comment>
    <comment ref="CJ86" authorId="0" shapeId="0" xr:uid="{5877E229-4F75-4192-B5AB-520F97CBC78A}">
      <text>
        <r>
          <rPr>
            <b/>
            <sz val="9"/>
            <color indexed="81"/>
            <rFont val="Tahoma"/>
            <family val="2"/>
          </rPr>
          <t>Gavin Mudd:</t>
        </r>
        <r>
          <rPr>
            <sz val="9"/>
            <color indexed="81"/>
            <rFont val="Tahoma"/>
            <family val="2"/>
          </rPr>
          <t xml:space="preserve">
assumed</t>
        </r>
      </text>
    </comment>
    <comment ref="CK86" authorId="0" shapeId="0" xr:uid="{642A8307-6F1F-44AE-9148-7C6D8BAD8F3D}">
      <text>
        <r>
          <rPr>
            <b/>
            <sz val="9"/>
            <color indexed="81"/>
            <rFont val="Tahoma"/>
            <family val="2"/>
          </rPr>
          <t>Gavin Mudd:</t>
        </r>
        <r>
          <rPr>
            <sz val="9"/>
            <color indexed="81"/>
            <rFont val="Tahoma"/>
            <family val="2"/>
          </rPr>
          <t xml:space="preserve">
assumed</t>
        </r>
      </text>
    </comment>
    <comment ref="CO86" authorId="0" shapeId="0" xr:uid="{3AC50C44-92EA-4132-8267-085C70D76A7D}">
      <text>
        <r>
          <rPr>
            <b/>
            <sz val="9"/>
            <color indexed="81"/>
            <rFont val="Tahoma"/>
            <family val="2"/>
          </rPr>
          <t>Gavin Mudd:</t>
        </r>
        <r>
          <rPr>
            <sz val="9"/>
            <color indexed="81"/>
            <rFont val="Tahoma"/>
            <family val="2"/>
          </rPr>
          <t xml:space="preserve">
assumed</t>
        </r>
      </text>
    </comment>
    <comment ref="CP86" authorId="0" shapeId="0" xr:uid="{EECFD492-4EF9-4FAF-8BA9-0BA3F437EA32}">
      <text>
        <r>
          <rPr>
            <b/>
            <sz val="9"/>
            <color indexed="81"/>
            <rFont val="Tahoma"/>
            <family val="2"/>
          </rPr>
          <t>Gavin Mudd:</t>
        </r>
        <r>
          <rPr>
            <sz val="9"/>
            <color indexed="81"/>
            <rFont val="Tahoma"/>
            <family val="2"/>
          </rPr>
          <t xml:space="preserve">
assumed</t>
        </r>
      </text>
    </comment>
    <comment ref="DL86" authorId="0" shapeId="0" xr:uid="{A5680FED-B9F5-4655-94EA-2D404FC0B211}">
      <text>
        <r>
          <rPr>
            <b/>
            <sz val="9"/>
            <color indexed="81"/>
            <rFont val="Tahoma"/>
            <family val="2"/>
          </rPr>
          <t>Gavin Mudd:</t>
        </r>
        <r>
          <rPr>
            <sz val="9"/>
            <color indexed="81"/>
            <rFont val="Tahoma"/>
            <family val="2"/>
          </rPr>
          <t xml:space="preserve">
assumed</t>
        </r>
      </text>
    </comment>
    <comment ref="DM86" authorId="0" shapeId="0" xr:uid="{EBE666E1-4ACE-41BB-A0A3-40BB0986BDA4}">
      <text>
        <r>
          <rPr>
            <b/>
            <sz val="9"/>
            <color indexed="81"/>
            <rFont val="Tahoma"/>
            <family val="2"/>
          </rPr>
          <t>Gavin Mudd:</t>
        </r>
        <r>
          <rPr>
            <sz val="9"/>
            <color indexed="81"/>
            <rFont val="Tahoma"/>
            <family val="2"/>
          </rPr>
          <t xml:space="preserve">
assumed</t>
        </r>
      </text>
    </comment>
    <comment ref="B87" authorId="0" shapeId="0" xr:uid="{AD07A25D-2662-49B0-BA69-110BD3991ADF}">
      <text>
        <r>
          <rPr>
            <b/>
            <sz val="9"/>
            <color indexed="81"/>
            <rFont val="Tahoma"/>
            <family val="2"/>
          </rPr>
          <t>Gavin Mudd:</t>
        </r>
        <r>
          <rPr>
            <sz val="9"/>
            <color indexed="81"/>
            <rFont val="Tahoma"/>
            <family val="2"/>
          </rPr>
          <t xml:space="preserve">
Wyalong</t>
        </r>
      </text>
    </comment>
    <comment ref="C87" authorId="0" shapeId="0" xr:uid="{B22F3685-38D5-4A98-8AA5-87BECAE5A9EA}">
      <text>
        <r>
          <rPr>
            <b/>
            <sz val="9"/>
            <color indexed="81"/>
            <rFont val="Tahoma"/>
            <family val="2"/>
          </rPr>
          <t>Gavin Mudd:</t>
        </r>
        <r>
          <rPr>
            <sz val="9"/>
            <color indexed="81"/>
            <rFont val="Tahoma"/>
            <family val="2"/>
          </rPr>
          <t xml:space="preserve">
assumed</t>
        </r>
      </text>
    </comment>
    <comment ref="I87" authorId="0" shapeId="0" xr:uid="{EC33797D-0040-49BA-BC21-68CC3EEC4002}">
      <text>
        <r>
          <rPr>
            <b/>
            <sz val="9"/>
            <color indexed="81"/>
            <rFont val="Tahoma"/>
            <family val="2"/>
          </rPr>
          <t>Gavin Mudd:</t>
        </r>
        <r>
          <rPr>
            <sz val="9"/>
            <color indexed="81"/>
            <rFont val="Tahoma"/>
            <family val="2"/>
          </rPr>
          <t xml:space="preserve">
assumed</t>
        </r>
      </text>
    </comment>
    <comment ref="J87" authorId="0" shapeId="0" xr:uid="{C57E8D19-B833-4983-AE7E-5007D4476CC5}">
      <text>
        <r>
          <rPr>
            <b/>
            <sz val="9"/>
            <color indexed="81"/>
            <rFont val="Tahoma"/>
            <family val="2"/>
          </rPr>
          <t>Gavin Mudd:</t>
        </r>
        <r>
          <rPr>
            <sz val="9"/>
            <color indexed="81"/>
            <rFont val="Tahoma"/>
            <family val="2"/>
          </rPr>
          <t xml:space="preserve">
Tumut</t>
        </r>
      </text>
    </comment>
    <comment ref="K87" authorId="0" shapeId="0" xr:uid="{27A4B747-FB89-4E7E-94A2-0DE471B8F1ED}">
      <text>
        <r>
          <rPr>
            <b/>
            <sz val="9"/>
            <color indexed="81"/>
            <rFont val="Tahoma"/>
            <family val="2"/>
          </rPr>
          <t>Gavin Mudd:</t>
        </r>
        <r>
          <rPr>
            <sz val="9"/>
            <color indexed="81"/>
            <rFont val="Tahoma"/>
            <family val="2"/>
          </rPr>
          <t xml:space="preserve">
assumed</t>
        </r>
      </text>
    </comment>
    <comment ref="P87" authorId="0" shapeId="0" xr:uid="{23241EA6-E6AB-4767-968E-2EA12F0131F0}">
      <text>
        <r>
          <rPr>
            <b/>
            <sz val="9"/>
            <color indexed="81"/>
            <rFont val="Tahoma"/>
            <family val="2"/>
          </rPr>
          <t>Gavin Mudd:</t>
        </r>
        <r>
          <rPr>
            <sz val="9"/>
            <color indexed="81"/>
            <rFont val="Tahoma"/>
            <family val="2"/>
          </rPr>
          <t xml:space="preserve">
Holbrook &amp; Tumbarumba</t>
        </r>
      </text>
    </comment>
    <comment ref="Q87" authorId="0" shapeId="0" xr:uid="{0B7F48DD-773D-4D7B-9B29-414296B67A48}">
      <text>
        <r>
          <rPr>
            <b/>
            <sz val="9"/>
            <color indexed="81"/>
            <rFont val="Tahoma"/>
            <family val="2"/>
          </rPr>
          <t>Gavin Mudd:</t>
        </r>
        <r>
          <rPr>
            <sz val="9"/>
            <color indexed="81"/>
            <rFont val="Tahoma"/>
            <family val="2"/>
          </rPr>
          <t xml:space="preserve">
assumed</t>
        </r>
      </text>
    </comment>
    <comment ref="S87" authorId="0" shapeId="0" xr:uid="{F7097709-C343-4413-B139-7DDA1E7FB311}">
      <text>
        <r>
          <rPr>
            <b/>
            <sz val="9"/>
            <color indexed="81"/>
            <rFont val="Tahoma"/>
            <family val="2"/>
          </rPr>
          <t>Gavin Mudd:</t>
        </r>
        <r>
          <rPr>
            <sz val="9"/>
            <color indexed="81"/>
            <rFont val="Tahoma"/>
            <family val="2"/>
          </rPr>
          <t xml:space="preserve">
assumed</t>
        </r>
      </text>
    </comment>
    <comment ref="W87" authorId="0" shapeId="0" xr:uid="{4A48EE0C-174C-4DD1-A634-5FDA99BBAE2C}">
      <text>
        <r>
          <rPr>
            <b/>
            <sz val="9"/>
            <color indexed="81"/>
            <rFont val="Tahoma"/>
            <family val="2"/>
          </rPr>
          <t>Gavin Mudd:</t>
        </r>
        <r>
          <rPr>
            <sz val="9"/>
            <color indexed="81"/>
            <rFont val="Tahoma"/>
            <family val="2"/>
          </rPr>
          <t xml:space="preserve">
assumed</t>
        </r>
      </text>
    </comment>
    <comment ref="Y87" authorId="0" shapeId="0" xr:uid="{890B2C50-FE2C-447F-82A0-B8A0DE71FE9D}">
      <text>
        <r>
          <rPr>
            <b/>
            <sz val="9"/>
            <color indexed="81"/>
            <rFont val="Tahoma"/>
            <family val="2"/>
          </rPr>
          <t>Gavin Mudd:</t>
        </r>
        <r>
          <rPr>
            <sz val="9"/>
            <color indexed="81"/>
            <rFont val="Tahoma"/>
            <family val="2"/>
          </rPr>
          <t xml:space="preserve">
assumed</t>
        </r>
      </text>
    </comment>
    <comment ref="AA87" authorId="0" shapeId="0" xr:uid="{DBBAE220-B383-42FB-88BF-577D219B55E8}">
      <text>
        <r>
          <rPr>
            <b/>
            <sz val="9"/>
            <color indexed="81"/>
            <rFont val="Tahoma"/>
            <family val="2"/>
          </rPr>
          <t>Gavin Mudd:</t>
        </r>
        <r>
          <rPr>
            <sz val="9"/>
            <color indexed="81"/>
            <rFont val="Tahoma"/>
            <family val="2"/>
          </rPr>
          <t xml:space="preserve">
assumed</t>
        </r>
      </text>
    </comment>
    <comment ref="AF87" authorId="0" shapeId="0" xr:uid="{E631AFEC-6677-4A9B-9DCE-96E0A0BAAFB0}">
      <text>
        <r>
          <rPr>
            <b/>
            <sz val="9"/>
            <color indexed="81"/>
            <rFont val="Tahoma"/>
            <family val="2"/>
          </rPr>
          <t>Gavin Mudd:</t>
        </r>
        <r>
          <rPr>
            <sz val="9"/>
            <color indexed="81"/>
            <rFont val="Tahoma"/>
            <family val="2"/>
          </rPr>
          <t xml:space="preserve">
assumes 10 tons conc for the Success Syndicate</t>
        </r>
      </text>
    </comment>
    <comment ref="AG87" authorId="0" shapeId="0" xr:uid="{E4DEA09D-D8EE-47C5-A491-871B6CB35CCC}">
      <text>
        <r>
          <rPr>
            <b/>
            <sz val="9"/>
            <color indexed="81"/>
            <rFont val="Tahoma"/>
            <family val="2"/>
          </rPr>
          <t>Gavin Mudd:</t>
        </r>
        <r>
          <rPr>
            <sz val="9"/>
            <color indexed="81"/>
            <rFont val="Tahoma"/>
            <family val="2"/>
          </rPr>
          <t xml:space="preserve">
assumed</t>
        </r>
      </text>
    </comment>
    <comment ref="AK87" authorId="0" shapeId="0" xr:uid="{65AFB532-743B-46DC-B8AC-137289423707}">
      <text>
        <r>
          <rPr>
            <b/>
            <sz val="9"/>
            <color indexed="81"/>
            <rFont val="Tahoma"/>
            <family val="2"/>
          </rPr>
          <t>Gavin Mudd:</t>
        </r>
        <r>
          <rPr>
            <sz val="9"/>
            <color indexed="81"/>
            <rFont val="Tahoma"/>
            <family val="2"/>
          </rPr>
          <t xml:space="preserve">
assumed</t>
        </r>
      </text>
    </comment>
    <comment ref="AM87" authorId="0" shapeId="0" xr:uid="{A9A1C516-CCB6-4DD8-99DA-5EFF55935730}">
      <text>
        <r>
          <rPr>
            <b/>
            <sz val="9"/>
            <color indexed="81"/>
            <rFont val="Tahoma"/>
            <family val="2"/>
          </rPr>
          <t>Gavin Mudd:</t>
        </r>
        <r>
          <rPr>
            <sz val="9"/>
            <color indexed="81"/>
            <rFont val="Tahoma"/>
            <family val="2"/>
          </rPr>
          <t xml:space="preserve">
assumed</t>
        </r>
      </text>
    </comment>
    <comment ref="AO87" authorId="0" shapeId="0" xr:uid="{2FD4552B-2C96-4957-9BEF-60CAF7B88227}">
      <text>
        <r>
          <rPr>
            <b/>
            <sz val="9"/>
            <color indexed="81"/>
            <rFont val="Tahoma"/>
            <family val="2"/>
          </rPr>
          <t>Gavin Mudd:</t>
        </r>
        <r>
          <rPr>
            <sz val="9"/>
            <color indexed="81"/>
            <rFont val="Tahoma"/>
            <family val="2"/>
          </rPr>
          <t xml:space="preserve">
assumed</t>
        </r>
      </text>
    </comment>
    <comment ref="AU87" authorId="0" shapeId="0" xr:uid="{B7C2747B-E758-4729-B6DB-4F19EFFB2BBE}">
      <text>
        <r>
          <rPr>
            <b/>
            <sz val="9"/>
            <color indexed="81"/>
            <rFont val="Tahoma"/>
            <family val="2"/>
          </rPr>
          <t>Gavin Mudd:</t>
        </r>
        <r>
          <rPr>
            <sz val="9"/>
            <color indexed="81"/>
            <rFont val="Tahoma"/>
            <family val="2"/>
          </rPr>
          <t xml:space="preserve">
assumed</t>
        </r>
      </text>
    </comment>
    <comment ref="BA87" authorId="0" shapeId="0" xr:uid="{B6E7F7F7-A23D-4452-AD5E-A85D33D37CE2}">
      <text>
        <r>
          <rPr>
            <b/>
            <sz val="9"/>
            <color indexed="81"/>
            <rFont val="Tahoma"/>
            <family val="2"/>
          </rPr>
          <t>Gavin Mudd:</t>
        </r>
        <r>
          <rPr>
            <sz val="9"/>
            <color indexed="81"/>
            <rFont val="Tahoma"/>
            <family val="2"/>
          </rPr>
          <t xml:space="preserve">
assumed</t>
        </r>
      </text>
    </comment>
    <comment ref="BB87" authorId="0" shapeId="0" xr:uid="{F599AAD4-69A8-4FD6-ADB9-71858679CAD2}">
      <text>
        <r>
          <rPr>
            <b/>
            <sz val="9"/>
            <color indexed="81"/>
            <rFont val="Tahoma"/>
            <family val="2"/>
          </rPr>
          <t>Gavin Mudd:</t>
        </r>
        <r>
          <rPr>
            <sz val="9"/>
            <color indexed="81"/>
            <rFont val="Tahoma"/>
            <family val="2"/>
          </rPr>
          <t xml:space="preserve">
assumed</t>
        </r>
      </text>
    </comment>
    <comment ref="CD87" authorId="0" shapeId="0" xr:uid="{EC2E984A-774D-452F-BC22-B7C768F239DD}">
      <text>
        <r>
          <rPr>
            <b/>
            <sz val="9"/>
            <color indexed="81"/>
            <rFont val="Tahoma"/>
            <family val="2"/>
          </rPr>
          <t>Gavin Mudd:</t>
        </r>
        <r>
          <rPr>
            <sz val="9"/>
            <color indexed="81"/>
            <rFont val="Tahoma"/>
            <family val="2"/>
          </rPr>
          <t xml:space="preserve">
assumed</t>
        </r>
      </text>
    </comment>
    <comment ref="CE87" authorId="0" shapeId="0" xr:uid="{A444D73C-DE38-4E05-88A5-AC89240DA391}">
      <text>
        <r>
          <rPr>
            <b/>
            <sz val="9"/>
            <color indexed="81"/>
            <rFont val="Tahoma"/>
            <family val="2"/>
          </rPr>
          <t>Gavin Mudd:</t>
        </r>
        <r>
          <rPr>
            <sz val="9"/>
            <color indexed="81"/>
            <rFont val="Tahoma"/>
            <family val="2"/>
          </rPr>
          <t xml:space="preserve">
assumed</t>
        </r>
      </text>
    </comment>
    <comment ref="CJ87" authorId="0" shapeId="0" xr:uid="{8B93C647-5C5A-4B7E-AB3B-1E46D8B17F61}">
      <text>
        <r>
          <rPr>
            <b/>
            <sz val="9"/>
            <color indexed="81"/>
            <rFont val="Tahoma"/>
            <family val="2"/>
          </rPr>
          <t>Gavin Mudd:</t>
        </r>
        <r>
          <rPr>
            <sz val="9"/>
            <color indexed="81"/>
            <rFont val="Tahoma"/>
            <family val="2"/>
          </rPr>
          <t xml:space="preserve">
assumed</t>
        </r>
      </text>
    </comment>
    <comment ref="CK87" authorId="0" shapeId="0" xr:uid="{BAFC552E-024C-42B7-AA69-18813B5E6891}">
      <text>
        <r>
          <rPr>
            <b/>
            <sz val="9"/>
            <color indexed="81"/>
            <rFont val="Tahoma"/>
            <family val="2"/>
          </rPr>
          <t>Gavin Mudd:</t>
        </r>
        <r>
          <rPr>
            <sz val="9"/>
            <color indexed="81"/>
            <rFont val="Tahoma"/>
            <family val="2"/>
          </rPr>
          <t xml:space="preserve">
assumed</t>
        </r>
      </text>
    </comment>
    <comment ref="CO87" authorId="0" shapeId="0" xr:uid="{85A6B9CA-ACEF-4221-80BC-986B3F8BF351}">
      <text>
        <r>
          <rPr>
            <b/>
            <sz val="9"/>
            <color indexed="81"/>
            <rFont val="Tahoma"/>
            <family val="2"/>
          </rPr>
          <t>Gavin Mudd:</t>
        </r>
        <r>
          <rPr>
            <sz val="9"/>
            <color indexed="81"/>
            <rFont val="Tahoma"/>
            <family val="2"/>
          </rPr>
          <t xml:space="preserve">
assumed</t>
        </r>
      </text>
    </comment>
    <comment ref="CP87" authorId="0" shapeId="0" xr:uid="{E8F021CC-AB4B-46B5-9D0E-A952BB250B99}">
      <text>
        <r>
          <rPr>
            <b/>
            <sz val="9"/>
            <color indexed="81"/>
            <rFont val="Tahoma"/>
            <family val="2"/>
          </rPr>
          <t>Gavin Mudd:</t>
        </r>
        <r>
          <rPr>
            <sz val="9"/>
            <color indexed="81"/>
            <rFont val="Tahoma"/>
            <family val="2"/>
          </rPr>
          <t xml:space="preserve">
assumed</t>
        </r>
      </text>
    </comment>
    <comment ref="DL87" authorId="0" shapeId="0" xr:uid="{A6A5F964-F318-4B8F-BD3C-C066988201BD}">
      <text>
        <r>
          <rPr>
            <b/>
            <sz val="9"/>
            <color indexed="81"/>
            <rFont val="Tahoma"/>
            <family val="2"/>
          </rPr>
          <t>Gavin Mudd:</t>
        </r>
        <r>
          <rPr>
            <sz val="9"/>
            <color indexed="81"/>
            <rFont val="Tahoma"/>
            <family val="2"/>
          </rPr>
          <t xml:space="preserve">
assumed</t>
        </r>
      </text>
    </comment>
    <comment ref="DM87" authorId="0" shapeId="0" xr:uid="{182A70EB-00D1-41B7-9D0D-B738A779385A}">
      <text>
        <r>
          <rPr>
            <b/>
            <sz val="9"/>
            <color indexed="81"/>
            <rFont val="Tahoma"/>
            <family val="2"/>
          </rPr>
          <t>Gavin Mudd:</t>
        </r>
        <r>
          <rPr>
            <sz val="9"/>
            <color indexed="81"/>
            <rFont val="Tahoma"/>
            <family val="2"/>
          </rPr>
          <t xml:space="preserve">
assumed</t>
        </r>
      </text>
    </comment>
    <comment ref="B88" authorId="0" shapeId="0" xr:uid="{16DA6333-EA5E-470F-9FB6-536D7AEC0E87}">
      <text>
        <r>
          <rPr>
            <b/>
            <sz val="9"/>
            <color indexed="81"/>
            <rFont val="Tahoma"/>
            <family val="2"/>
          </rPr>
          <t>Gavin Mudd:</t>
        </r>
        <r>
          <rPr>
            <sz val="9"/>
            <color indexed="81"/>
            <rFont val="Tahoma"/>
            <family val="2"/>
          </rPr>
          <t xml:space="preserve">
Wyalong</t>
        </r>
      </text>
    </comment>
    <comment ref="C88" authorId="0" shapeId="0" xr:uid="{ECA57D49-131F-4ADD-AA5A-234BB06DC088}">
      <text>
        <r>
          <rPr>
            <b/>
            <sz val="9"/>
            <color indexed="81"/>
            <rFont val="Tahoma"/>
            <family val="2"/>
          </rPr>
          <t>Gavin Mudd:</t>
        </r>
        <r>
          <rPr>
            <sz val="9"/>
            <color indexed="81"/>
            <rFont val="Tahoma"/>
            <family val="2"/>
          </rPr>
          <t xml:space="preserve">
assumed</t>
        </r>
      </text>
    </comment>
    <comment ref="F88" authorId="0" shapeId="0" xr:uid="{31CA4823-0ACE-41E5-9CE5-E31457B94920}">
      <text>
        <r>
          <rPr>
            <b/>
            <sz val="9"/>
            <color indexed="81"/>
            <rFont val="Tahoma"/>
            <family val="2"/>
          </rPr>
          <t>Gavin Mudd:</t>
        </r>
        <r>
          <rPr>
            <sz val="9"/>
            <color indexed="81"/>
            <rFont val="Tahoma"/>
            <family val="2"/>
          </rPr>
          <t xml:space="preserve">
tailings</t>
        </r>
      </text>
    </comment>
    <comment ref="G88" authorId="0" shapeId="0" xr:uid="{F3D369B7-46F4-4475-9690-CFD518688FE2}">
      <text>
        <r>
          <rPr>
            <b/>
            <sz val="9"/>
            <color indexed="81"/>
            <rFont val="Tahoma"/>
            <family val="2"/>
          </rPr>
          <t>Gavin Mudd:</t>
        </r>
        <r>
          <rPr>
            <sz val="9"/>
            <color indexed="81"/>
            <rFont val="Tahoma"/>
            <family val="2"/>
          </rPr>
          <t xml:space="preserve">
assumed</t>
        </r>
      </text>
    </comment>
    <comment ref="I88" authorId="0" shapeId="0" xr:uid="{48BA8C13-F447-4F3D-A186-7EAAFEB3C1E5}">
      <text>
        <r>
          <rPr>
            <b/>
            <sz val="9"/>
            <color indexed="81"/>
            <rFont val="Tahoma"/>
            <family val="2"/>
          </rPr>
          <t>Gavin Mudd:</t>
        </r>
        <r>
          <rPr>
            <sz val="9"/>
            <color indexed="81"/>
            <rFont val="Tahoma"/>
            <family val="2"/>
          </rPr>
          <t xml:space="preserve">
assumed</t>
        </r>
      </text>
    </comment>
    <comment ref="P88" authorId="0" shapeId="0" xr:uid="{9B1F178E-292D-4492-84A2-73C3B3EC9E42}">
      <text>
        <r>
          <rPr>
            <b/>
            <sz val="9"/>
            <color indexed="81"/>
            <rFont val="Tahoma"/>
            <family val="2"/>
          </rPr>
          <t>Gavin Mudd:</t>
        </r>
        <r>
          <rPr>
            <sz val="9"/>
            <color indexed="81"/>
            <rFont val="Tahoma"/>
            <family val="2"/>
          </rPr>
          <t xml:space="preserve">
Tumbarumba</t>
        </r>
      </text>
    </comment>
    <comment ref="Q88" authorId="0" shapeId="0" xr:uid="{D824B6CE-24F8-4E1B-ACA8-9C784206B974}">
      <text>
        <r>
          <rPr>
            <b/>
            <sz val="9"/>
            <color indexed="81"/>
            <rFont val="Tahoma"/>
            <family val="2"/>
          </rPr>
          <t>Gavin Mudd:</t>
        </r>
        <r>
          <rPr>
            <sz val="9"/>
            <color indexed="81"/>
            <rFont val="Tahoma"/>
            <family val="2"/>
          </rPr>
          <t xml:space="preserve">
assumed</t>
        </r>
      </text>
    </comment>
    <comment ref="S88" authorId="0" shapeId="0" xr:uid="{DFB11AA0-1697-4BBC-8F61-83C8316E97DB}">
      <text>
        <r>
          <rPr>
            <b/>
            <sz val="9"/>
            <color indexed="81"/>
            <rFont val="Tahoma"/>
            <family val="2"/>
          </rPr>
          <t>Gavin Mudd:</t>
        </r>
        <r>
          <rPr>
            <sz val="9"/>
            <color indexed="81"/>
            <rFont val="Tahoma"/>
            <family val="2"/>
          </rPr>
          <t xml:space="preserve">
assumed</t>
        </r>
      </text>
    </comment>
    <comment ref="W88" authorId="0" shapeId="0" xr:uid="{FA3FF46D-86E9-415E-BF8A-93730E4C2D2B}">
      <text>
        <r>
          <rPr>
            <b/>
            <sz val="9"/>
            <color indexed="81"/>
            <rFont val="Tahoma"/>
            <family val="2"/>
          </rPr>
          <t>Gavin Mudd:</t>
        </r>
        <r>
          <rPr>
            <sz val="9"/>
            <color indexed="81"/>
            <rFont val="Tahoma"/>
            <family val="2"/>
          </rPr>
          <t xml:space="preserve">
assumed</t>
        </r>
      </text>
    </comment>
    <comment ref="Y88" authorId="0" shapeId="0" xr:uid="{8A1F18AB-C5CE-4483-ADBD-20B75FA4078E}">
      <text>
        <r>
          <rPr>
            <b/>
            <sz val="9"/>
            <color indexed="81"/>
            <rFont val="Tahoma"/>
            <family val="2"/>
          </rPr>
          <t>Gavin Mudd:</t>
        </r>
        <r>
          <rPr>
            <sz val="9"/>
            <color indexed="81"/>
            <rFont val="Tahoma"/>
            <family val="2"/>
          </rPr>
          <t xml:space="preserve">
assumed</t>
        </r>
      </text>
    </comment>
    <comment ref="AA88" authorId="0" shapeId="0" xr:uid="{9F3DF6B8-CA9B-4E14-95B0-8AD14A17DFC5}">
      <text>
        <r>
          <rPr>
            <b/>
            <sz val="9"/>
            <color indexed="81"/>
            <rFont val="Tahoma"/>
            <family val="2"/>
          </rPr>
          <t>Gavin Mudd:</t>
        </r>
        <r>
          <rPr>
            <sz val="9"/>
            <color indexed="81"/>
            <rFont val="Tahoma"/>
            <family val="2"/>
          </rPr>
          <t xml:space="preserve">
assumed</t>
        </r>
      </text>
    </comment>
    <comment ref="AE88" authorId="0" shapeId="0" xr:uid="{44ABC367-177B-4A7B-BA46-3410145FF80C}">
      <text>
        <r>
          <rPr>
            <b/>
            <sz val="9"/>
            <color indexed="81"/>
            <rFont val="Tahoma"/>
            <family val="2"/>
          </rPr>
          <t>Gavin Mudd:</t>
        </r>
        <r>
          <rPr>
            <sz val="9"/>
            <color indexed="81"/>
            <rFont val="Tahoma"/>
            <family val="2"/>
          </rPr>
          <t xml:space="preserve">
assumed</t>
        </r>
      </text>
    </comment>
    <comment ref="AG88" authorId="0" shapeId="0" xr:uid="{012DA1D9-FCC6-404F-840C-4C50C40CF70D}">
      <text>
        <r>
          <rPr>
            <b/>
            <sz val="9"/>
            <color indexed="81"/>
            <rFont val="Tahoma"/>
            <family val="2"/>
          </rPr>
          <t>Gavin Mudd:</t>
        </r>
        <r>
          <rPr>
            <sz val="9"/>
            <color indexed="81"/>
            <rFont val="Tahoma"/>
            <family val="2"/>
          </rPr>
          <t xml:space="preserve">
assumed</t>
        </r>
      </text>
    </comment>
    <comment ref="AK88" authorId="0" shapeId="0" xr:uid="{ED6CFB90-1D01-4C61-8B78-B6C11F2BADF2}">
      <text>
        <r>
          <rPr>
            <b/>
            <sz val="9"/>
            <color indexed="81"/>
            <rFont val="Tahoma"/>
            <family val="2"/>
          </rPr>
          <t>Gavin Mudd:</t>
        </r>
        <r>
          <rPr>
            <sz val="9"/>
            <color indexed="81"/>
            <rFont val="Tahoma"/>
            <family val="2"/>
          </rPr>
          <t xml:space="preserve">
assumed</t>
        </r>
      </text>
    </comment>
    <comment ref="AM88" authorId="0" shapeId="0" xr:uid="{DB3E3CDF-40A2-42E3-A7A1-4C28B617E688}">
      <text>
        <r>
          <rPr>
            <b/>
            <sz val="9"/>
            <color indexed="81"/>
            <rFont val="Tahoma"/>
            <family val="2"/>
          </rPr>
          <t>Gavin Mudd:</t>
        </r>
        <r>
          <rPr>
            <sz val="9"/>
            <color indexed="81"/>
            <rFont val="Tahoma"/>
            <family val="2"/>
          </rPr>
          <t xml:space="preserve">
assumed</t>
        </r>
      </text>
    </comment>
    <comment ref="AO88" authorId="0" shapeId="0" xr:uid="{AD03DBAF-326D-4A33-9874-BD5A575E967C}">
      <text>
        <r>
          <rPr>
            <b/>
            <sz val="9"/>
            <color indexed="81"/>
            <rFont val="Tahoma"/>
            <family val="2"/>
          </rPr>
          <t>Gavin Mudd:</t>
        </r>
        <r>
          <rPr>
            <sz val="9"/>
            <color indexed="81"/>
            <rFont val="Tahoma"/>
            <family val="2"/>
          </rPr>
          <t xml:space="preserve">
assumed</t>
        </r>
      </text>
    </comment>
    <comment ref="AQ88" authorId="0" shapeId="0" xr:uid="{0C3669F6-856D-4677-81E1-D5FA405A6AC8}">
      <text>
        <r>
          <rPr>
            <b/>
            <sz val="9"/>
            <color indexed="81"/>
            <rFont val="Tahoma"/>
            <family val="2"/>
          </rPr>
          <t>Gavin Mudd:</t>
        </r>
        <r>
          <rPr>
            <sz val="9"/>
            <color indexed="81"/>
            <rFont val="Tahoma"/>
            <family val="2"/>
          </rPr>
          <t xml:space="preserve">
assumed</t>
        </r>
      </text>
    </comment>
    <comment ref="AU88" authorId="0" shapeId="0" xr:uid="{4F67053F-137A-4C87-AA74-9C2BC7FF5912}">
      <text>
        <r>
          <rPr>
            <b/>
            <sz val="9"/>
            <color indexed="81"/>
            <rFont val="Tahoma"/>
            <family val="2"/>
          </rPr>
          <t>Gavin Mudd:</t>
        </r>
        <r>
          <rPr>
            <sz val="9"/>
            <color indexed="81"/>
            <rFont val="Tahoma"/>
            <family val="2"/>
          </rPr>
          <t xml:space="preserve">
assumed</t>
        </r>
      </text>
    </comment>
    <comment ref="BA88" authorId="0" shapeId="0" xr:uid="{3463F860-A2AF-415D-BA1A-58B61FCF7076}">
      <text>
        <r>
          <rPr>
            <b/>
            <sz val="9"/>
            <color indexed="81"/>
            <rFont val="Tahoma"/>
            <family val="2"/>
          </rPr>
          <t>Gavin Mudd:</t>
        </r>
        <r>
          <rPr>
            <sz val="9"/>
            <color indexed="81"/>
            <rFont val="Tahoma"/>
            <family val="2"/>
          </rPr>
          <t xml:space="preserve">
assumed</t>
        </r>
      </text>
    </comment>
    <comment ref="BB88" authorId="0" shapeId="0" xr:uid="{0427C4AB-CF9C-423D-85EF-439922FFBA67}">
      <text>
        <r>
          <rPr>
            <b/>
            <sz val="9"/>
            <color indexed="81"/>
            <rFont val="Tahoma"/>
            <family val="2"/>
          </rPr>
          <t>Gavin Mudd:</t>
        </r>
        <r>
          <rPr>
            <sz val="9"/>
            <color indexed="81"/>
            <rFont val="Tahoma"/>
            <family val="2"/>
          </rPr>
          <t xml:space="preserve">
assumed</t>
        </r>
      </text>
    </comment>
    <comment ref="CD88" authorId="0" shapeId="0" xr:uid="{4FF3E3EB-287D-4985-ACD1-9FE242DDB396}">
      <text>
        <r>
          <rPr>
            <b/>
            <sz val="9"/>
            <color indexed="81"/>
            <rFont val="Tahoma"/>
            <family val="2"/>
          </rPr>
          <t>Gavin Mudd:</t>
        </r>
        <r>
          <rPr>
            <sz val="9"/>
            <color indexed="81"/>
            <rFont val="Tahoma"/>
            <family val="2"/>
          </rPr>
          <t xml:space="preserve">
assumed</t>
        </r>
      </text>
    </comment>
    <comment ref="CE88" authorId="0" shapeId="0" xr:uid="{351E84B0-4218-45AF-8F52-8ABB2874492F}">
      <text>
        <r>
          <rPr>
            <b/>
            <sz val="9"/>
            <color indexed="81"/>
            <rFont val="Tahoma"/>
            <family val="2"/>
          </rPr>
          <t>Gavin Mudd:</t>
        </r>
        <r>
          <rPr>
            <sz val="9"/>
            <color indexed="81"/>
            <rFont val="Tahoma"/>
            <family val="2"/>
          </rPr>
          <t xml:space="preserve">
assumed</t>
        </r>
      </text>
    </comment>
    <comment ref="CJ88" authorId="0" shapeId="0" xr:uid="{4E7355A2-A415-4046-BE4F-AC42DD214590}">
      <text>
        <r>
          <rPr>
            <b/>
            <sz val="9"/>
            <color indexed="81"/>
            <rFont val="Tahoma"/>
            <family val="2"/>
          </rPr>
          <t>Gavin Mudd:</t>
        </r>
        <r>
          <rPr>
            <sz val="9"/>
            <color indexed="81"/>
            <rFont val="Tahoma"/>
            <family val="2"/>
          </rPr>
          <t xml:space="preserve">
assumed</t>
        </r>
      </text>
    </comment>
    <comment ref="CK88" authorId="0" shapeId="0" xr:uid="{F99DDE55-48E0-4438-8EC3-C2D4FE8F8D99}">
      <text>
        <r>
          <rPr>
            <b/>
            <sz val="9"/>
            <color indexed="81"/>
            <rFont val="Tahoma"/>
            <family val="2"/>
          </rPr>
          <t>Gavin Mudd:</t>
        </r>
        <r>
          <rPr>
            <sz val="9"/>
            <color indexed="81"/>
            <rFont val="Tahoma"/>
            <family val="2"/>
          </rPr>
          <t xml:space="preserve">
assumed</t>
        </r>
      </text>
    </comment>
    <comment ref="CO88" authorId="0" shapeId="0" xr:uid="{D2D17EA8-D67C-428E-8B54-4EE27E2FE222}">
      <text>
        <r>
          <rPr>
            <b/>
            <sz val="9"/>
            <color indexed="81"/>
            <rFont val="Tahoma"/>
            <family val="2"/>
          </rPr>
          <t>Gavin Mudd:</t>
        </r>
        <r>
          <rPr>
            <sz val="9"/>
            <color indexed="81"/>
            <rFont val="Tahoma"/>
            <family val="2"/>
          </rPr>
          <t xml:space="preserve">
assumed</t>
        </r>
      </text>
    </comment>
    <comment ref="CP88" authorId="0" shapeId="0" xr:uid="{4C500B06-FA95-4B94-9DD5-6C5C686BB270}">
      <text>
        <r>
          <rPr>
            <b/>
            <sz val="9"/>
            <color indexed="81"/>
            <rFont val="Tahoma"/>
            <family val="2"/>
          </rPr>
          <t>Gavin Mudd:</t>
        </r>
        <r>
          <rPr>
            <sz val="9"/>
            <color indexed="81"/>
            <rFont val="Tahoma"/>
            <family val="2"/>
          </rPr>
          <t xml:space="preserve">
assumed</t>
        </r>
      </text>
    </comment>
    <comment ref="DL88" authorId="0" shapeId="0" xr:uid="{6716D1B6-8F0B-452C-901B-BF450E74E732}">
      <text>
        <r>
          <rPr>
            <b/>
            <sz val="9"/>
            <color indexed="81"/>
            <rFont val="Tahoma"/>
            <family val="2"/>
          </rPr>
          <t>Gavin Mudd:</t>
        </r>
        <r>
          <rPr>
            <sz val="9"/>
            <color indexed="81"/>
            <rFont val="Tahoma"/>
            <family val="2"/>
          </rPr>
          <t xml:space="preserve">
assumed</t>
        </r>
      </text>
    </comment>
    <comment ref="DM88" authorId="0" shapeId="0" xr:uid="{50E0833F-ED48-4110-8783-0B6F5B47EA4E}">
      <text>
        <r>
          <rPr>
            <b/>
            <sz val="9"/>
            <color indexed="81"/>
            <rFont val="Tahoma"/>
            <family val="2"/>
          </rPr>
          <t>Gavin Mudd:</t>
        </r>
        <r>
          <rPr>
            <sz val="9"/>
            <color indexed="81"/>
            <rFont val="Tahoma"/>
            <family val="2"/>
          </rPr>
          <t xml:space="preserve">
assumed</t>
        </r>
      </text>
    </comment>
    <comment ref="B89" authorId="0" shapeId="0" xr:uid="{BB81C21D-D08A-4397-B810-F12C77B4BAD1}">
      <text>
        <r>
          <rPr>
            <b/>
            <sz val="9"/>
            <color indexed="81"/>
            <rFont val="Tahoma"/>
            <family val="2"/>
          </rPr>
          <t>Gavin Mudd:</t>
        </r>
        <r>
          <rPr>
            <sz val="9"/>
            <color indexed="81"/>
            <rFont val="Tahoma"/>
            <family val="2"/>
          </rPr>
          <t xml:space="preserve">
Trundle &amp; West Wyalong</t>
        </r>
      </text>
    </comment>
    <comment ref="C89" authorId="0" shapeId="0" xr:uid="{636B5B6B-5C24-4CA5-9907-9C8F7488C830}">
      <text>
        <r>
          <rPr>
            <b/>
            <sz val="9"/>
            <color indexed="81"/>
            <rFont val="Tahoma"/>
            <family val="2"/>
          </rPr>
          <t>Gavin Mudd:</t>
        </r>
        <r>
          <rPr>
            <sz val="9"/>
            <color indexed="81"/>
            <rFont val="Tahoma"/>
            <family val="2"/>
          </rPr>
          <t xml:space="preserve">
assumed</t>
        </r>
      </text>
    </comment>
    <comment ref="F89" authorId="0" shapeId="0" xr:uid="{45256DE5-53DF-466E-AA7D-AF8D3B31F91E}">
      <text>
        <r>
          <rPr>
            <b/>
            <sz val="9"/>
            <color indexed="81"/>
            <rFont val="Tahoma"/>
            <family val="2"/>
          </rPr>
          <t>Gavin Mudd:</t>
        </r>
        <r>
          <rPr>
            <sz val="9"/>
            <color indexed="81"/>
            <rFont val="Tahoma"/>
            <family val="2"/>
          </rPr>
          <t xml:space="preserve">
tailings</t>
        </r>
      </text>
    </comment>
    <comment ref="G89" authorId="0" shapeId="0" xr:uid="{5EA767F1-9D37-41EF-B532-6D84CAA0E521}">
      <text>
        <r>
          <rPr>
            <b/>
            <sz val="9"/>
            <color indexed="81"/>
            <rFont val="Tahoma"/>
            <family val="2"/>
          </rPr>
          <t>Gavin Mudd:</t>
        </r>
        <r>
          <rPr>
            <sz val="9"/>
            <color indexed="81"/>
            <rFont val="Tahoma"/>
            <family val="2"/>
          </rPr>
          <t xml:space="preserve">
assumed</t>
        </r>
      </text>
    </comment>
    <comment ref="I89" authorId="0" shapeId="0" xr:uid="{836A73CE-BE62-4DAD-9CD1-4F2376054B42}">
      <text>
        <r>
          <rPr>
            <b/>
            <sz val="9"/>
            <color indexed="81"/>
            <rFont val="Tahoma"/>
            <family val="2"/>
          </rPr>
          <t>Gavin Mudd:</t>
        </r>
        <r>
          <rPr>
            <sz val="9"/>
            <color indexed="81"/>
            <rFont val="Tahoma"/>
            <family val="2"/>
          </rPr>
          <t xml:space="preserve">
assumed</t>
        </r>
      </text>
    </comment>
    <comment ref="J89" authorId="0" shapeId="0" xr:uid="{F5B466D6-E7E8-425B-B11F-AD4BB29C90CB}">
      <text>
        <r>
          <rPr>
            <b/>
            <sz val="9"/>
            <color indexed="81"/>
            <rFont val="Tahoma"/>
            <family val="2"/>
          </rPr>
          <t>Gavin Mudd:</t>
        </r>
        <r>
          <rPr>
            <sz val="9"/>
            <color indexed="81"/>
            <rFont val="Tahoma"/>
            <family val="2"/>
          </rPr>
          <t xml:space="preserve">
Tumut</t>
        </r>
      </text>
    </comment>
    <comment ref="K89" authorId="0" shapeId="0" xr:uid="{86D7790D-ACB2-4094-BD05-94278297F0B2}">
      <text>
        <r>
          <rPr>
            <b/>
            <sz val="9"/>
            <color indexed="81"/>
            <rFont val="Tahoma"/>
            <family val="2"/>
          </rPr>
          <t>Gavin Mudd:</t>
        </r>
        <r>
          <rPr>
            <sz val="9"/>
            <color indexed="81"/>
            <rFont val="Tahoma"/>
            <family val="2"/>
          </rPr>
          <t xml:space="preserve">
assumed</t>
        </r>
      </text>
    </comment>
    <comment ref="Q89" authorId="0" shapeId="0" xr:uid="{4512CFFD-B62D-41E7-B81E-B6D44B358B87}">
      <text>
        <r>
          <rPr>
            <b/>
            <sz val="9"/>
            <color indexed="81"/>
            <rFont val="Tahoma"/>
            <family val="2"/>
          </rPr>
          <t>Gavin Mudd:</t>
        </r>
        <r>
          <rPr>
            <sz val="9"/>
            <color indexed="81"/>
            <rFont val="Tahoma"/>
            <family val="2"/>
          </rPr>
          <t xml:space="preserve">
assumed</t>
        </r>
      </text>
    </comment>
    <comment ref="S89" authorId="0" shapeId="0" xr:uid="{F6BE75E4-D075-432D-9DEE-B9D0C3BCA949}">
      <text>
        <r>
          <rPr>
            <b/>
            <sz val="9"/>
            <color indexed="81"/>
            <rFont val="Tahoma"/>
            <family val="2"/>
          </rPr>
          <t>Gavin Mudd:</t>
        </r>
        <r>
          <rPr>
            <sz val="9"/>
            <color indexed="81"/>
            <rFont val="Tahoma"/>
            <family val="2"/>
          </rPr>
          <t xml:space="preserve">
assumed</t>
        </r>
      </text>
    </comment>
    <comment ref="W89" authorId="0" shapeId="0" xr:uid="{82697F00-C07B-4C36-97AF-C3D32BF31BD3}">
      <text>
        <r>
          <rPr>
            <b/>
            <sz val="9"/>
            <color indexed="81"/>
            <rFont val="Tahoma"/>
            <family val="2"/>
          </rPr>
          <t>Gavin Mudd:</t>
        </r>
        <r>
          <rPr>
            <sz val="9"/>
            <color indexed="81"/>
            <rFont val="Tahoma"/>
            <family val="2"/>
          </rPr>
          <t xml:space="preserve">
assumed</t>
        </r>
      </text>
    </comment>
    <comment ref="Y89" authorId="0" shapeId="0" xr:uid="{451AEE5F-4336-411A-AEA4-7B8214C09E5C}">
      <text>
        <r>
          <rPr>
            <b/>
            <sz val="9"/>
            <color indexed="81"/>
            <rFont val="Tahoma"/>
            <family val="2"/>
          </rPr>
          <t>Gavin Mudd:</t>
        </r>
        <r>
          <rPr>
            <sz val="9"/>
            <color indexed="81"/>
            <rFont val="Tahoma"/>
            <family val="2"/>
          </rPr>
          <t xml:space="preserve">
assumed</t>
        </r>
      </text>
    </comment>
    <comment ref="AA89" authorId="0" shapeId="0" xr:uid="{E1AD95A7-1F12-445E-887C-9B1A562F0E28}">
      <text>
        <r>
          <rPr>
            <b/>
            <sz val="9"/>
            <color indexed="81"/>
            <rFont val="Tahoma"/>
            <family val="2"/>
          </rPr>
          <t>Gavin Mudd:</t>
        </r>
        <r>
          <rPr>
            <sz val="9"/>
            <color indexed="81"/>
            <rFont val="Tahoma"/>
            <family val="2"/>
          </rPr>
          <t xml:space="preserve">
assumed</t>
        </r>
      </text>
    </comment>
    <comment ref="AE89" authorId="0" shapeId="0" xr:uid="{D852E7E2-F46D-4DD1-8D22-C7AD4734666C}">
      <text>
        <r>
          <rPr>
            <b/>
            <sz val="9"/>
            <color indexed="81"/>
            <rFont val="Tahoma"/>
            <family val="2"/>
          </rPr>
          <t>Gavin Mudd:</t>
        </r>
        <r>
          <rPr>
            <sz val="9"/>
            <color indexed="81"/>
            <rFont val="Tahoma"/>
            <family val="2"/>
          </rPr>
          <t xml:space="preserve">
assumed</t>
        </r>
      </text>
    </comment>
    <comment ref="AG89" authorId="0" shapeId="0" xr:uid="{34871CC1-EA57-439F-8905-F1D09DC5B24D}">
      <text>
        <r>
          <rPr>
            <b/>
            <sz val="9"/>
            <color indexed="81"/>
            <rFont val="Tahoma"/>
            <family val="2"/>
          </rPr>
          <t>Gavin Mudd:</t>
        </r>
        <r>
          <rPr>
            <sz val="9"/>
            <color indexed="81"/>
            <rFont val="Tahoma"/>
            <family val="2"/>
          </rPr>
          <t xml:space="preserve">
assumed</t>
        </r>
      </text>
    </comment>
    <comment ref="AK89" authorId="0" shapeId="0" xr:uid="{5E5EAEA0-3499-4C25-87B0-E7C8ACF2FBF8}">
      <text>
        <r>
          <rPr>
            <b/>
            <sz val="9"/>
            <color indexed="81"/>
            <rFont val="Tahoma"/>
            <family val="2"/>
          </rPr>
          <t>Gavin Mudd:</t>
        </r>
        <r>
          <rPr>
            <sz val="9"/>
            <color indexed="81"/>
            <rFont val="Tahoma"/>
            <family val="2"/>
          </rPr>
          <t xml:space="preserve">
assumed</t>
        </r>
      </text>
    </comment>
    <comment ref="AM89" authorId="0" shapeId="0" xr:uid="{47765545-D12C-446C-A862-11CDFDEFCB7F}">
      <text>
        <r>
          <rPr>
            <b/>
            <sz val="9"/>
            <color indexed="81"/>
            <rFont val="Tahoma"/>
            <family val="2"/>
          </rPr>
          <t>Gavin Mudd:</t>
        </r>
        <r>
          <rPr>
            <sz val="9"/>
            <color indexed="81"/>
            <rFont val="Tahoma"/>
            <family val="2"/>
          </rPr>
          <t xml:space="preserve">
assumed</t>
        </r>
      </text>
    </comment>
    <comment ref="AO89" authorId="0" shapeId="0" xr:uid="{09153C0A-76EA-4358-BA90-84CB9813EA3F}">
      <text>
        <r>
          <rPr>
            <b/>
            <sz val="9"/>
            <color indexed="81"/>
            <rFont val="Tahoma"/>
            <family val="2"/>
          </rPr>
          <t>Gavin Mudd:</t>
        </r>
        <r>
          <rPr>
            <sz val="9"/>
            <color indexed="81"/>
            <rFont val="Tahoma"/>
            <family val="2"/>
          </rPr>
          <t xml:space="preserve">
assumed</t>
        </r>
      </text>
    </comment>
    <comment ref="AS89" authorId="0" shapeId="0" xr:uid="{D2C912AC-D5E7-49B8-8FCC-5B61D2585716}">
      <text>
        <r>
          <rPr>
            <b/>
            <sz val="9"/>
            <color indexed="81"/>
            <rFont val="Tahoma"/>
            <family val="2"/>
          </rPr>
          <t>Gavin Mudd:</t>
        </r>
        <r>
          <rPr>
            <sz val="9"/>
            <color indexed="81"/>
            <rFont val="Tahoma"/>
            <family val="2"/>
          </rPr>
          <t xml:space="preserve">
assumed</t>
        </r>
      </text>
    </comment>
    <comment ref="AU89" authorId="0" shapeId="0" xr:uid="{935C3063-E579-46DA-891C-88B7CF4AD68A}">
      <text>
        <r>
          <rPr>
            <b/>
            <sz val="9"/>
            <color indexed="81"/>
            <rFont val="Tahoma"/>
            <family val="2"/>
          </rPr>
          <t>Gavin Mudd:</t>
        </r>
        <r>
          <rPr>
            <sz val="9"/>
            <color indexed="81"/>
            <rFont val="Tahoma"/>
            <family val="2"/>
          </rPr>
          <t xml:space="preserve">
assumed</t>
        </r>
      </text>
    </comment>
    <comment ref="BA89" authorId="0" shapeId="0" xr:uid="{DA5466C3-369D-4230-A8A7-9903F317A7D4}">
      <text>
        <r>
          <rPr>
            <b/>
            <sz val="9"/>
            <color indexed="81"/>
            <rFont val="Tahoma"/>
            <family val="2"/>
          </rPr>
          <t>Gavin Mudd:</t>
        </r>
        <r>
          <rPr>
            <sz val="9"/>
            <color indexed="81"/>
            <rFont val="Tahoma"/>
            <family val="2"/>
          </rPr>
          <t xml:space="preserve">
assumed</t>
        </r>
      </text>
    </comment>
    <comment ref="BB89" authorId="0" shapeId="0" xr:uid="{4F264BB5-2B2B-44BA-88B4-C86BF9E4FB1E}">
      <text>
        <r>
          <rPr>
            <b/>
            <sz val="9"/>
            <color indexed="81"/>
            <rFont val="Tahoma"/>
            <family val="2"/>
          </rPr>
          <t>Gavin Mudd:</t>
        </r>
        <r>
          <rPr>
            <sz val="9"/>
            <color indexed="81"/>
            <rFont val="Tahoma"/>
            <family val="2"/>
          </rPr>
          <t xml:space="preserve">
assumed</t>
        </r>
      </text>
    </comment>
    <comment ref="CD89" authorId="0" shapeId="0" xr:uid="{F00AA79E-8820-4DA1-AC99-695A76EC86F7}">
      <text>
        <r>
          <rPr>
            <b/>
            <sz val="9"/>
            <color indexed="81"/>
            <rFont val="Tahoma"/>
            <family val="2"/>
          </rPr>
          <t>Gavin Mudd:</t>
        </r>
        <r>
          <rPr>
            <sz val="9"/>
            <color indexed="81"/>
            <rFont val="Tahoma"/>
            <family val="2"/>
          </rPr>
          <t xml:space="preserve">
assumed</t>
        </r>
      </text>
    </comment>
    <comment ref="CE89" authorId="0" shapeId="0" xr:uid="{9EAA8FFE-44C0-4CA1-9C74-7D19B8484327}">
      <text>
        <r>
          <rPr>
            <b/>
            <sz val="9"/>
            <color indexed="81"/>
            <rFont val="Tahoma"/>
            <family val="2"/>
          </rPr>
          <t>Gavin Mudd:</t>
        </r>
        <r>
          <rPr>
            <sz val="9"/>
            <color indexed="81"/>
            <rFont val="Tahoma"/>
            <family val="2"/>
          </rPr>
          <t xml:space="preserve">
assumed</t>
        </r>
      </text>
    </comment>
    <comment ref="CJ89" authorId="0" shapeId="0" xr:uid="{EA6B40D2-11C4-47F4-ADAC-686775EB6F71}">
      <text>
        <r>
          <rPr>
            <b/>
            <sz val="9"/>
            <color indexed="81"/>
            <rFont val="Tahoma"/>
            <family val="2"/>
          </rPr>
          <t>Gavin Mudd:</t>
        </r>
        <r>
          <rPr>
            <sz val="9"/>
            <color indexed="81"/>
            <rFont val="Tahoma"/>
            <family val="2"/>
          </rPr>
          <t xml:space="preserve">
assumed</t>
        </r>
      </text>
    </comment>
    <comment ref="CK89" authorId="0" shapeId="0" xr:uid="{55FD83F2-4241-49A3-8641-5511ED477F9D}">
      <text>
        <r>
          <rPr>
            <b/>
            <sz val="9"/>
            <color indexed="81"/>
            <rFont val="Tahoma"/>
            <family val="2"/>
          </rPr>
          <t>Gavin Mudd:</t>
        </r>
        <r>
          <rPr>
            <sz val="9"/>
            <color indexed="81"/>
            <rFont val="Tahoma"/>
            <family val="2"/>
          </rPr>
          <t xml:space="preserve">
assumed</t>
        </r>
      </text>
    </comment>
    <comment ref="CO89" authorId="0" shapeId="0" xr:uid="{2A64C582-92FD-44A4-870B-38656CF0C5AD}">
      <text>
        <r>
          <rPr>
            <b/>
            <sz val="9"/>
            <color indexed="81"/>
            <rFont val="Tahoma"/>
            <family val="2"/>
          </rPr>
          <t>Gavin Mudd:</t>
        </r>
        <r>
          <rPr>
            <sz val="9"/>
            <color indexed="81"/>
            <rFont val="Tahoma"/>
            <family val="2"/>
          </rPr>
          <t xml:space="preserve">
assumed</t>
        </r>
      </text>
    </comment>
    <comment ref="CP89" authorId="0" shapeId="0" xr:uid="{6F4775F9-10A3-42B2-B360-12F0F1AD4B99}">
      <text>
        <r>
          <rPr>
            <b/>
            <sz val="9"/>
            <color indexed="81"/>
            <rFont val="Tahoma"/>
            <family val="2"/>
          </rPr>
          <t>Gavin Mudd:</t>
        </r>
        <r>
          <rPr>
            <sz val="9"/>
            <color indexed="81"/>
            <rFont val="Tahoma"/>
            <family val="2"/>
          </rPr>
          <t xml:space="preserve">
assumed</t>
        </r>
      </text>
    </comment>
    <comment ref="DL89" authorId="0" shapeId="0" xr:uid="{E3ADC3EE-1BF7-4D99-9C4C-3132CCB6F1BD}">
      <text>
        <r>
          <rPr>
            <b/>
            <sz val="9"/>
            <color indexed="81"/>
            <rFont val="Tahoma"/>
            <family val="2"/>
          </rPr>
          <t>Gavin Mudd:</t>
        </r>
        <r>
          <rPr>
            <sz val="9"/>
            <color indexed="81"/>
            <rFont val="Tahoma"/>
            <family val="2"/>
          </rPr>
          <t xml:space="preserve">
assumed</t>
        </r>
      </text>
    </comment>
    <comment ref="DM89" authorId="0" shapeId="0" xr:uid="{B8752664-61AD-41C1-A9CE-73D214CD40BD}">
      <text>
        <r>
          <rPr>
            <b/>
            <sz val="9"/>
            <color indexed="81"/>
            <rFont val="Tahoma"/>
            <family val="2"/>
          </rPr>
          <t>Gavin Mudd:</t>
        </r>
        <r>
          <rPr>
            <sz val="9"/>
            <color indexed="81"/>
            <rFont val="Tahoma"/>
            <family val="2"/>
          </rPr>
          <t xml:space="preserve">
assumed</t>
        </r>
      </text>
    </comment>
    <comment ref="B90" authorId="0" shapeId="0" xr:uid="{E6129C98-4606-44F9-8C86-5325980BE5C3}">
      <text>
        <r>
          <rPr>
            <b/>
            <sz val="9"/>
            <color indexed="81"/>
            <rFont val="Tahoma"/>
            <family val="2"/>
          </rPr>
          <t>Gavin Mudd:</t>
        </r>
        <r>
          <rPr>
            <sz val="9"/>
            <color indexed="81"/>
            <rFont val="Tahoma"/>
            <family val="2"/>
          </rPr>
          <t xml:space="preserve">
Trundle &amp; West Wyalong</t>
        </r>
      </text>
    </comment>
    <comment ref="C90" authorId="0" shapeId="0" xr:uid="{09A08922-414E-44A9-9B3B-53EC84919CFD}">
      <text>
        <r>
          <rPr>
            <b/>
            <sz val="9"/>
            <color indexed="81"/>
            <rFont val="Tahoma"/>
            <family val="2"/>
          </rPr>
          <t>Gavin Mudd:</t>
        </r>
        <r>
          <rPr>
            <sz val="9"/>
            <color indexed="81"/>
            <rFont val="Tahoma"/>
            <family val="2"/>
          </rPr>
          <t xml:space="preserve">
assumed</t>
        </r>
      </text>
    </comment>
    <comment ref="I90" authorId="0" shapeId="0" xr:uid="{0022F35A-2690-49D5-9EB1-A6A3DE834085}">
      <text>
        <r>
          <rPr>
            <b/>
            <sz val="9"/>
            <color indexed="81"/>
            <rFont val="Tahoma"/>
            <family val="2"/>
          </rPr>
          <t>Gavin Mudd:</t>
        </r>
        <r>
          <rPr>
            <sz val="9"/>
            <color indexed="81"/>
            <rFont val="Tahoma"/>
            <family val="2"/>
          </rPr>
          <t xml:space="preserve">
assumed</t>
        </r>
      </text>
    </comment>
    <comment ref="J90" authorId="0" shapeId="0" xr:uid="{4100D656-B75E-4A85-AF9D-223AE37215E2}">
      <text>
        <r>
          <rPr>
            <b/>
            <sz val="9"/>
            <color indexed="81"/>
            <rFont val="Tahoma"/>
            <family val="2"/>
          </rPr>
          <t>Gavin Mudd:</t>
        </r>
        <r>
          <rPr>
            <sz val="9"/>
            <color indexed="81"/>
            <rFont val="Tahoma"/>
            <family val="2"/>
          </rPr>
          <t xml:space="preserve">
Tumut</t>
        </r>
      </text>
    </comment>
    <comment ref="K90" authorId="0" shapeId="0" xr:uid="{1C108DF8-5362-449B-B3DB-BEE444146959}">
      <text>
        <r>
          <rPr>
            <b/>
            <sz val="9"/>
            <color indexed="81"/>
            <rFont val="Tahoma"/>
            <family val="2"/>
          </rPr>
          <t>Gavin Mudd:</t>
        </r>
        <r>
          <rPr>
            <sz val="9"/>
            <color indexed="81"/>
            <rFont val="Tahoma"/>
            <family val="2"/>
          </rPr>
          <t xml:space="preserve">
assumed</t>
        </r>
      </text>
    </comment>
    <comment ref="P90" authorId="0" shapeId="0" xr:uid="{DA9D2B47-5E92-4648-AA77-4769150A5AA1}">
      <text>
        <r>
          <rPr>
            <b/>
            <sz val="9"/>
            <color indexed="81"/>
            <rFont val="Tahoma"/>
            <family val="2"/>
          </rPr>
          <t>Gavin Mudd:</t>
        </r>
        <r>
          <rPr>
            <sz val="9"/>
            <color indexed="81"/>
            <rFont val="Tahoma"/>
            <family val="2"/>
          </rPr>
          <t xml:space="preserve">
Holbrook &amp; Tumbarumba</t>
        </r>
      </text>
    </comment>
    <comment ref="Q90" authorId="0" shapeId="0" xr:uid="{BE4FA76A-CBB7-4409-A3F7-2585622E5AB8}">
      <text>
        <r>
          <rPr>
            <b/>
            <sz val="9"/>
            <color indexed="81"/>
            <rFont val="Tahoma"/>
            <family val="2"/>
          </rPr>
          <t>Gavin Mudd:</t>
        </r>
        <r>
          <rPr>
            <sz val="9"/>
            <color indexed="81"/>
            <rFont val="Tahoma"/>
            <family val="2"/>
          </rPr>
          <t xml:space="preserve">
assumed</t>
        </r>
      </text>
    </comment>
    <comment ref="S90" authorId="0" shapeId="0" xr:uid="{7196CC2D-A324-49AD-BE3C-2E40A0BFCCBF}">
      <text>
        <r>
          <rPr>
            <b/>
            <sz val="9"/>
            <color indexed="81"/>
            <rFont val="Tahoma"/>
            <family val="2"/>
          </rPr>
          <t>Gavin Mudd:</t>
        </r>
        <r>
          <rPr>
            <sz val="9"/>
            <color indexed="81"/>
            <rFont val="Tahoma"/>
            <family val="2"/>
          </rPr>
          <t xml:space="preserve">
assumed</t>
        </r>
      </text>
    </comment>
    <comment ref="U90" authorId="0" shapeId="0" xr:uid="{6457FF32-59EE-42F4-AF6E-D2F6F25D9B7F}">
      <text>
        <r>
          <rPr>
            <b/>
            <sz val="9"/>
            <color indexed="81"/>
            <rFont val="Tahoma"/>
            <family val="2"/>
          </rPr>
          <t>Gavin Mudd:</t>
        </r>
        <r>
          <rPr>
            <sz val="9"/>
            <color indexed="81"/>
            <rFont val="Tahoma"/>
            <family val="2"/>
          </rPr>
          <t xml:space="preserve">
assumed</t>
        </r>
      </text>
    </comment>
    <comment ref="W90" authorId="0" shapeId="0" xr:uid="{E6EB3542-F266-4D57-BBA3-21D89DD28376}">
      <text>
        <r>
          <rPr>
            <b/>
            <sz val="9"/>
            <color indexed="81"/>
            <rFont val="Tahoma"/>
            <family val="2"/>
          </rPr>
          <t>Gavin Mudd:</t>
        </r>
        <r>
          <rPr>
            <sz val="9"/>
            <color indexed="81"/>
            <rFont val="Tahoma"/>
            <family val="2"/>
          </rPr>
          <t xml:space="preserve">
assumed</t>
        </r>
      </text>
    </comment>
    <comment ref="Y90" authorId="0" shapeId="0" xr:uid="{B6D7757B-7352-45DF-A8C5-4DCED392CABF}">
      <text>
        <r>
          <rPr>
            <b/>
            <sz val="9"/>
            <color indexed="81"/>
            <rFont val="Tahoma"/>
            <family val="2"/>
          </rPr>
          <t>Gavin Mudd:</t>
        </r>
        <r>
          <rPr>
            <sz val="9"/>
            <color indexed="81"/>
            <rFont val="Tahoma"/>
            <family val="2"/>
          </rPr>
          <t xml:space="preserve">
assumed</t>
        </r>
      </text>
    </comment>
    <comment ref="AA90" authorId="0" shapeId="0" xr:uid="{B014289F-88A4-4A3E-BFE0-815E7AB696EF}">
      <text>
        <r>
          <rPr>
            <b/>
            <sz val="9"/>
            <color indexed="81"/>
            <rFont val="Tahoma"/>
            <family val="2"/>
          </rPr>
          <t>Gavin Mudd:</t>
        </r>
        <r>
          <rPr>
            <sz val="9"/>
            <color indexed="81"/>
            <rFont val="Tahoma"/>
            <family val="2"/>
          </rPr>
          <t xml:space="preserve">
assumed</t>
        </r>
      </text>
    </comment>
    <comment ref="AE90" authorId="0" shapeId="0" xr:uid="{56E688DC-187C-4F4B-82B9-6CA6779AF929}">
      <text>
        <r>
          <rPr>
            <b/>
            <sz val="9"/>
            <color indexed="81"/>
            <rFont val="Tahoma"/>
            <family val="2"/>
          </rPr>
          <t>Gavin Mudd:</t>
        </r>
        <r>
          <rPr>
            <sz val="9"/>
            <color indexed="81"/>
            <rFont val="Tahoma"/>
            <family val="2"/>
          </rPr>
          <t xml:space="preserve">
assumed</t>
        </r>
      </text>
    </comment>
    <comment ref="AG90" authorId="0" shapeId="0" xr:uid="{EBB702D1-7622-4C2C-8471-1BEE3186FDAC}">
      <text>
        <r>
          <rPr>
            <b/>
            <sz val="9"/>
            <color indexed="81"/>
            <rFont val="Tahoma"/>
            <family val="2"/>
          </rPr>
          <t>Gavin Mudd:</t>
        </r>
        <r>
          <rPr>
            <sz val="9"/>
            <color indexed="81"/>
            <rFont val="Tahoma"/>
            <family val="2"/>
          </rPr>
          <t xml:space="preserve">
assumed</t>
        </r>
      </text>
    </comment>
    <comment ref="AH90" authorId="0" shapeId="0" xr:uid="{DAAC4EC1-8A26-487D-B845-F9CF97133E05}">
      <text>
        <r>
          <rPr>
            <b/>
            <sz val="9"/>
            <color indexed="81"/>
            <rFont val="Tahoma"/>
            <family val="2"/>
          </rPr>
          <t>Gavin Mudd:</t>
        </r>
        <r>
          <rPr>
            <sz val="9"/>
            <color indexed="81"/>
            <rFont val="Tahoma"/>
            <family val="2"/>
          </rPr>
          <t xml:space="preserve">
Barraba, Hillgrove</t>
        </r>
      </text>
    </comment>
    <comment ref="AI90" authorId="0" shapeId="0" xr:uid="{5ADAE976-65F3-4C98-B723-92458CC8B067}">
      <text>
        <r>
          <rPr>
            <b/>
            <sz val="9"/>
            <color indexed="81"/>
            <rFont val="Tahoma"/>
            <family val="2"/>
          </rPr>
          <t>Gavin Mudd:</t>
        </r>
        <r>
          <rPr>
            <sz val="9"/>
            <color indexed="81"/>
            <rFont val="Tahoma"/>
            <family val="2"/>
          </rPr>
          <t xml:space="preserve">
assumed</t>
        </r>
      </text>
    </comment>
    <comment ref="AK90" authorId="0" shapeId="0" xr:uid="{9A9C5EB3-7B16-4041-AEF6-02FB75330472}">
      <text>
        <r>
          <rPr>
            <b/>
            <sz val="9"/>
            <color indexed="81"/>
            <rFont val="Tahoma"/>
            <family val="2"/>
          </rPr>
          <t>Gavin Mudd:</t>
        </r>
        <r>
          <rPr>
            <sz val="9"/>
            <color indexed="81"/>
            <rFont val="Tahoma"/>
            <family val="2"/>
          </rPr>
          <t xml:space="preserve">
assumed</t>
        </r>
      </text>
    </comment>
    <comment ref="AM90" authorId="0" shapeId="0" xr:uid="{845523D5-84B0-4A77-9D04-94C498D8EE78}">
      <text>
        <r>
          <rPr>
            <b/>
            <sz val="9"/>
            <color indexed="81"/>
            <rFont val="Tahoma"/>
            <family val="2"/>
          </rPr>
          <t>Gavin Mudd:</t>
        </r>
        <r>
          <rPr>
            <sz val="9"/>
            <color indexed="81"/>
            <rFont val="Tahoma"/>
            <family val="2"/>
          </rPr>
          <t xml:space="preserve">
assumed</t>
        </r>
      </text>
    </comment>
    <comment ref="AN90" authorId="0" shapeId="0" xr:uid="{01A4D758-F9E6-4028-BA3D-A6E868953C7D}">
      <text>
        <r>
          <rPr>
            <b/>
            <sz val="9"/>
            <color indexed="81"/>
            <rFont val="Tahoma"/>
            <family val="2"/>
          </rPr>
          <t>Gavin Mudd:</t>
        </r>
        <r>
          <rPr>
            <sz val="9"/>
            <color indexed="81"/>
            <rFont val="Tahoma"/>
            <family val="2"/>
          </rPr>
          <t xml:space="preserve">
merged into Tenterfield</t>
        </r>
      </text>
    </comment>
    <comment ref="AO90" authorId="0" shapeId="0" xr:uid="{C200BE43-4CED-4B3E-B96B-570121F053F6}">
      <text>
        <r>
          <rPr>
            <b/>
            <sz val="9"/>
            <color indexed="81"/>
            <rFont val="Tahoma"/>
            <family val="2"/>
          </rPr>
          <t>Gavin Mudd:</t>
        </r>
        <r>
          <rPr>
            <sz val="9"/>
            <color indexed="81"/>
            <rFont val="Tahoma"/>
            <family val="2"/>
          </rPr>
          <t xml:space="preserve">
assumed</t>
        </r>
      </text>
    </comment>
    <comment ref="AS90" authorId="0" shapeId="0" xr:uid="{7ADC6370-175E-483E-A2B7-B07A10C81476}">
      <text>
        <r>
          <rPr>
            <b/>
            <sz val="9"/>
            <color indexed="81"/>
            <rFont val="Tahoma"/>
            <family val="2"/>
          </rPr>
          <t>Gavin Mudd:</t>
        </r>
        <r>
          <rPr>
            <sz val="9"/>
            <color indexed="81"/>
            <rFont val="Tahoma"/>
            <family val="2"/>
          </rPr>
          <t xml:space="preserve">
assumed</t>
        </r>
      </text>
    </comment>
    <comment ref="AU90" authorId="0" shapeId="0" xr:uid="{D3AA89F5-198A-44E6-A55D-64C931227C57}">
      <text>
        <r>
          <rPr>
            <b/>
            <sz val="9"/>
            <color indexed="81"/>
            <rFont val="Tahoma"/>
            <family val="2"/>
          </rPr>
          <t>Gavin Mudd:</t>
        </r>
        <r>
          <rPr>
            <sz val="9"/>
            <color indexed="81"/>
            <rFont val="Tahoma"/>
            <family val="2"/>
          </rPr>
          <t xml:space="preserve">
assumed</t>
        </r>
      </text>
    </comment>
    <comment ref="BA90" authorId="0" shapeId="0" xr:uid="{641F1B4B-8E28-41E0-BED0-1FC0E5B6B02D}">
      <text>
        <r>
          <rPr>
            <b/>
            <sz val="9"/>
            <color indexed="81"/>
            <rFont val="Tahoma"/>
            <family val="2"/>
          </rPr>
          <t>Gavin Mudd:</t>
        </r>
        <r>
          <rPr>
            <sz val="9"/>
            <color indexed="81"/>
            <rFont val="Tahoma"/>
            <family val="2"/>
          </rPr>
          <t xml:space="preserve">
assumed</t>
        </r>
      </text>
    </comment>
    <comment ref="BB90" authorId="0" shapeId="0" xr:uid="{CDA3AF72-5115-488C-BF00-59DF73317CC9}">
      <text>
        <r>
          <rPr>
            <b/>
            <sz val="9"/>
            <color indexed="81"/>
            <rFont val="Tahoma"/>
            <family val="2"/>
          </rPr>
          <t>Gavin Mudd:</t>
        </r>
        <r>
          <rPr>
            <sz val="9"/>
            <color indexed="81"/>
            <rFont val="Tahoma"/>
            <family val="2"/>
          </rPr>
          <t xml:space="preserve">
assumed</t>
        </r>
      </text>
    </comment>
    <comment ref="CD90" authorId="0" shapeId="0" xr:uid="{5C58609F-05A7-49C8-8A87-B5C2228F4B1D}">
      <text>
        <r>
          <rPr>
            <b/>
            <sz val="9"/>
            <color indexed="81"/>
            <rFont val="Tahoma"/>
            <family val="2"/>
          </rPr>
          <t>Gavin Mudd:</t>
        </r>
        <r>
          <rPr>
            <sz val="9"/>
            <color indexed="81"/>
            <rFont val="Tahoma"/>
            <family val="2"/>
          </rPr>
          <t xml:space="preserve">
assumed</t>
        </r>
      </text>
    </comment>
    <comment ref="CE90" authorId="0" shapeId="0" xr:uid="{0F1E1388-787D-4BD0-8262-4E90770964CE}">
      <text>
        <r>
          <rPr>
            <b/>
            <sz val="9"/>
            <color indexed="81"/>
            <rFont val="Tahoma"/>
            <family val="2"/>
          </rPr>
          <t>Gavin Mudd:</t>
        </r>
        <r>
          <rPr>
            <sz val="9"/>
            <color indexed="81"/>
            <rFont val="Tahoma"/>
            <family val="2"/>
          </rPr>
          <t xml:space="preserve">
assumed</t>
        </r>
      </text>
    </comment>
    <comment ref="CJ90" authorId="0" shapeId="0" xr:uid="{58B17BB5-D649-4780-89CA-E3EB0133B779}">
      <text>
        <r>
          <rPr>
            <b/>
            <sz val="9"/>
            <color indexed="81"/>
            <rFont val="Tahoma"/>
            <family val="2"/>
          </rPr>
          <t>Gavin Mudd:</t>
        </r>
        <r>
          <rPr>
            <sz val="9"/>
            <color indexed="81"/>
            <rFont val="Tahoma"/>
            <family val="2"/>
          </rPr>
          <t xml:space="preserve">
assumed</t>
        </r>
      </text>
    </comment>
    <comment ref="CK90" authorId="0" shapeId="0" xr:uid="{8FF5A0B1-EE51-4632-883E-AAD0BAF4CBBE}">
      <text>
        <r>
          <rPr>
            <b/>
            <sz val="9"/>
            <color indexed="81"/>
            <rFont val="Tahoma"/>
            <family val="2"/>
          </rPr>
          <t>Gavin Mudd:</t>
        </r>
        <r>
          <rPr>
            <sz val="9"/>
            <color indexed="81"/>
            <rFont val="Tahoma"/>
            <family val="2"/>
          </rPr>
          <t xml:space="preserve">
assumed</t>
        </r>
      </text>
    </comment>
    <comment ref="CO90" authorId="0" shapeId="0" xr:uid="{E2675471-39D3-4288-B82B-907950900D55}">
      <text>
        <r>
          <rPr>
            <b/>
            <sz val="9"/>
            <color indexed="81"/>
            <rFont val="Tahoma"/>
            <family val="2"/>
          </rPr>
          <t>Gavin Mudd:</t>
        </r>
        <r>
          <rPr>
            <sz val="9"/>
            <color indexed="81"/>
            <rFont val="Tahoma"/>
            <family val="2"/>
          </rPr>
          <t xml:space="preserve">
assumed</t>
        </r>
      </text>
    </comment>
    <comment ref="CP90" authorId="0" shapeId="0" xr:uid="{83267FE9-375D-4C7F-BB30-ABE0478457FA}">
      <text>
        <r>
          <rPr>
            <b/>
            <sz val="9"/>
            <color indexed="81"/>
            <rFont val="Tahoma"/>
            <family val="2"/>
          </rPr>
          <t>Gavin Mudd:</t>
        </r>
        <r>
          <rPr>
            <sz val="9"/>
            <color indexed="81"/>
            <rFont val="Tahoma"/>
            <family val="2"/>
          </rPr>
          <t xml:space="preserve">
assumed</t>
        </r>
      </text>
    </comment>
    <comment ref="DL90" authorId="0" shapeId="0" xr:uid="{0A276CC0-E9A9-4989-BF0B-B8DB854B258F}">
      <text>
        <r>
          <rPr>
            <b/>
            <sz val="9"/>
            <color indexed="81"/>
            <rFont val="Tahoma"/>
            <family val="2"/>
          </rPr>
          <t>Gavin Mudd:</t>
        </r>
        <r>
          <rPr>
            <sz val="9"/>
            <color indexed="81"/>
            <rFont val="Tahoma"/>
            <family val="2"/>
          </rPr>
          <t xml:space="preserve">
assumed</t>
        </r>
      </text>
    </comment>
    <comment ref="DM90" authorId="0" shapeId="0" xr:uid="{925A4FD8-3CB3-4FEB-B039-1DAE7B7ADA79}">
      <text>
        <r>
          <rPr>
            <b/>
            <sz val="9"/>
            <color indexed="81"/>
            <rFont val="Tahoma"/>
            <family val="2"/>
          </rPr>
          <t>Gavin Mudd:</t>
        </r>
        <r>
          <rPr>
            <sz val="9"/>
            <color indexed="81"/>
            <rFont val="Tahoma"/>
            <family val="2"/>
          </rPr>
          <t xml:space="preserve">
assumed</t>
        </r>
      </text>
    </comment>
    <comment ref="B91" authorId="0" shapeId="0" xr:uid="{EF19E8EE-19C3-4864-8F37-AF6AE23FB00F}">
      <text>
        <r>
          <rPr>
            <b/>
            <sz val="9"/>
            <color indexed="81"/>
            <rFont val="Tahoma"/>
            <family val="2"/>
          </rPr>
          <t>Gavin Mudd:</t>
        </r>
        <r>
          <rPr>
            <sz val="9"/>
            <color indexed="81"/>
            <rFont val="Tahoma"/>
            <family val="2"/>
          </rPr>
          <t xml:space="preserve">
West Wyalong</t>
        </r>
      </text>
    </comment>
    <comment ref="C91" authorId="0" shapeId="0" xr:uid="{8503FD29-6FA5-49B0-9589-D71954178981}">
      <text>
        <r>
          <rPr>
            <b/>
            <sz val="9"/>
            <color indexed="81"/>
            <rFont val="Tahoma"/>
            <family val="2"/>
          </rPr>
          <t>Gavin Mudd:</t>
        </r>
        <r>
          <rPr>
            <sz val="9"/>
            <color indexed="81"/>
            <rFont val="Tahoma"/>
            <family val="2"/>
          </rPr>
          <t xml:space="preserve">
assumed</t>
        </r>
      </text>
    </comment>
    <comment ref="M91" authorId="0" shapeId="0" xr:uid="{3A0A0562-4202-4085-B19C-60C5A65CD9DB}">
      <text>
        <r>
          <rPr>
            <b/>
            <sz val="9"/>
            <color indexed="81"/>
            <rFont val="Tahoma"/>
            <family val="2"/>
          </rPr>
          <t>Gavin Mudd:</t>
        </r>
        <r>
          <rPr>
            <sz val="9"/>
            <color indexed="81"/>
            <rFont val="Tahoma"/>
            <family val="2"/>
          </rPr>
          <t xml:space="preserve">
assumed</t>
        </r>
      </text>
    </comment>
    <comment ref="P91" authorId="0" shapeId="0" xr:uid="{9D90FFE6-9BD4-4A59-AA19-60B89170B497}">
      <text>
        <r>
          <rPr>
            <b/>
            <sz val="9"/>
            <color indexed="81"/>
            <rFont val="Tahoma"/>
            <family val="2"/>
          </rPr>
          <t>Gavin Mudd:</t>
        </r>
        <r>
          <rPr>
            <sz val="9"/>
            <color indexed="81"/>
            <rFont val="Tahoma"/>
            <family val="2"/>
          </rPr>
          <t xml:space="preserve">
Delegate &amp; Tumbarumba</t>
        </r>
      </text>
    </comment>
    <comment ref="Q91" authorId="0" shapeId="0" xr:uid="{1BB31B83-DFB6-41FA-84F0-72B7D7BAE8DD}">
      <text>
        <r>
          <rPr>
            <b/>
            <sz val="9"/>
            <color indexed="81"/>
            <rFont val="Tahoma"/>
            <family val="2"/>
          </rPr>
          <t>Gavin Mudd:</t>
        </r>
        <r>
          <rPr>
            <sz val="9"/>
            <color indexed="81"/>
            <rFont val="Tahoma"/>
            <family val="2"/>
          </rPr>
          <t xml:space="preserve">
assumed</t>
        </r>
      </text>
    </comment>
    <comment ref="S91" authorId="0" shapeId="0" xr:uid="{033C2E20-51A9-4EC7-B237-19842DB4CA03}">
      <text>
        <r>
          <rPr>
            <b/>
            <sz val="9"/>
            <color indexed="81"/>
            <rFont val="Tahoma"/>
            <family val="2"/>
          </rPr>
          <t>Gavin Mudd:</t>
        </r>
        <r>
          <rPr>
            <sz val="9"/>
            <color indexed="81"/>
            <rFont val="Tahoma"/>
            <family val="2"/>
          </rPr>
          <t xml:space="preserve">
assumed</t>
        </r>
      </text>
    </comment>
    <comment ref="U91" authorId="0" shapeId="0" xr:uid="{BD0AFCB6-5EB7-4681-9C7B-8CD39E3F0298}">
      <text>
        <r>
          <rPr>
            <b/>
            <sz val="9"/>
            <color indexed="81"/>
            <rFont val="Tahoma"/>
            <family val="2"/>
          </rPr>
          <t>Gavin Mudd:</t>
        </r>
        <r>
          <rPr>
            <sz val="9"/>
            <color indexed="81"/>
            <rFont val="Tahoma"/>
            <family val="2"/>
          </rPr>
          <t xml:space="preserve">
assumed</t>
        </r>
      </text>
    </comment>
    <comment ref="W91" authorId="0" shapeId="0" xr:uid="{B59171DD-4218-4E06-8CD6-537CCC85FF08}">
      <text>
        <r>
          <rPr>
            <b/>
            <sz val="9"/>
            <color indexed="81"/>
            <rFont val="Tahoma"/>
            <family val="2"/>
          </rPr>
          <t>Gavin Mudd:</t>
        </r>
        <r>
          <rPr>
            <sz val="9"/>
            <color indexed="81"/>
            <rFont val="Tahoma"/>
            <family val="2"/>
          </rPr>
          <t xml:space="preserve">
assumed</t>
        </r>
      </text>
    </comment>
    <comment ref="Y91" authorId="0" shapeId="0" xr:uid="{69002951-56E5-442A-9BD4-69DB11149B6D}">
      <text>
        <r>
          <rPr>
            <b/>
            <sz val="9"/>
            <color indexed="81"/>
            <rFont val="Tahoma"/>
            <family val="2"/>
          </rPr>
          <t>Gavin Mudd:</t>
        </r>
        <r>
          <rPr>
            <sz val="9"/>
            <color indexed="81"/>
            <rFont val="Tahoma"/>
            <family val="2"/>
          </rPr>
          <t xml:space="preserve">
assumed</t>
        </r>
      </text>
    </comment>
    <comment ref="AA91" authorId="0" shapeId="0" xr:uid="{666628C0-DB54-43A8-9B1E-07B7DCDB017F}">
      <text>
        <r>
          <rPr>
            <b/>
            <sz val="9"/>
            <color indexed="81"/>
            <rFont val="Tahoma"/>
            <family val="2"/>
          </rPr>
          <t>Gavin Mudd:</t>
        </r>
        <r>
          <rPr>
            <sz val="9"/>
            <color indexed="81"/>
            <rFont val="Tahoma"/>
            <family val="2"/>
          </rPr>
          <t xml:space="preserve">
assumed</t>
        </r>
      </text>
    </comment>
    <comment ref="AG91" authorId="0" shapeId="0" xr:uid="{17FEFBB4-FC3C-4C81-B049-8AB7ED23E36E}">
      <text>
        <r>
          <rPr>
            <b/>
            <sz val="9"/>
            <color indexed="81"/>
            <rFont val="Tahoma"/>
            <family val="2"/>
          </rPr>
          <t>Gavin Mudd:</t>
        </r>
        <r>
          <rPr>
            <sz val="9"/>
            <color indexed="81"/>
            <rFont val="Tahoma"/>
            <family val="2"/>
          </rPr>
          <t xml:space="preserve">
assumed</t>
        </r>
      </text>
    </comment>
    <comment ref="AK91" authorId="0" shapeId="0" xr:uid="{3325FB47-0786-4E7A-B889-41F9C0BDC9B1}">
      <text>
        <r>
          <rPr>
            <b/>
            <sz val="9"/>
            <color indexed="81"/>
            <rFont val="Tahoma"/>
            <family val="2"/>
          </rPr>
          <t>Gavin Mudd:</t>
        </r>
        <r>
          <rPr>
            <sz val="9"/>
            <color indexed="81"/>
            <rFont val="Tahoma"/>
            <family val="2"/>
          </rPr>
          <t xml:space="preserve">
assumed</t>
        </r>
      </text>
    </comment>
    <comment ref="AM91" authorId="0" shapeId="0" xr:uid="{E6540C13-1CF5-4A97-83EA-DC0EE325E99D}">
      <text>
        <r>
          <rPr>
            <b/>
            <sz val="9"/>
            <color indexed="81"/>
            <rFont val="Tahoma"/>
            <family val="2"/>
          </rPr>
          <t>Gavin Mudd:</t>
        </r>
        <r>
          <rPr>
            <sz val="9"/>
            <color indexed="81"/>
            <rFont val="Tahoma"/>
            <family val="2"/>
          </rPr>
          <t xml:space="preserve">
assumed</t>
        </r>
      </text>
    </comment>
    <comment ref="AO91" authorId="0" shapeId="0" xr:uid="{1FD15462-2D6B-4A20-A053-DB15559508B2}">
      <text>
        <r>
          <rPr>
            <b/>
            <sz val="9"/>
            <color indexed="81"/>
            <rFont val="Tahoma"/>
            <family val="2"/>
          </rPr>
          <t>Gavin Mudd:</t>
        </r>
        <r>
          <rPr>
            <sz val="9"/>
            <color indexed="81"/>
            <rFont val="Tahoma"/>
            <family val="2"/>
          </rPr>
          <t xml:space="preserve">
assumed</t>
        </r>
      </text>
    </comment>
    <comment ref="AU91" authorId="0" shapeId="0" xr:uid="{D16B3B51-0050-450E-8963-E72DCF5C8F85}">
      <text>
        <r>
          <rPr>
            <b/>
            <sz val="9"/>
            <color indexed="81"/>
            <rFont val="Tahoma"/>
            <family val="2"/>
          </rPr>
          <t>Gavin Mudd:</t>
        </r>
        <r>
          <rPr>
            <sz val="9"/>
            <color indexed="81"/>
            <rFont val="Tahoma"/>
            <family val="2"/>
          </rPr>
          <t xml:space="preserve">
assumed</t>
        </r>
      </text>
    </comment>
    <comment ref="BA91" authorId="0" shapeId="0" xr:uid="{7B43BC7C-3EA7-4E4A-958C-A0C17AD4F3AD}">
      <text>
        <r>
          <rPr>
            <b/>
            <sz val="9"/>
            <color indexed="81"/>
            <rFont val="Tahoma"/>
            <family val="2"/>
          </rPr>
          <t>Gavin Mudd:</t>
        </r>
        <r>
          <rPr>
            <sz val="9"/>
            <color indexed="81"/>
            <rFont val="Tahoma"/>
            <family val="2"/>
          </rPr>
          <t xml:space="preserve">
assumed</t>
        </r>
      </text>
    </comment>
    <comment ref="BB91" authorId="0" shapeId="0" xr:uid="{D651F45D-E4A4-487D-9E6A-C7C8967F6785}">
      <text>
        <r>
          <rPr>
            <b/>
            <sz val="9"/>
            <color indexed="81"/>
            <rFont val="Tahoma"/>
            <family val="2"/>
          </rPr>
          <t>Gavin Mudd:</t>
        </r>
        <r>
          <rPr>
            <sz val="9"/>
            <color indexed="81"/>
            <rFont val="Tahoma"/>
            <family val="2"/>
          </rPr>
          <t xml:space="preserve">
assumed</t>
        </r>
      </text>
    </comment>
    <comment ref="CD91" authorId="0" shapeId="0" xr:uid="{33D9A56C-546E-4A46-8F58-38D4C5782E92}">
      <text>
        <r>
          <rPr>
            <b/>
            <sz val="9"/>
            <color indexed="81"/>
            <rFont val="Tahoma"/>
            <family val="2"/>
          </rPr>
          <t>Gavin Mudd:</t>
        </r>
        <r>
          <rPr>
            <sz val="9"/>
            <color indexed="81"/>
            <rFont val="Tahoma"/>
            <family val="2"/>
          </rPr>
          <t xml:space="preserve">
assumed</t>
        </r>
      </text>
    </comment>
    <comment ref="CE91" authorId="0" shapeId="0" xr:uid="{7E3E4242-571F-4F8C-8236-B46ABD27B228}">
      <text>
        <r>
          <rPr>
            <b/>
            <sz val="9"/>
            <color indexed="81"/>
            <rFont val="Tahoma"/>
            <family val="2"/>
          </rPr>
          <t>Gavin Mudd:</t>
        </r>
        <r>
          <rPr>
            <sz val="9"/>
            <color indexed="81"/>
            <rFont val="Tahoma"/>
            <family val="2"/>
          </rPr>
          <t xml:space="preserve">
assumed</t>
        </r>
      </text>
    </comment>
    <comment ref="CJ91" authorId="0" shapeId="0" xr:uid="{5ABD12E4-E8A8-44E1-8E48-469E9B617636}">
      <text>
        <r>
          <rPr>
            <b/>
            <sz val="9"/>
            <color indexed="81"/>
            <rFont val="Tahoma"/>
            <family val="2"/>
          </rPr>
          <t>Gavin Mudd:</t>
        </r>
        <r>
          <rPr>
            <sz val="9"/>
            <color indexed="81"/>
            <rFont val="Tahoma"/>
            <family val="2"/>
          </rPr>
          <t xml:space="preserve">
assumed</t>
        </r>
      </text>
    </comment>
    <comment ref="CK91" authorId="0" shapeId="0" xr:uid="{6788D91A-E3F4-4DA5-9FC2-97705B6AB377}">
      <text>
        <r>
          <rPr>
            <b/>
            <sz val="9"/>
            <color indexed="81"/>
            <rFont val="Tahoma"/>
            <family val="2"/>
          </rPr>
          <t>Gavin Mudd:</t>
        </r>
        <r>
          <rPr>
            <sz val="9"/>
            <color indexed="81"/>
            <rFont val="Tahoma"/>
            <family val="2"/>
          </rPr>
          <t xml:space="preserve">
assumed</t>
        </r>
      </text>
    </comment>
    <comment ref="CO91" authorId="0" shapeId="0" xr:uid="{F89912AC-5CD1-4108-9445-F050DB2BCB2E}">
      <text>
        <r>
          <rPr>
            <b/>
            <sz val="9"/>
            <color indexed="81"/>
            <rFont val="Tahoma"/>
            <family val="2"/>
          </rPr>
          <t>Gavin Mudd:</t>
        </r>
        <r>
          <rPr>
            <sz val="9"/>
            <color indexed="81"/>
            <rFont val="Tahoma"/>
            <family val="2"/>
          </rPr>
          <t xml:space="preserve">
assumed</t>
        </r>
      </text>
    </comment>
    <comment ref="CP91" authorId="0" shapeId="0" xr:uid="{0CB89B1A-937D-4623-A6B9-BEFD529D4ED4}">
      <text>
        <r>
          <rPr>
            <b/>
            <sz val="9"/>
            <color indexed="81"/>
            <rFont val="Tahoma"/>
            <family val="2"/>
          </rPr>
          <t>Gavin Mudd:</t>
        </r>
        <r>
          <rPr>
            <sz val="9"/>
            <color indexed="81"/>
            <rFont val="Tahoma"/>
            <family val="2"/>
          </rPr>
          <t xml:space="preserve">
assumed</t>
        </r>
      </text>
    </comment>
    <comment ref="DL91" authorId="0" shapeId="0" xr:uid="{EE425650-7562-4957-9E5F-00EB462FBA8B}">
      <text>
        <r>
          <rPr>
            <b/>
            <sz val="9"/>
            <color indexed="81"/>
            <rFont val="Tahoma"/>
            <family val="2"/>
          </rPr>
          <t>Gavin Mudd:</t>
        </r>
        <r>
          <rPr>
            <sz val="9"/>
            <color indexed="81"/>
            <rFont val="Tahoma"/>
            <family val="2"/>
          </rPr>
          <t xml:space="preserve">
assumed</t>
        </r>
      </text>
    </comment>
    <comment ref="DM91" authorId="0" shapeId="0" xr:uid="{5801CF7F-4725-452E-8FCF-B46EA92460D9}">
      <text>
        <r>
          <rPr>
            <b/>
            <sz val="9"/>
            <color indexed="81"/>
            <rFont val="Tahoma"/>
            <family val="2"/>
          </rPr>
          <t>Gavin Mudd:</t>
        </r>
        <r>
          <rPr>
            <sz val="9"/>
            <color indexed="81"/>
            <rFont val="Tahoma"/>
            <family val="2"/>
          </rPr>
          <t xml:space="preserve">
assumed</t>
        </r>
      </text>
    </comment>
    <comment ref="B92" authorId="0" shapeId="0" xr:uid="{34CD221E-D4B6-4F69-904B-CB33AA5BDC0D}">
      <text>
        <r>
          <rPr>
            <b/>
            <sz val="9"/>
            <color indexed="81"/>
            <rFont val="Tahoma"/>
            <family val="2"/>
          </rPr>
          <t>Gavin Mudd:</t>
        </r>
        <r>
          <rPr>
            <sz val="9"/>
            <color indexed="81"/>
            <rFont val="Tahoma"/>
            <family val="2"/>
          </rPr>
          <t xml:space="preserve">
West Wyalong</t>
        </r>
      </text>
    </comment>
    <comment ref="C92" authorId="0" shapeId="0" xr:uid="{7295511B-02F0-47C2-AC85-10C6B752D1E5}">
      <text>
        <r>
          <rPr>
            <b/>
            <sz val="9"/>
            <color indexed="81"/>
            <rFont val="Tahoma"/>
            <family val="2"/>
          </rPr>
          <t>Gavin Mudd:</t>
        </r>
        <r>
          <rPr>
            <sz val="9"/>
            <color indexed="81"/>
            <rFont val="Tahoma"/>
            <family val="2"/>
          </rPr>
          <t xml:space="preserve">
assumed</t>
        </r>
      </text>
    </comment>
    <comment ref="I92" authorId="0" shapeId="0" xr:uid="{D16593F0-FC6C-4602-A524-F628E10C7616}">
      <text>
        <r>
          <rPr>
            <b/>
            <sz val="9"/>
            <color indexed="81"/>
            <rFont val="Tahoma"/>
            <family val="2"/>
          </rPr>
          <t>Gavin Mudd:</t>
        </r>
        <r>
          <rPr>
            <sz val="9"/>
            <color indexed="81"/>
            <rFont val="Tahoma"/>
            <family val="2"/>
          </rPr>
          <t xml:space="preserve">
assumed</t>
        </r>
      </text>
    </comment>
    <comment ref="J92" authorId="0" shapeId="0" xr:uid="{13CCAF42-F49E-4DAA-9DB1-923C6FBDF806}">
      <text>
        <r>
          <rPr>
            <b/>
            <sz val="9"/>
            <color indexed="81"/>
            <rFont val="Tahoma"/>
            <family val="2"/>
          </rPr>
          <t>Gavin Mudd:</t>
        </r>
        <r>
          <rPr>
            <sz val="9"/>
            <color indexed="81"/>
            <rFont val="Tahoma"/>
            <family val="2"/>
          </rPr>
          <t xml:space="preserve">
Tumut</t>
        </r>
      </text>
    </comment>
    <comment ref="K92" authorId="0" shapeId="0" xr:uid="{C79AED20-7294-448B-B820-8A60E379F34C}">
      <text>
        <r>
          <rPr>
            <b/>
            <sz val="9"/>
            <color indexed="81"/>
            <rFont val="Tahoma"/>
            <family val="2"/>
          </rPr>
          <t>Gavin Mudd:</t>
        </r>
        <r>
          <rPr>
            <sz val="9"/>
            <color indexed="81"/>
            <rFont val="Tahoma"/>
            <family val="2"/>
          </rPr>
          <t xml:space="preserve">
assumed</t>
        </r>
      </text>
    </comment>
    <comment ref="P92" authorId="0" shapeId="0" xr:uid="{E729605B-6C55-4499-9C98-BD73D97D83D0}">
      <text>
        <r>
          <rPr>
            <b/>
            <sz val="9"/>
            <color indexed="81"/>
            <rFont val="Tahoma"/>
            <family val="2"/>
          </rPr>
          <t>Gavin Mudd:</t>
        </r>
        <r>
          <rPr>
            <sz val="9"/>
            <color indexed="81"/>
            <rFont val="Tahoma"/>
            <family val="2"/>
          </rPr>
          <t xml:space="preserve">
Tumbarumba</t>
        </r>
      </text>
    </comment>
    <comment ref="Q92" authorId="0" shapeId="0" xr:uid="{40C1AF24-A0CE-4F38-ACFA-43C5D0C09B90}">
      <text>
        <r>
          <rPr>
            <b/>
            <sz val="9"/>
            <color indexed="81"/>
            <rFont val="Tahoma"/>
            <family val="2"/>
          </rPr>
          <t>Gavin Mudd:</t>
        </r>
        <r>
          <rPr>
            <sz val="9"/>
            <color indexed="81"/>
            <rFont val="Tahoma"/>
            <family val="2"/>
          </rPr>
          <t xml:space="preserve">
assumed</t>
        </r>
      </text>
    </comment>
    <comment ref="S92" authorId="0" shapeId="0" xr:uid="{0A77A35F-B1DA-4F7D-9B3B-8B677CF413FD}">
      <text>
        <r>
          <rPr>
            <b/>
            <sz val="9"/>
            <color indexed="81"/>
            <rFont val="Tahoma"/>
            <family val="2"/>
          </rPr>
          <t>Gavin Mudd:</t>
        </r>
        <r>
          <rPr>
            <sz val="9"/>
            <color indexed="81"/>
            <rFont val="Tahoma"/>
            <family val="2"/>
          </rPr>
          <t xml:space="preserve">
assumed</t>
        </r>
      </text>
    </comment>
    <comment ref="W92" authorId="0" shapeId="0" xr:uid="{1AE93919-61A3-49CB-8A9C-7137EB122F46}">
      <text>
        <r>
          <rPr>
            <b/>
            <sz val="9"/>
            <color indexed="81"/>
            <rFont val="Tahoma"/>
            <family val="2"/>
          </rPr>
          <t>Gavin Mudd:</t>
        </r>
        <r>
          <rPr>
            <sz val="9"/>
            <color indexed="81"/>
            <rFont val="Tahoma"/>
            <family val="2"/>
          </rPr>
          <t xml:space="preserve">
assumed</t>
        </r>
      </text>
    </comment>
    <comment ref="Y92" authorId="0" shapeId="0" xr:uid="{84E41326-A117-4643-916B-75AD9D06A3B1}">
      <text>
        <r>
          <rPr>
            <b/>
            <sz val="9"/>
            <color indexed="81"/>
            <rFont val="Tahoma"/>
            <family val="2"/>
          </rPr>
          <t>Gavin Mudd:</t>
        </r>
        <r>
          <rPr>
            <sz val="9"/>
            <color indexed="81"/>
            <rFont val="Tahoma"/>
            <family val="2"/>
          </rPr>
          <t xml:space="preserve">
assumed</t>
        </r>
      </text>
    </comment>
    <comment ref="AA92" authorId="0" shapeId="0" xr:uid="{C2586A8C-A47D-4B78-9311-9EAB2CEE26D2}">
      <text>
        <r>
          <rPr>
            <b/>
            <sz val="9"/>
            <color indexed="81"/>
            <rFont val="Tahoma"/>
            <family val="2"/>
          </rPr>
          <t>Gavin Mudd:</t>
        </r>
        <r>
          <rPr>
            <sz val="9"/>
            <color indexed="81"/>
            <rFont val="Tahoma"/>
            <family val="2"/>
          </rPr>
          <t xml:space="preserve">
assumed</t>
        </r>
      </text>
    </comment>
    <comment ref="AE92" authorId="0" shapeId="0" xr:uid="{B5C19856-DBED-4721-B067-AF8370E6E975}">
      <text>
        <r>
          <rPr>
            <b/>
            <sz val="9"/>
            <color indexed="81"/>
            <rFont val="Tahoma"/>
            <family val="2"/>
          </rPr>
          <t>Gavin Mudd:</t>
        </r>
        <r>
          <rPr>
            <sz val="9"/>
            <color indexed="81"/>
            <rFont val="Tahoma"/>
            <family val="2"/>
          </rPr>
          <t xml:space="preserve">
assumed</t>
        </r>
      </text>
    </comment>
    <comment ref="AG92" authorId="0" shapeId="0" xr:uid="{4B7A8B47-53A1-4771-B908-851E33C889F1}">
      <text>
        <r>
          <rPr>
            <b/>
            <sz val="9"/>
            <color indexed="81"/>
            <rFont val="Tahoma"/>
            <family val="2"/>
          </rPr>
          <t>Gavin Mudd:</t>
        </r>
        <r>
          <rPr>
            <sz val="9"/>
            <color indexed="81"/>
            <rFont val="Tahoma"/>
            <family val="2"/>
          </rPr>
          <t xml:space="preserve">
assumed</t>
        </r>
      </text>
    </comment>
    <comment ref="AK92" authorId="0" shapeId="0" xr:uid="{372244D0-F704-4DF2-A69C-F18E4520EB47}">
      <text>
        <r>
          <rPr>
            <b/>
            <sz val="9"/>
            <color indexed="81"/>
            <rFont val="Tahoma"/>
            <family val="2"/>
          </rPr>
          <t>Gavin Mudd:</t>
        </r>
        <r>
          <rPr>
            <sz val="9"/>
            <color indexed="81"/>
            <rFont val="Tahoma"/>
            <family val="2"/>
          </rPr>
          <t xml:space="preserve">
assumed</t>
        </r>
      </text>
    </comment>
    <comment ref="AM92" authorId="0" shapeId="0" xr:uid="{7E07AC39-EC1D-4679-B16E-0BB0ABC41E4A}">
      <text>
        <r>
          <rPr>
            <b/>
            <sz val="9"/>
            <color indexed="81"/>
            <rFont val="Tahoma"/>
            <family val="2"/>
          </rPr>
          <t>Gavin Mudd:</t>
        </r>
        <r>
          <rPr>
            <sz val="9"/>
            <color indexed="81"/>
            <rFont val="Tahoma"/>
            <family val="2"/>
          </rPr>
          <t xml:space="preserve">
assumed</t>
        </r>
      </text>
    </comment>
    <comment ref="AO92" authorId="0" shapeId="0" xr:uid="{7A82D1D1-1AAE-43A5-80BA-B5AEE60F24B8}">
      <text>
        <r>
          <rPr>
            <b/>
            <sz val="9"/>
            <color indexed="81"/>
            <rFont val="Tahoma"/>
            <family val="2"/>
          </rPr>
          <t>Gavin Mudd:</t>
        </r>
        <r>
          <rPr>
            <sz val="9"/>
            <color indexed="81"/>
            <rFont val="Tahoma"/>
            <family val="2"/>
          </rPr>
          <t xml:space="preserve">
assumed</t>
        </r>
      </text>
    </comment>
    <comment ref="AU92" authorId="0" shapeId="0" xr:uid="{68DF7953-07FB-4E21-BE41-DF27AEE81CE4}">
      <text>
        <r>
          <rPr>
            <b/>
            <sz val="9"/>
            <color indexed="81"/>
            <rFont val="Tahoma"/>
            <family val="2"/>
          </rPr>
          <t>Gavin Mudd:</t>
        </r>
        <r>
          <rPr>
            <sz val="9"/>
            <color indexed="81"/>
            <rFont val="Tahoma"/>
            <family val="2"/>
          </rPr>
          <t xml:space="preserve">
assumed</t>
        </r>
      </text>
    </comment>
    <comment ref="BA92" authorId="0" shapeId="0" xr:uid="{97845FE5-C015-4E98-AF62-394FC4BCE110}">
      <text>
        <r>
          <rPr>
            <b/>
            <sz val="9"/>
            <color indexed="81"/>
            <rFont val="Tahoma"/>
            <family val="2"/>
          </rPr>
          <t>Gavin Mudd:</t>
        </r>
        <r>
          <rPr>
            <sz val="9"/>
            <color indexed="81"/>
            <rFont val="Tahoma"/>
            <family val="2"/>
          </rPr>
          <t xml:space="preserve">
assumed</t>
        </r>
      </text>
    </comment>
    <comment ref="BB92" authorId="0" shapeId="0" xr:uid="{769DA038-5E00-431F-8B61-211E43467965}">
      <text>
        <r>
          <rPr>
            <b/>
            <sz val="9"/>
            <color indexed="81"/>
            <rFont val="Tahoma"/>
            <family val="2"/>
          </rPr>
          <t>Gavin Mudd:</t>
        </r>
        <r>
          <rPr>
            <sz val="9"/>
            <color indexed="81"/>
            <rFont val="Tahoma"/>
            <family val="2"/>
          </rPr>
          <t xml:space="preserve">
assumed</t>
        </r>
      </text>
    </comment>
    <comment ref="CD92" authorId="0" shapeId="0" xr:uid="{CF031631-D42B-4158-A668-1C1449BB90F3}">
      <text>
        <r>
          <rPr>
            <b/>
            <sz val="9"/>
            <color indexed="81"/>
            <rFont val="Tahoma"/>
            <family val="2"/>
          </rPr>
          <t>Gavin Mudd:</t>
        </r>
        <r>
          <rPr>
            <sz val="9"/>
            <color indexed="81"/>
            <rFont val="Tahoma"/>
            <family val="2"/>
          </rPr>
          <t xml:space="preserve">
assumed</t>
        </r>
      </text>
    </comment>
    <comment ref="CE92" authorId="0" shapeId="0" xr:uid="{0FB6558E-AE54-4079-A8B8-B5CE535D31F1}">
      <text>
        <r>
          <rPr>
            <b/>
            <sz val="9"/>
            <color indexed="81"/>
            <rFont val="Tahoma"/>
            <family val="2"/>
          </rPr>
          <t>Gavin Mudd:</t>
        </r>
        <r>
          <rPr>
            <sz val="9"/>
            <color indexed="81"/>
            <rFont val="Tahoma"/>
            <family val="2"/>
          </rPr>
          <t xml:space="preserve">
assumed</t>
        </r>
      </text>
    </comment>
    <comment ref="CJ92" authorId="0" shapeId="0" xr:uid="{D0514300-48C9-4796-9E32-2BD18D963DCD}">
      <text>
        <r>
          <rPr>
            <b/>
            <sz val="9"/>
            <color indexed="81"/>
            <rFont val="Tahoma"/>
            <family val="2"/>
          </rPr>
          <t>Gavin Mudd:</t>
        </r>
        <r>
          <rPr>
            <sz val="9"/>
            <color indexed="81"/>
            <rFont val="Tahoma"/>
            <family val="2"/>
          </rPr>
          <t xml:space="preserve">
assumed</t>
        </r>
      </text>
    </comment>
    <comment ref="CK92" authorId="0" shapeId="0" xr:uid="{1763C341-5798-4275-8DA0-FBB929EB5BC6}">
      <text>
        <r>
          <rPr>
            <b/>
            <sz val="9"/>
            <color indexed="81"/>
            <rFont val="Tahoma"/>
            <family val="2"/>
          </rPr>
          <t>Gavin Mudd:</t>
        </r>
        <r>
          <rPr>
            <sz val="9"/>
            <color indexed="81"/>
            <rFont val="Tahoma"/>
            <family val="2"/>
          </rPr>
          <t xml:space="preserve">
assumed</t>
        </r>
      </text>
    </comment>
    <comment ref="DL92" authorId="0" shapeId="0" xr:uid="{4B56882F-B5E3-4E8D-A29A-D6E33B929B1C}">
      <text>
        <r>
          <rPr>
            <b/>
            <sz val="9"/>
            <color indexed="81"/>
            <rFont val="Tahoma"/>
            <family val="2"/>
          </rPr>
          <t>Gavin Mudd:</t>
        </r>
        <r>
          <rPr>
            <sz val="9"/>
            <color indexed="81"/>
            <rFont val="Tahoma"/>
            <family val="2"/>
          </rPr>
          <t xml:space="preserve">
assumed</t>
        </r>
      </text>
    </comment>
    <comment ref="DM92" authorId="0" shapeId="0" xr:uid="{739825DD-21A7-4B92-9BC1-AD03482D492A}">
      <text>
        <r>
          <rPr>
            <b/>
            <sz val="9"/>
            <color indexed="81"/>
            <rFont val="Tahoma"/>
            <family val="2"/>
          </rPr>
          <t>Gavin Mudd:</t>
        </r>
        <r>
          <rPr>
            <sz val="9"/>
            <color indexed="81"/>
            <rFont val="Tahoma"/>
            <family val="2"/>
          </rPr>
          <t xml:space="preserve">
assumed</t>
        </r>
      </text>
    </comment>
    <comment ref="B93" authorId="0" shapeId="0" xr:uid="{127554FD-72F2-4F1A-B9AE-FAFA0D7C57DB}">
      <text>
        <r>
          <rPr>
            <b/>
            <sz val="9"/>
            <color indexed="81"/>
            <rFont val="Tahoma"/>
            <family val="2"/>
          </rPr>
          <t>Gavin Mudd:</t>
        </r>
        <r>
          <rPr>
            <sz val="9"/>
            <color indexed="81"/>
            <rFont val="Tahoma"/>
            <family val="2"/>
          </rPr>
          <t xml:space="preserve">
West Wyalong</t>
        </r>
      </text>
    </comment>
    <comment ref="C93" authorId="0" shapeId="0" xr:uid="{D7399DED-13D1-48D9-8D3C-BFAA9B272D65}">
      <text>
        <r>
          <rPr>
            <b/>
            <sz val="9"/>
            <color indexed="81"/>
            <rFont val="Tahoma"/>
            <family val="2"/>
          </rPr>
          <t>Gavin Mudd:</t>
        </r>
        <r>
          <rPr>
            <sz val="9"/>
            <color indexed="81"/>
            <rFont val="Tahoma"/>
            <family val="2"/>
          </rPr>
          <t xml:space="preserve">
assumed</t>
        </r>
      </text>
    </comment>
    <comment ref="I93" authorId="0" shapeId="0" xr:uid="{DEB1B744-9721-4BF8-9F3B-EEB66B41C0E4}">
      <text>
        <r>
          <rPr>
            <b/>
            <sz val="9"/>
            <color indexed="81"/>
            <rFont val="Tahoma"/>
            <family val="2"/>
          </rPr>
          <t>Gavin Mudd:</t>
        </r>
        <r>
          <rPr>
            <sz val="9"/>
            <color indexed="81"/>
            <rFont val="Tahoma"/>
            <family val="2"/>
          </rPr>
          <t xml:space="preserve">
assumed</t>
        </r>
      </text>
    </comment>
    <comment ref="P93" authorId="0" shapeId="0" xr:uid="{407AEE40-46F9-49E3-A0A8-44324914BC1C}">
      <text>
        <r>
          <rPr>
            <b/>
            <sz val="9"/>
            <color indexed="81"/>
            <rFont val="Tahoma"/>
            <family val="2"/>
          </rPr>
          <t>Gavin Mudd:</t>
        </r>
        <r>
          <rPr>
            <sz val="9"/>
            <color indexed="81"/>
            <rFont val="Tahoma"/>
            <family val="2"/>
          </rPr>
          <t xml:space="preserve">
Tumbarumba</t>
        </r>
      </text>
    </comment>
    <comment ref="Q93" authorId="0" shapeId="0" xr:uid="{1C4E9ED8-9EC2-4ED4-9F3C-FADFBC2B0F94}">
      <text>
        <r>
          <rPr>
            <b/>
            <sz val="9"/>
            <color indexed="81"/>
            <rFont val="Tahoma"/>
            <family val="2"/>
          </rPr>
          <t>Gavin Mudd:</t>
        </r>
        <r>
          <rPr>
            <sz val="9"/>
            <color indexed="81"/>
            <rFont val="Tahoma"/>
            <family val="2"/>
          </rPr>
          <t xml:space="preserve">
assumed</t>
        </r>
      </text>
    </comment>
    <comment ref="S93" authorId="0" shapeId="0" xr:uid="{6E1C4B49-AB6E-4344-8E1C-219C16A05242}">
      <text>
        <r>
          <rPr>
            <b/>
            <sz val="9"/>
            <color indexed="81"/>
            <rFont val="Tahoma"/>
            <family val="2"/>
          </rPr>
          <t>Gavin Mudd:</t>
        </r>
        <r>
          <rPr>
            <sz val="9"/>
            <color indexed="81"/>
            <rFont val="Tahoma"/>
            <family val="2"/>
          </rPr>
          <t xml:space="preserve">
assumed</t>
        </r>
      </text>
    </comment>
    <comment ref="U93" authorId="0" shapeId="0" xr:uid="{1AA8DE0E-C495-4A79-AB1D-A298265BE37E}">
      <text>
        <r>
          <rPr>
            <b/>
            <sz val="9"/>
            <color indexed="81"/>
            <rFont val="Tahoma"/>
            <family val="2"/>
          </rPr>
          <t>Gavin Mudd:</t>
        </r>
        <r>
          <rPr>
            <sz val="9"/>
            <color indexed="81"/>
            <rFont val="Tahoma"/>
            <family val="2"/>
          </rPr>
          <t xml:space="preserve">
assumed</t>
        </r>
      </text>
    </comment>
    <comment ref="W93" authorId="0" shapeId="0" xr:uid="{FAD0537B-F794-4483-AFC2-C0E5C0B093BC}">
      <text>
        <r>
          <rPr>
            <b/>
            <sz val="9"/>
            <color indexed="81"/>
            <rFont val="Tahoma"/>
            <family val="2"/>
          </rPr>
          <t>Gavin Mudd:</t>
        </r>
        <r>
          <rPr>
            <sz val="9"/>
            <color indexed="81"/>
            <rFont val="Tahoma"/>
            <family val="2"/>
          </rPr>
          <t xml:space="preserve">
assumed</t>
        </r>
      </text>
    </comment>
    <comment ref="Y93" authorId="0" shapeId="0" xr:uid="{87006B14-DAD3-4EBB-BE24-CEF9B22DCF3E}">
      <text>
        <r>
          <rPr>
            <b/>
            <sz val="9"/>
            <color indexed="81"/>
            <rFont val="Tahoma"/>
            <family val="2"/>
          </rPr>
          <t>Gavin Mudd:</t>
        </r>
        <r>
          <rPr>
            <sz val="9"/>
            <color indexed="81"/>
            <rFont val="Tahoma"/>
            <family val="2"/>
          </rPr>
          <t xml:space="preserve">
assumed</t>
        </r>
      </text>
    </comment>
    <comment ref="AA93" authorId="0" shapeId="0" xr:uid="{401F3457-9D2E-41C7-AE4A-9351E25C76C9}">
      <text>
        <r>
          <rPr>
            <b/>
            <sz val="9"/>
            <color indexed="81"/>
            <rFont val="Tahoma"/>
            <family val="2"/>
          </rPr>
          <t>Gavin Mudd:</t>
        </r>
        <r>
          <rPr>
            <sz val="9"/>
            <color indexed="81"/>
            <rFont val="Tahoma"/>
            <family val="2"/>
          </rPr>
          <t xml:space="preserve">
assumed</t>
        </r>
      </text>
    </comment>
    <comment ref="AG93" authorId="0" shapeId="0" xr:uid="{F4FA626E-3659-4770-9497-E22137D0D024}">
      <text>
        <r>
          <rPr>
            <b/>
            <sz val="9"/>
            <color indexed="81"/>
            <rFont val="Tahoma"/>
            <family val="2"/>
          </rPr>
          <t>Gavin Mudd:</t>
        </r>
        <r>
          <rPr>
            <sz val="9"/>
            <color indexed="81"/>
            <rFont val="Tahoma"/>
            <family val="2"/>
          </rPr>
          <t xml:space="preserve">
assumed</t>
        </r>
      </text>
    </comment>
    <comment ref="AK93" authorId="0" shapeId="0" xr:uid="{965B7F56-4261-4C0A-9BBA-50B71B70B03B}">
      <text>
        <r>
          <rPr>
            <b/>
            <sz val="9"/>
            <color indexed="81"/>
            <rFont val="Tahoma"/>
            <family val="2"/>
          </rPr>
          <t>Gavin Mudd:</t>
        </r>
        <r>
          <rPr>
            <sz val="9"/>
            <color indexed="81"/>
            <rFont val="Tahoma"/>
            <family val="2"/>
          </rPr>
          <t xml:space="preserve">
assumed</t>
        </r>
      </text>
    </comment>
    <comment ref="AM93" authorId="0" shapeId="0" xr:uid="{817C70EC-9C0B-475D-B9FF-99979F8E9BDD}">
      <text>
        <r>
          <rPr>
            <b/>
            <sz val="9"/>
            <color indexed="81"/>
            <rFont val="Tahoma"/>
            <family val="2"/>
          </rPr>
          <t>Gavin Mudd:</t>
        </r>
        <r>
          <rPr>
            <sz val="9"/>
            <color indexed="81"/>
            <rFont val="Tahoma"/>
            <family val="2"/>
          </rPr>
          <t xml:space="preserve">
assumed</t>
        </r>
      </text>
    </comment>
    <comment ref="AO93" authorId="0" shapeId="0" xr:uid="{74AE9757-EED5-48BA-BF40-34A02112FA1B}">
      <text>
        <r>
          <rPr>
            <b/>
            <sz val="9"/>
            <color indexed="81"/>
            <rFont val="Tahoma"/>
            <family val="2"/>
          </rPr>
          <t>Gavin Mudd:</t>
        </r>
        <r>
          <rPr>
            <sz val="9"/>
            <color indexed="81"/>
            <rFont val="Tahoma"/>
            <family val="2"/>
          </rPr>
          <t xml:space="preserve">
assumed</t>
        </r>
      </text>
    </comment>
    <comment ref="AU93" authorId="0" shapeId="0" xr:uid="{8860F010-1B9D-4D8A-9E10-4E564E4CC513}">
      <text>
        <r>
          <rPr>
            <b/>
            <sz val="9"/>
            <color indexed="81"/>
            <rFont val="Tahoma"/>
            <family val="2"/>
          </rPr>
          <t>Gavin Mudd:</t>
        </r>
        <r>
          <rPr>
            <sz val="9"/>
            <color indexed="81"/>
            <rFont val="Tahoma"/>
            <family val="2"/>
          </rPr>
          <t xml:space="preserve">
assumed</t>
        </r>
      </text>
    </comment>
    <comment ref="BA93" authorId="0" shapeId="0" xr:uid="{7549EAD2-6F81-4EF9-8461-C4319428E054}">
      <text>
        <r>
          <rPr>
            <b/>
            <sz val="9"/>
            <color indexed="81"/>
            <rFont val="Tahoma"/>
            <family val="2"/>
          </rPr>
          <t>Gavin Mudd:</t>
        </r>
        <r>
          <rPr>
            <sz val="9"/>
            <color indexed="81"/>
            <rFont val="Tahoma"/>
            <family val="2"/>
          </rPr>
          <t xml:space="preserve">
assumed</t>
        </r>
      </text>
    </comment>
    <comment ref="BB93" authorId="0" shapeId="0" xr:uid="{AB56E84F-083D-4E94-9A8C-215E87375043}">
      <text>
        <r>
          <rPr>
            <b/>
            <sz val="9"/>
            <color indexed="81"/>
            <rFont val="Tahoma"/>
            <family val="2"/>
          </rPr>
          <t>Gavin Mudd:</t>
        </r>
        <r>
          <rPr>
            <sz val="9"/>
            <color indexed="81"/>
            <rFont val="Tahoma"/>
            <family val="2"/>
          </rPr>
          <t xml:space="preserve">
assumed</t>
        </r>
      </text>
    </comment>
    <comment ref="CD93" authorId="0" shapeId="0" xr:uid="{F29BD86F-2227-48FB-9BE4-D552F1C7F1C6}">
      <text>
        <r>
          <rPr>
            <b/>
            <sz val="9"/>
            <color indexed="81"/>
            <rFont val="Tahoma"/>
            <family val="2"/>
          </rPr>
          <t>Gavin Mudd:</t>
        </r>
        <r>
          <rPr>
            <sz val="9"/>
            <color indexed="81"/>
            <rFont val="Tahoma"/>
            <family val="2"/>
          </rPr>
          <t xml:space="preserve">
assumed</t>
        </r>
      </text>
    </comment>
    <comment ref="CE93" authorId="0" shapeId="0" xr:uid="{A9AB9C21-EA6B-4687-86E3-9A8687E8DFFF}">
      <text>
        <r>
          <rPr>
            <b/>
            <sz val="9"/>
            <color indexed="81"/>
            <rFont val="Tahoma"/>
            <family val="2"/>
          </rPr>
          <t>Gavin Mudd:</t>
        </r>
        <r>
          <rPr>
            <sz val="9"/>
            <color indexed="81"/>
            <rFont val="Tahoma"/>
            <family val="2"/>
          </rPr>
          <t xml:space="preserve">
assumed</t>
        </r>
      </text>
    </comment>
    <comment ref="CJ93" authorId="0" shapeId="0" xr:uid="{ED481A91-BE17-4383-8C72-6E4331033A15}">
      <text>
        <r>
          <rPr>
            <b/>
            <sz val="9"/>
            <color indexed="81"/>
            <rFont val="Tahoma"/>
            <family val="2"/>
          </rPr>
          <t>Gavin Mudd:</t>
        </r>
        <r>
          <rPr>
            <sz val="9"/>
            <color indexed="81"/>
            <rFont val="Tahoma"/>
            <family val="2"/>
          </rPr>
          <t xml:space="preserve">
assumed</t>
        </r>
      </text>
    </comment>
    <comment ref="CK93" authorId="0" shapeId="0" xr:uid="{255FC236-A76B-409F-9141-AC877C251B58}">
      <text>
        <r>
          <rPr>
            <b/>
            <sz val="9"/>
            <color indexed="81"/>
            <rFont val="Tahoma"/>
            <family val="2"/>
          </rPr>
          <t>Gavin Mudd:</t>
        </r>
        <r>
          <rPr>
            <sz val="9"/>
            <color indexed="81"/>
            <rFont val="Tahoma"/>
            <family val="2"/>
          </rPr>
          <t xml:space="preserve">
assumed</t>
        </r>
      </text>
    </comment>
    <comment ref="CO93" authorId="0" shapeId="0" xr:uid="{FA5295A1-938E-4A32-AB92-3B2DBB1E4F22}">
      <text>
        <r>
          <rPr>
            <b/>
            <sz val="9"/>
            <color indexed="81"/>
            <rFont val="Tahoma"/>
            <family val="2"/>
          </rPr>
          <t>Gavin Mudd:</t>
        </r>
        <r>
          <rPr>
            <sz val="9"/>
            <color indexed="81"/>
            <rFont val="Tahoma"/>
            <family val="2"/>
          </rPr>
          <t xml:space="preserve">
assumed</t>
        </r>
      </text>
    </comment>
    <comment ref="CP93" authorId="0" shapeId="0" xr:uid="{E4B9DBFE-1EF0-4923-81A1-3EA614744C62}">
      <text>
        <r>
          <rPr>
            <b/>
            <sz val="9"/>
            <color indexed="81"/>
            <rFont val="Tahoma"/>
            <family val="2"/>
          </rPr>
          <t>Gavin Mudd:</t>
        </r>
        <r>
          <rPr>
            <sz val="9"/>
            <color indexed="81"/>
            <rFont val="Tahoma"/>
            <family val="2"/>
          </rPr>
          <t xml:space="preserve">
assumed</t>
        </r>
      </text>
    </comment>
    <comment ref="DL93" authorId="0" shapeId="0" xr:uid="{A5A76416-52A1-4679-A588-DBE9EE81BD40}">
      <text>
        <r>
          <rPr>
            <b/>
            <sz val="9"/>
            <color indexed="81"/>
            <rFont val="Tahoma"/>
            <family val="2"/>
          </rPr>
          <t>Gavin Mudd:</t>
        </r>
        <r>
          <rPr>
            <sz val="9"/>
            <color indexed="81"/>
            <rFont val="Tahoma"/>
            <family val="2"/>
          </rPr>
          <t xml:space="preserve">
assumed</t>
        </r>
      </text>
    </comment>
    <comment ref="DM93" authorId="0" shapeId="0" xr:uid="{E2FEE77D-A181-405D-B3DC-C83DA90BBAAD}">
      <text>
        <r>
          <rPr>
            <b/>
            <sz val="9"/>
            <color indexed="81"/>
            <rFont val="Tahoma"/>
            <family val="2"/>
          </rPr>
          <t>Gavin Mudd:</t>
        </r>
        <r>
          <rPr>
            <sz val="9"/>
            <color indexed="81"/>
            <rFont val="Tahoma"/>
            <family val="2"/>
          </rPr>
          <t xml:space="preserve">
assumed</t>
        </r>
      </text>
    </comment>
    <comment ref="B94" authorId="0" shapeId="0" xr:uid="{5A4D20F0-C5DA-46D1-9486-7EC5E91C43C5}">
      <text>
        <r>
          <rPr>
            <b/>
            <sz val="9"/>
            <color indexed="81"/>
            <rFont val="Tahoma"/>
            <family val="2"/>
          </rPr>
          <t>Gavin Mudd:</t>
        </r>
        <r>
          <rPr>
            <sz val="9"/>
            <color indexed="81"/>
            <rFont val="Tahoma"/>
            <family val="2"/>
          </rPr>
          <t xml:space="preserve">
West Wyalong</t>
        </r>
      </text>
    </comment>
    <comment ref="C94" authorId="0" shapeId="0" xr:uid="{A05F0055-A1B1-4CF4-A736-EB046C40B58E}">
      <text>
        <r>
          <rPr>
            <b/>
            <sz val="9"/>
            <color indexed="81"/>
            <rFont val="Tahoma"/>
            <family val="2"/>
          </rPr>
          <t>Gavin Mudd:</t>
        </r>
        <r>
          <rPr>
            <sz val="9"/>
            <color indexed="81"/>
            <rFont val="Tahoma"/>
            <family val="2"/>
          </rPr>
          <t xml:space="preserve">
assumed</t>
        </r>
      </text>
    </comment>
    <comment ref="I94" authorId="0" shapeId="0" xr:uid="{BB6624C1-7386-46B9-8733-A58FB09C838E}">
      <text>
        <r>
          <rPr>
            <b/>
            <sz val="9"/>
            <color indexed="81"/>
            <rFont val="Tahoma"/>
            <family val="2"/>
          </rPr>
          <t>Gavin Mudd:</t>
        </r>
        <r>
          <rPr>
            <sz val="9"/>
            <color indexed="81"/>
            <rFont val="Tahoma"/>
            <family val="2"/>
          </rPr>
          <t xml:space="preserve">
assumed</t>
        </r>
      </text>
    </comment>
    <comment ref="M94" authorId="0" shapeId="0" xr:uid="{FF6E2DE0-287F-46DE-AAD5-67326E299DAC}">
      <text>
        <r>
          <rPr>
            <b/>
            <sz val="9"/>
            <color indexed="81"/>
            <rFont val="Tahoma"/>
            <family val="2"/>
          </rPr>
          <t>Gavin Mudd:</t>
        </r>
        <r>
          <rPr>
            <sz val="9"/>
            <color indexed="81"/>
            <rFont val="Tahoma"/>
            <family val="2"/>
          </rPr>
          <t xml:space="preserve">
assumed</t>
        </r>
      </text>
    </comment>
    <comment ref="P94" authorId="0" shapeId="0" xr:uid="{C3C890E7-3610-4CF3-A34A-85BC6CF9CDCE}">
      <text>
        <r>
          <rPr>
            <b/>
            <sz val="9"/>
            <color indexed="81"/>
            <rFont val="Tahoma"/>
            <family val="2"/>
          </rPr>
          <t>Gavin Mudd:</t>
        </r>
        <r>
          <rPr>
            <sz val="9"/>
            <color indexed="81"/>
            <rFont val="Tahoma"/>
            <family val="2"/>
          </rPr>
          <t xml:space="preserve">
Tumbarumba</t>
        </r>
      </text>
    </comment>
    <comment ref="Q94" authorId="0" shapeId="0" xr:uid="{46B2D3B7-3C8E-4D11-A995-2CF75E600BC0}">
      <text>
        <r>
          <rPr>
            <b/>
            <sz val="9"/>
            <color indexed="81"/>
            <rFont val="Tahoma"/>
            <family val="2"/>
          </rPr>
          <t>Gavin Mudd:</t>
        </r>
        <r>
          <rPr>
            <sz val="9"/>
            <color indexed="81"/>
            <rFont val="Tahoma"/>
            <family val="2"/>
          </rPr>
          <t xml:space="preserve">
assumed</t>
        </r>
      </text>
    </comment>
    <comment ref="S94" authorId="0" shapeId="0" xr:uid="{4B1BF807-26EC-44C1-A56F-6BDF001F6B34}">
      <text>
        <r>
          <rPr>
            <b/>
            <sz val="9"/>
            <color indexed="81"/>
            <rFont val="Tahoma"/>
            <family val="2"/>
          </rPr>
          <t>Gavin Mudd:</t>
        </r>
        <r>
          <rPr>
            <sz val="9"/>
            <color indexed="81"/>
            <rFont val="Tahoma"/>
            <family val="2"/>
          </rPr>
          <t xml:space="preserve">
assumed</t>
        </r>
      </text>
    </comment>
    <comment ref="U94" authorId="0" shapeId="0" xr:uid="{E520C5E1-C19E-48C3-AB9A-BB28A40D6453}">
      <text>
        <r>
          <rPr>
            <b/>
            <sz val="9"/>
            <color indexed="81"/>
            <rFont val="Tahoma"/>
            <family val="2"/>
          </rPr>
          <t>Gavin Mudd:</t>
        </r>
        <r>
          <rPr>
            <sz val="9"/>
            <color indexed="81"/>
            <rFont val="Tahoma"/>
            <family val="2"/>
          </rPr>
          <t xml:space="preserve">
assumed</t>
        </r>
      </text>
    </comment>
    <comment ref="W94" authorId="0" shapeId="0" xr:uid="{AAC67885-D082-4B3C-AD79-7A7C8B54F64B}">
      <text>
        <r>
          <rPr>
            <b/>
            <sz val="9"/>
            <color indexed="81"/>
            <rFont val="Tahoma"/>
            <family val="2"/>
          </rPr>
          <t>Gavin Mudd:</t>
        </r>
        <r>
          <rPr>
            <sz val="9"/>
            <color indexed="81"/>
            <rFont val="Tahoma"/>
            <family val="2"/>
          </rPr>
          <t xml:space="preserve">
assumed</t>
        </r>
      </text>
    </comment>
    <comment ref="Y94" authorId="0" shapeId="0" xr:uid="{7D42EDA4-23D3-46B3-85E7-58800CFFFF8B}">
      <text>
        <r>
          <rPr>
            <b/>
            <sz val="9"/>
            <color indexed="81"/>
            <rFont val="Tahoma"/>
            <family val="2"/>
          </rPr>
          <t>Gavin Mudd:</t>
        </r>
        <r>
          <rPr>
            <sz val="9"/>
            <color indexed="81"/>
            <rFont val="Tahoma"/>
            <family val="2"/>
          </rPr>
          <t xml:space="preserve">
assumed</t>
        </r>
      </text>
    </comment>
    <comment ref="AA94" authorId="0" shapeId="0" xr:uid="{265AB302-85FC-4C09-A019-4DA21333C2F1}">
      <text>
        <r>
          <rPr>
            <b/>
            <sz val="9"/>
            <color indexed="81"/>
            <rFont val="Tahoma"/>
            <family val="2"/>
          </rPr>
          <t>Gavin Mudd:</t>
        </r>
        <r>
          <rPr>
            <sz val="9"/>
            <color indexed="81"/>
            <rFont val="Tahoma"/>
            <family val="2"/>
          </rPr>
          <t xml:space="preserve">
assumed</t>
        </r>
      </text>
    </comment>
    <comment ref="AG94" authorId="0" shapeId="0" xr:uid="{87B7E952-C64B-4CCC-A3BB-07D38E91876F}">
      <text>
        <r>
          <rPr>
            <b/>
            <sz val="9"/>
            <color indexed="81"/>
            <rFont val="Tahoma"/>
            <family val="2"/>
          </rPr>
          <t>Gavin Mudd:</t>
        </r>
        <r>
          <rPr>
            <sz val="9"/>
            <color indexed="81"/>
            <rFont val="Tahoma"/>
            <family val="2"/>
          </rPr>
          <t xml:space="preserve">
assumed</t>
        </r>
      </text>
    </comment>
    <comment ref="AK94" authorId="0" shapeId="0" xr:uid="{2F997359-FEB1-4DB8-9D40-48A876069AE7}">
      <text>
        <r>
          <rPr>
            <b/>
            <sz val="9"/>
            <color indexed="81"/>
            <rFont val="Tahoma"/>
            <family val="2"/>
          </rPr>
          <t>Gavin Mudd:</t>
        </r>
        <r>
          <rPr>
            <sz val="9"/>
            <color indexed="81"/>
            <rFont val="Tahoma"/>
            <family val="2"/>
          </rPr>
          <t xml:space="preserve">
assumed</t>
        </r>
      </text>
    </comment>
    <comment ref="AM94" authorId="0" shapeId="0" xr:uid="{33CE9391-F935-4684-9F03-629562DF317D}">
      <text>
        <r>
          <rPr>
            <b/>
            <sz val="9"/>
            <color indexed="81"/>
            <rFont val="Tahoma"/>
            <family val="2"/>
          </rPr>
          <t>Gavin Mudd:</t>
        </r>
        <r>
          <rPr>
            <sz val="9"/>
            <color indexed="81"/>
            <rFont val="Tahoma"/>
            <family val="2"/>
          </rPr>
          <t xml:space="preserve">
assumed</t>
        </r>
      </text>
    </comment>
    <comment ref="AO94" authorId="0" shapeId="0" xr:uid="{24DDB47D-8AAF-498A-B161-83CB4B1B75C3}">
      <text>
        <r>
          <rPr>
            <b/>
            <sz val="9"/>
            <color indexed="81"/>
            <rFont val="Tahoma"/>
            <family val="2"/>
          </rPr>
          <t>Gavin Mudd:</t>
        </r>
        <r>
          <rPr>
            <sz val="9"/>
            <color indexed="81"/>
            <rFont val="Tahoma"/>
            <family val="2"/>
          </rPr>
          <t xml:space="preserve">
assumed</t>
        </r>
      </text>
    </comment>
    <comment ref="AU94" authorId="0" shapeId="0" xr:uid="{0FE13312-1650-47F8-AE77-855EA6BA9718}">
      <text>
        <r>
          <rPr>
            <b/>
            <sz val="9"/>
            <color indexed="81"/>
            <rFont val="Tahoma"/>
            <family val="2"/>
          </rPr>
          <t>Gavin Mudd:</t>
        </r>
        <r>
          <rPr>
            <sz val="9"/>
            <color indexed="81"/>
            <rFont val="Tahoma"/>
            <family val="2"/>
          </rPr>
          <t xml:space="preserve">
assumed</t>
        </r>
      </text>
    </comment>
    <comment ref="BA94" authorId="0" shapeId="0" xr:uid="{B83F7C17-40F0-496C-B1E7-165AD71847E3}">
      <text>
        <r>
          <rPr>
            <b/>
            <sz val="9"/>
            <color indexed="81"/>
            <rFont val="Tahoma"/>
            <family val="2"/>
          </rPr>
          <t>Gavin Mudd:</t>
        </r>
        <r>
          <rPr>
            <sz val="9"/>
            <color indexed="81"/>
            <rFont val="Tahoma"/>
            <family val="2"/>
          </rPr>
          <t xml:space="preserve">
assumed</t>
        </r>
      </text>
    </comment>
    <comment ref="BB94" authorId="0" shapeId="0" xr:uid="{E86F837F-91F7-46A0-86F8-AFCD9D4EC71E}">
      <text>
        <r>
          <rPr>
            <b/>
            <sz val="9"/>
            <color indexed="81"/>
            <rFont val="Tahoma"/>
            <family val="2"/>
          </rPr>
          <t>Gavin Mudd:</t>
        </r>
        <r>
          <rPr>
            <sz val="9"/>
            <color indexed="81"/>
            <rFont val="Tahoma"/>
            <family val="2"/>
          </rPr>
          <t xml:space="preserve">
assumed</t>
        </r>
      </text>
    </comment>
    <comment ref="CD94" authorId="0" shapeId="0" xr:uid="{06BD0AE9-5390-444C-8BBA-931B1A51369F}">
      <text>
        <r>
          <rPr>
            <b/>
            <sz val="9"/>
            <color indexed="81"/>
            <rFont val="Tahoma"/>
            <family val="2"/>
          </rPr>
          <t>Gavin Mudd:</t>
        </r>
        <r>
          <rPr>
            <sz val="9"/>
            <color indexed="81"/>
            <rFont val="Tahoma"/>
            <family val="2"/>
          </rPr>
          <t xml:space="preserve">
assumed</t>
        </r>
      </text>
    </comment>
    <comment ref="CE94" authorId="0" shapeId="0" xr:uid="{8709E8E6-2B06-438E-83C1-2BBBA8B6B678}">
      <text>
        <r>
          <rPr>
            <b/>
            <sz val="9"/>
            <color indexed="81"/>
            <rFont val="Tahoma"/>
            <family val="2"/>
          </rPr>
          <t>Gavin Mudd:</t>
        </r>
        <r>
          <rPr>
            <sz val="9"/>
            <color indexed="81"/>
            <rFont val="Tahoma"/>
            <family val="2"/>
          </rPr>
          <t xml:space="preserve">
assumed</t>
        </r>
      </text>
    </comment>
    <comment ref="CJ94" authorId="0" shapeId="0" xr:uid="{D899BB46-0888-43C5-A8DA-B6BBC8628F40}">
      <text>
        <r>
          <rPr>
            <b/>
            <sz val="9"/>
            <color indexed="81"/>
            <rFont val="Tahoma"/>
            <family val="2"/>
          </rPr>
          <t>Gavin Mudd:</t>
        </r>
        <r>
          <rPr>
            <sz val="9"/>
            <color indexed="81"/>
            <rFont val="Tahoma"/>
            <family val="2"/>
          </rPr>
          <t xml:space="preserve">
assumed</t>
        </r>
      </text>
    </comment>
    <comment ref="CK94" authorId="0" shapeId="0" xr:uid="{159D9E9E-4476-47AC-878C-1942F7406CF8}">
      <text>
        <r>
          <rPr>
            <b/>
            <sz val="9"/>
            <color indexed="81"/>
            <rFont val="Tahoma"/>
            <family val="2"/>
          </rPr>
          <t>Gavin Mudd:</t>
        </r>
        <r>
          <rPr>
            <sz val="9"/>
            <color indexed="81"/>
            <rFont val="Tahoma"/>
            <family val="2"/>
          </rPr>
          <t xml:space="preserve">
assumed</t>
        </r>
      </text>
    </comment>
    <comment ref="CO94" authorId="0" shapeId="0" xr:uid="{3AC59618-C107-4FA4-A24F-C563F77B5F6B}">
      <text>
        <r>
          <rPr>
            <b/>
            <sz val="9"/>
            <color indexed="81"/>
            <rFont val="Tahoma"/>
            <family val="2"/>
          </rPr>
          <t>Gavin Mudd:</t>
        </r>
        <r>
          <rPr>
            <sz val="9"/>
            <color indexed="81"/>
            <rFont val="Tahoma"/>
            <family val="2"/>
          </rPr>
          <t xml:space="preserve">
assumed</t>
        </r>
      </text>
    </comment>
    <comment ref="CP94" authorId="0" shapeId="0" xr:uid="{6B4861EF-B9E6-4F73-A547-68C7228F5974}">
      <text>
        <r>
          <rPr>
            <b/>
            <sz val="9"/>
            <color indexed="81"/>
            <rFont val="Tahoma"/>
            <family val="2"/>
          </rPr>
          <t>Gavin Mudd:</t>
        </r>
        <r>
          <rPr>
            <sz val="9"/>
            <color indexed="81"/>
            <rFont val="Tahoma"/>
            <family val="2"/>
          </rPr>
          <t xml:space="preserve">
assumed</t>
        </r>
      </text>
    </comment>
    <comment ref="DL94" authorId="0" shapeId="0" xr:uid="{F7A20765-9AF5-46D4-9282-DD43A1768A84}">
      <text>
        <r>
          <rPr>
            <b/>
            <sz val="9"/>
            <color indexed="81"/>
            <rFont val="Tahoma"/>
            <family val="2"/>
          </rPr>
          <t>Gavin Mudd:</t>
        </r>
        <r>
          <rPr>
            <sz val="9"/>
            <color indexed="81"/>
            <rFont val="Tahoma"/>
            <family val="2"/>
          </rPr>
          <t xml:space="preserve">
assumed</t>
        </r>
      </text>
    </comment>
    <comment ref="DM94" authorId="0" shapeId="0" xr:uid="{8B9E31AE-8A42-475A-9B42-C185A45CC32E}">
      <text>
        <r>
          <rPr>
            <b/>
            <sz val="9"/>
            <color indexed="81"/>
            <rFont val="Tahoma"/>
            <family val="2"/>
          </rPr>
          <t>Gavin Mudd:</t>
        </r>
        <r>
          <rPr>
            <sz val="9"/>
            <color indexed="81"/>
            <rFont val="Tahoma"/>
            <family val="2"/>
          </rPr>
          <t xml:space="preserve">
assumed</t>
        </r>
      </text>
    </comment>
    <comment ref="B95" authorId="0" shapeId="0" xr:uid="{BA8A7490-BBA0-40D4-BB6A-2AF4BDA05496}">
      <text>
        <r>
          <rPr>
            <b/>
            <sz val="9"/>
            <color indexed="81"/>
            <rFont val="Tahoma"/>
            <family val="2"/>
          </rPr>
          <t>Gavin Mudd:</t>
        </r>
        <r>
          <rPr>
            <sz val="9"/>
            <color indexed="81"/>
            <rFont val="Tahoma"/>
            <family val="2"/>
          </rPr>
          <t xml:space="preserve">
West Wyalong</t>
        </r>
      </text>
    </comment>
    <comment ref="C95" authorId="0" shapeId="0" xr:uid="{E3A1B9D4-230B-4031-B153-8548A116DAEF}">
      <text>
        <r>
          <rPr>
            <b/>
            <sz val="9"/>
            <color indexed="81"/>
            <rFont val="Tahoma"/>
            <family val="2"/>
          </rPr>
          <t>Gavin Mudd:</t>
        </r>
        <r>
          <rPr>
            <sz val="9"/>
            <color indexed="81"/>
            <rFont val="Tahoma"/>
            <family val="2"/>
          </rPr>
          <t xml:space="preserve">
assumed</t>
        </r>
      </text>
    </comment>
    <comment ref="P95" authorId="0" shapeId="0" xr:uid="{5F5BCDD6-A611-4900-BA35-4561003191DD}">
      <text>
        <r>
          <rPr>
            <b/>
            <sz val="9"/>
            <color indexed="81"/>
            <rFont val="Tahoma"/>
            <family val="2"/>
          </rPr>
          <t>Gavin Mudd:</t>
        </r>
        <r>
          <rPr>
            <sz val="9"/>
            <color indexed="81"/>
            <rFont val="Tahoma"/>
            <family val="2"/>
          </rPr>
          <t xml:space="preserve">
Tumbarumba</t>
        </r>
      </text>
    </comment>
    <comment ref="Q95" authorId="0" shapeId="0" xr:uid="{089B98CF-1438-467F-91E1-217F10F26ED7}">
      <text>
        <r>
          <rPr>
            <b/>
            <sz val="9"/>
            <color indexed="81"/>
            <rFont val="Tahoma"/>
            <family val="2"/>
          </rPr>
          <t>Gavin Mudd:</t>
        </r>
        <r>
          <rPr>
            <sz val="9"/>
            <color indexed="81"/>
            <rFont val="Tahoma"/>
            <family val="2"/>
          </rPr>
          <t xml:space="preserve">
assumed</t>
        </r>
      </text>
    </comment>
    <comment ref="S95" authorId="0" shapeId="0" xr:uid="{2153003F-4C7E-4016-B04C-E446E3344863}">
      <text>
        <r>
          <rPr>
            <b/>
            <sz val="9"/>
            <color indexed="81"/>
            <rFont val="Tahoma"/>
            <family val="2"/>
          </rPr>
          <t>Gavin Mudd:</t>
        </r>
        <r>
          <rPr>
            <sz val="9"/>
            <color indexed="81"/>
            <rFont val="Tahoma"/>
            <family val="2"/>
          </rPr>
          <t xml:space="preserve">
assumed</t>
        </r>
      </text>
    </comment>
    <comment ref="U95" authorId="0" shapeId="0" xr:uid="{8F0E690E-4EAB-49B4-8D39-1C86FD7A861F}">
      <text>
        <r>
          <rPr>
            <b/>
            <sz val="9"/>
            <color indexed="81"/>
            <rFont val="Tahoma"/>
            <family val="2"/>
          </rPr>
          <t>Gavin Mudd:</t>
        </r>
        <r>
          <rPr>
            <sz val="9"/>
            <color indexed="81"/>
            <rFont val="Tahoma"/>
            <family val="2"/>
          </rPr>
          <t xml:space="preserve">
assumed</t>
        </r>
      </text>
    </comment>
    <comment ref="W95" authorId="0" shapeId="0" xr:uid="{CB506341-3592-4041-B8B0-4339AF62884C}">
      <text>
        <r>
          <rPr>
            <b/>
            <sz val="9"/>
            <color indexed="81"/>
            <rFont val="Tahoma"/>
            <family val="2"/>
          </rPr>
          <t>Gavin Mudd:</t>
        </r>
        <r>
          <rPr>
            <sz val="9"/>
            <color indexed="81"/>
            <rFont val="Tahoma"/>
            <family val="2"/>
          </rPr>
          <t xml:space="preserve">
assumed</t>
        </r>
      </text>
    </comment>
    <comment ref="Y95" authorId="0" shapeId="0" xr:uid="{AE5FC7EB-3A99-4BBA-857E-954862079543}">
      <text>
        <r>
          <rPr>
            <b/>
            <sz val="9"/>
            <color indexed="81"/>
            <rFont val="Tahoma"/>
            <family val="2"/>
          </rPr>
          <t>Gavin Mudd:</t>
        </r>
        <r>
          <rPr>
            <sz val="9"/>
            <color indexed="81"/>
            <rFont val="Tahoma"/>
            <family val="2"/>
          </rPr>
          <t xml:space="preserve">
assumed</t>
        </r>
      </text>
    </comment>
    <comment ref="AA95" authorId="0" shapeId="0" xr:uid="{300416C8-0289-4F72-A37B-5D83113AB790}">
      <text>
        <r>
          <rPr>
            <b/>
            <sz val="9"/>
            <color indexed="81"/>
            <rFont val="Tahoma"/>
            <family val="2"/>
          </rPr>
          <t>Gavin Mudd:</t>
        </r>
        <r>
          <rPr>
            <sz val="9"/>
            <color indexed="81"/>
            <rFont val="Tahoma"/>
            <family val="2"/>
          </rPr>
          <t xml:space="preserve">
assumed</t>
        </r>
      </text>
    </comment>
    <comment ref="AG95" authorId="0" shapeId="0" xr:uid="{900E66E8-F517-41A8-A8D7-5458E576A366}">
      <text>
        <r>
          <rPr>
            <b/>
            <sz val="9"/>
            <color indexed="81"/>
            <rFont val="Tahoma"/>
            <family val="2"/>
          </rPr>
          <t>Gavin Mudd:</t>
        </r>
        <r>
          <rPr>
            <sz val="9"/>
            <color indexed="81"/>
            <rFont val="Tahoma"/>
            <family val="2"/>
          </rPr>
          <t xml:space="preserve">
assumed</t>
        </r>
      </text>
    </comment>
    <comment ref="AK95" authorId="0" shapeId="0" xr:uid="{2D1FC024-296E-4186-AFCE-A9C95581EE1F}">
      <text>
        <r>
          <rPr>
            <b/>
            <sz val="9"/>
            <color indexed="81"/>
            <rFont val="Tahoma"/>
            <family val="2"/>
          </rPr>
          <t>Gavin Mudd:</t>
        </r>
        <r>
          <rPr>
            <sz val="9"/>
            <color indexed="81"/>
            <rFont val="Tahoma"/>
            <family val="2"/>
          </rPr>
          <t xml:space="preserve">
assumed</t>
        </r>
      </text>
    </comment>
    <comment ref="AM95" authorId="0" shapeId="0" xr:uid="{EEF3904A-19DC-45EC-9F11-7FFD53E5EF56}">
      <text>
        <r>
          <rPr>
            <b/>
            <sz val="9"/>
            <color indexed="81"/>
            <rFont val="Tahoma"/>
            <family val="2"/>
          </rPr>
          <t>Gavin Mudd:</t>
        </r>
        <r>
          <rPr>
            <sz val="9"/>
            <color indexed="81"/>
            <rFont val="Tahoma"/>
            <family val="2"/>
          </rPr>
          <t xml:space="preserve">
assumed</t>
        </r>
      </text>
    </comment>
    <comment ref="AO95" authorId="0" shapeId="0" xr:uid="{4ACB0EC3-CF26-43B6-9C2D-22C15B30AC9B}">
      <text>
        <r>
          <rPr>
            <b/>
            <sz val="9"/>
            <color indexed="81"/>
            <rFont val="Tahoma"/>
            <family val="2"/>
          </rPr>
          <t>Gavin Mudd:</t>
        </r>
        <r>
          <rPr>
            <sz val="9"/>
            <color indexed="81"/>
            <rFont val="Tahoma"/>
            <family val="2"/>
          </rPr>
          <t xml:space="preserve">
assumed</t>
        </r>
      </text>
    </comment>
    <comment ref="AU95" authorId="0" shapeId="0" xr:uid="{34A3D244-5CF4-46DD-8463-D77E1922F54D}">
      <text>
        <r>
          <rPr>
            <b/>
            <sz val="9"/>
            <color indexed="81"/>
            <rFont val="Tahoma"/>
            <family val="2"/>
          </rPr>
          <t>Gavin Mudd:</t>
        </r>
        <r>
          <rPr>
            <sz val="9"/>
            <color indexed="81"/>
            <rFont val="Tahoma"/>
            <family val="2"/>
          </rPr>
          <t xml:space="preserve">
assumed</t>
        </r>
      </text>
    </comment>
    <comment ref="BA95" authorId="0" shapeId="0" xr:uid="{7190EA59-2DCB-4407-8969-20706870E528}">
      <text>
        <r>
          <rPr>
            <b/>
            <sz val="9"/>
            <color indexed="81"/>
            <rFont val="Tahoma"/>
            <family val="2"/>
          </rPr>
          <t>Gavin Mudd:</t>
        </r>
        <r>
          <rPr>
            <sz val="9"/>
            <color indexed="81"/>
            <rFont val="Tahoma"/>
            <family val="2"/>
          </rPr>
          <t xml:space="preserve">
assumed</t>
        </r>
      </text>
    </comment>
    <comment ref="BB95" authorId="0" shapeId="0" xr:uid="{404EB516-ECA9-498A-A0CA-8759DA2068F4}">
      <text>
        <r>
          <rPr>
            <b/>
            <sz val="9"/>
            <color indexed="81"/>
            <rFont val="Tahoma"/>
            <family val="2"/>
          </rPr>
          <t>Gavin Mudd:</t>
        </r>
        <r>
          <rPr>
            <sz val="9"/>
            <color indexed="81"/>
            <rFont val="Tahoma"/>
            <family val="2"/>
          </rPr>
          <t xml:space="preserve">
assumed</t>
        </r>
      </text>
    </comment>
    <comment ref="CD95" authorId="0" shapeId="0" xr:uid="{547ACE7A-0A96-45A7-924C-B03569B820B0}">
      <text>
        <r>
          <rPr>
            <b/>
            <sz val="9"/>
            <color indexed="81"/>
            <rFont val="Tahoma"/>
            <family val="2"/>
          </rPr>
          <t>Gavin Mudd:</t>
        </r>
        <r>
          <rPr>
            <sz val="9"/>
            <color indexed="81"/>
            <rFont val="Tahoma"/>
            <family val="2"/>
          </rPr>
          <t xml:space="preserve">
assumed</t>
        </r>
      </text>
    </comment>
    <comment ref="CE95" authorId="0" shapeId="0" xr:uid="{6E87356D-8261-4897-8E25-062519E473D2}">
      <text>
        <r>
          <rPr>
            <b/>
            <sz val="9"/>
            <color indexed="81"/>
            <rFont val="Tahoma"/>
            <family val="2"/>
          </rPr>
          <t>Gavin Mudd:</t>
        </r>
        <r>
          <rPr>
            <sz val="9"/>
            <color indexed="81"/>
            <rFont val="Tahoma"/>
            <family val="2"/>
          </rPr>
          <t xml:space="preserve">
assumed</t>
        </r>
      </text>
    </comment>
    <comment ref="CJ95" authorId="0" shapeId="0" xr:uid="{B5A85330-991A-483F-9012-C96BCBDE9441}">
      <text>
        <r>
          <rPr>
            <b/>
            <sz val="9"/>
            <color indexed="81"/>
            <rFont val="Tahoma"/>
            <family val="2"/>
          </rPr>
          <t>Gavin Mudd:</t>
        </r>
        <r>
          <rPr>
            <sz val="9"/>
            <color indexed="81"/>
            <rFont val="Tahoma"/>
            <family val="2"/>
          </rPr>
          <t xml:space="preserve">
assumed</t>
        </r>
      </text>
    </comment>
    <comment ref="CK95" authorId="0" shapeId="0" xr:uid="{BDEE3771-D19D-47B2-91EB-51EABDCA08BA}">
      <text>
        <r>
          <rPr>
            <b/>
            <sz val="9"/>
            <color indexed="81"/>
            <rFont val="Tahoma"/>
            <family val="2"/>
          </rPr>
          <t>Gavin Mudd:</t>
        </r>
        <r>
          <rPr>
            <sz val="9"/>
            <color indexed="81"/>
            <rFont val="Tahoma"/>
            <family val="2"/>
          </rPr>
          <t xml:space="preserve">
assumed</t>
        </r>
      </text>
    </comment>
    <comment ref="CO95" authorId="0" shapeId="0" xr:uid="{BC6C0C27-830E-4A8A-87A8-8F89555871D6}">
      <text>
        <r>
          <rPr>
            <b/>
            <sz val="9"/>
            <color indexed="81"/>
            <rFont val="Tahoma"/>
            <family val="2"/>
          </rPr>
          <t>Gavin Mudd:</t>
        </r>
        <r>
          <rPr>
            <sz val="9"/>
            <color indexed="81"/>
            <rFont val="Tahoma"/>
            <family val="2"/>
          </rPr>
          <t xml:space="preserve">
assumed</t>
        </r>
      </text>
    </comment>
    <comment ref="CP95" authorId="0" shapeId="0" xr:uid="{7DF49306-FB23-48BC-954E-E90886CA6B2B}">
      <text>
        <r>
          <rPr>
            <b/>
            <sz val="9"/>
            <color indexed="81"/>
            <rFont val="Tahoma"/>
            <family val="2"/>
          </rPr>
          <t>Gavin Mudd:</t>
        </r>
        <r>
          <rPr>
            <sz val="9"/>
            <color indexed="81"/>
            <rFont val="Tahoma"/>
            <family val="2"/>
          </rPr>
          <t xml:space="preserve">
assumed</t>
        </r>
      </text>
    </comment>
    <comment ref="DL95" authorId="0" shapeId="0" xr:uid="{BA83FE6F-855C-4572-B732-5D36D1F0C2F8}">
      <text>
        <r>
          <rPr>
            <b/>
            <sz val="9"/>
            <color indexed="81"/>
            <rFont val="Tahoma"/>
            <family val="2"/>
          </rPr>
          <t>Gavin Mudd:</t>
        </r>
        <r>
          <rPr>
            <sz val="9"/>
            <color indexed="81"/>
            <rFont val="Tahoma"/>
            <family val="2"/>
          </rPr>
          <t xml:space="preserve">
assumed</t>
        </r>
      </text>
    </comment>
    <comment ref="DM95" authorId="0" shapeId="0" xr:uid="{30B32AC6-6A19-49BC-8703-ED7370366781}">
      <text>
        <r>
          <rPr>
            <b/>
            <sz val="9"/>
            <color indexed="81"/>
            <rFont val="Tahoma"/>
            <family val="2"/>
          </rPr>
          <t>Gavin Mudd:</t>
        </r>
        <r>
          <rPr>
            <sz val="9"/>
            <color indexed="81"/>
            <rFont val="Tahoma"/>
            <family val="2"/>
          </rPr>
          <t xml:space="preserve">
assumed</t>
        </r>
      </text>
    </comment>
    <comment ref="B96" authorId="0" shapeId="0" xr:uid="{3D29A019-8007-48AD-8AF9-245DDB7382CF}">
      <text>
        <r>
          <rPr>
            <b/>
            <sz val="9"/>
            <color indexed="81"/>
            <rFont val="Tahoma"/>
            <family val="2"/>
          </rPr>
          <t>Gavin Mudd:</t>
        </r>
        <r>
          <rPr>
            <sz val="9"/>
            <color indexed="81"/>
            <rFont val="Tahoma"/>
            <family val="2"/>
          </rPr>
          <t xml:space="preserve">
West Wyalong</t>
        </r>
      </text>
    </comment>
    <comment ref="C96" authorId="0" shapeId="0" xr:uid="{B3E4B3B8-ECCD-4B14-A42C-E766F003163D}">
      <text>
        <r>
          <rPr>
            <b/>
            <sz val="9"/>
            <color indexed="81"/>
            <rFont val="Tahoma"/>
            <family val="2"/>
          </rPr>
          <t>Gavin Mudd:</t>
        </r>
        <r>
          <rPr>
            <sz val="9"/>
            <color indexed="81"/>
            <rFont val="Tahoma"/>
            <family val="2"/>
          </rPr>
          <t xml:space="preserve">
assumed</t>
        </r>
      </text>
    </comment>
    <comment ref="P96" authorId="0" shapeId="0" xr:uid="{8165B91B-881D-425C-B652-A047DD8C7DAF}">
      <text>
        <r>
          <rPr>
            <b/>
            <sz val="9"/>
            <color indexed="81"/>
            <rFont val="Tahoma"/>
            <family val="2"/>
          </rPr>
          <t>Gavin Mudd:</t>
        </r>
        <r>
          <rPr>
            <sz val="9"/>
            <color indexed="81"/>
            <rFont val="Tahoma"/>
            <family val="2"/>
          </rPr>
          <t xml:space="preserve">
Tumbarumba</t>
        </r>
      </text>
    </comment>
    <comment ref="Q96" authorId="0" shapeId="0" xr:uid="{DDC17632-4F74-4317-B539-FC071832282B}">
      <text>
        <r>
          <rPr>
            <b/>
            <sz val="9"/>
            <color indexed="81"/>
            <rFont val="Tahoma"/>
            <family val="2"/>
          </rPr>
          <t>Gavin Mudd:</t>
        </r>
        <r>
          <rPr>
            <sz val="9"/>
            <color indexed="81"/>
            <rFont val="Tahoma"/>
            <family val="2"/>
          </rPr>
          <t xml:space="preserve">
assumed</t>
        </r>
      </text>
    </comment>
    <comment ref="S96" authorId="0" shapeId="0" xr:uid="{C711C789-3AA9-4E8A-ACAB-FB2BA394BCAB}">
      <text>
        <r>
          <rPr>
            <b/>
            <sz val="9"/>
            <color indexed="81"/>
            <rFont val="Tahoma"/>
            <family val="2"/>
          </rPr>
          <t>Gavin Mudd:</t>
        </r>
        <r>
          <rPr>
            <sz val="9"/>
            <color indexed="81"/>
            <rFont val="Tahoma"/>
            <family val="2"/>
          </rPr>
          <t xml:space="preserve">
assumed</t>
        </r>
      </text>
    </comment>
    <comment ref="U96" authorId="0" shapeId="0" xr:uid="{7EFF0799-9AE3-4147-9CDF-738EFD9275CD}">
      <text>
        <r>
          <rPr>
            <b/>
            <sz val="9"/>
            <color indexed="81"/>
            <rFont val="Tahoma"/>
            <family val="2"/>
          </rPr>
          <t>Gavin Mudd:</t>
        </r>
        <r>
          <rPr>
            <sz val="9"/>
            <color indexed="81"/>
            <rFont val="Tahoma"/>
            <family val="2"/>
          </rPr>
          <t xml:space="preserve">
assumed</t>
        </r>
      </text>
    </comment>
    <comment ref="W96" authorId="0" shapeId="0" xr:uid="{BFE1E631-C7ED-4E04-A068-6EC72F1BC3E5}">
      <text>
        <r>
          <rPr>
            <b/>
            <sz val="9"/>
            <color indexed="81"/>
            <rFont val="Tahoma"/>
            <family val="2"/>
          </rPr>
          <t>Gavin Mudd:</t>
        </r>
        <r>
          <rPr>
            <sz val="9"/>
            <color indexed="81"/>
            <rFont val="Tahoma"/>
            <family val="2"/>
          </rPr>
          <t xml:space="preserve">
assumed</t>
        </r>
      </text>
    </comment>
    <comment ref="Y96" authorId="0" shapeId="0" xr:uid="{04A928B9-4432-4CE0-BFD0-3506093C465F}">
      <text>
        <r>
          <rPr>
            <b/>
            <sz val="9"/>
            <color indexed="81"/>
            <rFont val="Tahoma"/>
            <family val="2"/>
          </rPr>
          <t>Gavin Mudd:</t>
        </r>
        <r>
          <rPr>
            <sz val="9"/>
            <color indexed="81"/>
            <rFont val="Tahoma"/>
            <family val="2"/>
          </rPr>
          <t xml:space="preserve">
assumed</t>
        </r>
      </text>
    </comment>
    <comment ref="AA96" authorId="0" shapeId="0" xr:uid="{862A2FEC-3C7C-442E-BDDE-B28D240D41FC}">
      <text>
        <r>
          <rPr>
            <b/>
            <sz val="9"/>
            <color indexed="81"/>
            <rFont val="Tahoma"/>
            <family val="2"/>
          </rPr>
          <t>Gavin Mudd:</t>
        </r>
        <r>
          <rPr>
            <sz val="9"/>
            <color indexed="81"/>
            <rFont val="Tahoma"/>
            <family val="2"/>
          </rPr>
          <t xml:space="preserve">
assumed</t>
        </r>
      </text>
    </comment>
    <comment ref="AG96" authorId="0" shapeId="0" xr:uid="{8D762D0E-A986-4A3D-B119-A7C6C3DDDB44}">
      <text>
        <r>
          <rPr>
            <b/>
            <sz val="9"/>
            <color indexed="81"/>
            <rFont val="Tahoma"/>
            <family val="2"/>
          </rPr>
          <t>Gavin Mudd:</t>
        </r>
        <r>
          <rPr>
            <sz val="9"/>
            <color indexed="81"/>
            <rFont val="Tahoma"/>
            <family val="2"/>
          </rPr>
          <t xml:space="preserve">
assumed</t>
        </r>
      </text>
    </comment>
    <comment ref="AK96" authorId="0" shapeId="0" xr:uid="{AAABB6DB-1E26-43D0-B6E3-76742ED09754}">
      <text>
        <r>
          <rPr>
            <b/>
            <sz val="9"/>
            <color indexed="81"/>
            <rFont val="Tahoma"/>
            <family val="2"/>
          </rPr>
          <t>Gavin Mudd:</t>
        </r>
        <r>
          <rPr>
            <sz val="9"/>
            <color indexed="81"/>
            <rFont val="Tahoma"/>
            <family val="2"/>
          </rPr>
          <t xml:space="preserve">
assumed</t>
        </r>
      </text>
    </comment>
    <comment ref="AM96" authorId="0" shapeId="0" xr:uid="{9AF4F622-F100-40D8-BE94-7EF061FC35A4}">
      <text>
        <r>
          <rPr>
            <b/>
            <sz val="9"/>
            <color indexed="81"/>
            <rFont val="Tahoma"/>
            <family val="2"/>
          </rPr>
          <t>Gavin Mudd:</t>
        </r>
        <r>
          <rPr>
            <sz val="9"/>
            <color indexed="81"/>
            <rFont val="Tahoma"/>
            <family val="2"/>
          </rPr>
          <t xml:space="preserve">
assumed</t>
        </r>
      </text>
    </comment>
    <comment ref="AO96" authorId="0" shapeId="0" xr:uid="{7C9A5141-1A87-44CE-A452-7506143A3284}">
      <text>
        <r>
          <rPr>
            <b/>
            <sz val="9"/>
            <color indexed="81"/>
            <rFont val="Tahoma"/>
            <family val="2"/>
          </rPr>
          <t>Gavin Mudd:</t>
        </r>
        <r>
          <rPr>
            <sz val="9"/>
            <color indexed="81"/>
            <rFont val="Tahoma"/>
            <family val="2"/>
          </rPr>
          <t xml:space="preserve">
assumed</t>
        </r>
      </text>
    </comment>
    <comment ref="AU96" authorId="0" shapeId="0" xr:uid="{9FB08F20-7315-4E4C-9951-2E189A959F58}">
      <text>
        <r>
          <rPr>
            <b/>
            <sz val="9"/>
            <color indexed="81"/>
            <rFont val="Tahoma"/>
            <family val="2"/>
          </rPr>
          <t>Gavin Mudd:</t>
        </r>
        <r>
          <rPr>
            <sz val="9"/>
            <color indexed="81"/>
            <rFont val="Tahoma"/>
            <family val="2"/>
          </rPr>
          <t xml:space="preserve">
assumed</t>
        </r>
      </text>
    </comment>
    <comment ref="BA96" authorId="0" shapeId="0" xr:uid="{5CA28E36-B7FC-4AD2-BE89-6AE10DF23838}">
      <text>
        <r>
          <rPr>
            <b/>
            <sz val="9"/>
            <color indexed="81"/>
            <rFont val="Tahoma"/>
            <family val="2"/>
          </rPr>
          <t>Gavin Mudd:</t>
        </r>
        <r>
          <rPr>
            <sz val="9"/>
            <color indexed="81"/>
            <rFont val="Tahoma"/>
            <family val="2"/>
          </rPr>
          <t xml:space="preserve">
assumed</t>
        </r>
      </text>
    </comment>
    <comment ref="BB96" authorId="0" shapeId="0" xr:uid="{21796C7B-E809-4172-87D8-24AC6DD875ED}">
      <text>
        <r>
          <rPr>
            <b/>
            <sz val="9"/>
            <color indexed="81"/>
            <rFont val="Tahoma"/>
            <family val="2"/>
          </rPr>
          <t>Gavin Mudd:</t>
        </r>
        <r>
          <rPr>
            <sz val="9"/>
            <color indexed="81"/>
            <rFont val="Tahoma"/>
            <family val="2"/>
          </rPr>
          <t xml:space="preserve">
assumed</t>
        </r>
      </text>
    </comment>
    <comment ref="CD96" authorId="0" shapeId="0" xr:uid="{B48A2339-1F98-412F-B760-7D4AB1B02294}">
      <text>
        <r>
          <rPr>
            <b/>
            <sz val="9"/>
            <color indexed="81"/>
            <rFont val="Tahoma"/>
            <family val="2"/>
          </rPr>
          <t>Gavin Mudd:</t>
        </r>
        <r>
          <rPr>
            <sz val="9"/>
            <color indexed="81"/>
            <rFont val="Tahoma"/>
            <family val="2"/>
          </rPr>
          <t xml:space="preserve">
assumed</t>
        </r>
      </text>
    </comment>
    <comment ref="CE96" authorId="0" shapeId="0" xr:uid="{FE3C5F03-6B51-4637-A8A5-07C5E12C248A}">
      <text>
        <r>
          <rPr>
            <b/>
            <sz val="9"/>
            <color indexed="81"/>
            <rFont val="Tahoma"/>
            <family val="2"/>
          </rPr>
          <t>Gavin Mudd:</t>
        </r>
        <r>
          <rPr>
            <sz val="9"/>
            <color indexed="81"/>
            <rFont val="Tahoma"/>
            <family val="2"/>
          </rPr>
          <t xml:space="preserve">
assumed</t>
        </r>
      </text>
    </comment>
    <comment ref="CJ96" authorId="0" shapeId="0" xr:uid="{436992EC-0C45-46DC-8F20-303889FFCC57}">
      <text>
        <r>
          <rPr>
            <b/>
            <sz val="9"/>
            <color indexed="81"/>
            <rFont val="Tahoma"/>
            <family val="2"/>
          </rPr>
          <t>Gavin Mudd:</t>
        </r>
        <r>
          <rPr>
            <sz val="9"/>
            <color indexed="81"/>
            <rFont val="Tahoma"/>
            <family val="2"/>
          </rPr>
          <t xml:space="preserve">
assumed</t>
        </r>
      </text>
    </comment>
    <comment ref="CK96" authorId="0" shapeId="0" xr:uid="{6340FD9D-A07A-454F-AD56-D5516FCFED54}">
      <text>
        <r>
          <rPr>
            <b/>
            <sz val="9"/>
            <color indexed="81"/>
            <rFont val="Tahoma"/>
            <family val="2"/>
          </rPr>
          <t>Gavin Mudd:</t>
        </r>
        <r>
          <rPr>
            <sz val="9"/>
            <color indexed="81"/>
            <rFont val="Tahoma"/>
            <family val="2"/>
          </rPr>
          <t xml:space="preserve">
assumed</t>
        </r>
      </text>
    </comment>
    <comment ref="CO96" authorId="0" shapeId="0" xr:uid="{004643D1-A417-4AB1-B747-1FCD52B6B450}">
      <text>
        <r>
          <rPr>
            <b/>
            <sz val="9"/>
            <color indexed="81"/>
            <rFont val="Tahoma"/>
            <family val="2"/>
          </rPr>
          <t>Gavin Mudd:</t>
        </r>
        <r>
          <rPr>
            <sz val="9"/>
            <color indexed="81"/>
            <rFont val="Tahoma"/>
            <family val="2"/>
          </rPr>
          <t xml:space="preserve">
assumed</t>
        </r>
      </text>
    </comment>
    <comment ref="CP96" authorId="0" shapeId="0" xr:uid="{B556CCB5-6ED0-4F9D-B3E3-99045DCB8F04}">
      <text>
        <r>
          <rPr>
            <b/>
            <sz val="9"/>
            <color indexed="81"/>
            <rFont val="Tahoma"/>
            <family val="2"/>
          </rPr>
          <t>Gavin Mudd:</t>
        </r>
        <r>
          <rPr>
            <sz val="9"/>
            <color indexed="81"/>
            <rFont val="Tahoma"/>
            <family val="2"/>
          </rPr>
          <t xml:space="preserve">
assumed</t>
        </r>
      </text>
    </comment>
    <comment ref="CT96" authorId="0" shapeId="0" xr:uid="{09BAACAA-CED2-4DEC-8D6E-7222F75B766C}">
      <text>
        <r>
          <rPr>
            <b/>
            <sz val="9"/>
            <color indexed="81"/>
            <rFont val="Tahoma"/>
            <family val="2"/>
          </rPr>
          <t>Gavin Mudd:</t>
        </r>
        <r>
          <rPr>
            <sz val="9"/>
            <color indexed="81"/>
            <rFont val="Tahoma"/>
            <family val="2"/>
          </rPr>
          <t xml:space="preserve">
assumed</t>
        </r>
      </text>
    </comment>
    <comment ref="CU96" authorId="0" shapeId="0" xr:uid="{18A00536-CE84-4678-AD10-AAA9C52378C8}">
      <text>
        <r>
          <rPr>
            <b/>
            <sz val="9"/>
            <color indexed="81"/>
            <rFont val="Tahoma"/>
            <family val="2"/>
          </rPr>
          <t>Gavin Mudd:</t>
        </r>
        <r>
          <rPr>
            <sz val="9"/>
            <color indexed="81"/>
            <rFont val="Tahoma"/>
            <family val="2"/>
          </rPr>
          <t xml:space="preserve">
assumed</t>
        </r>
      </text>
    </comment>
    <comment ref="DL96" authorId="0" shapeId="0" xr:uid="{4123012E-0788-4FD2-B1AD-BD82235C51C2}">
      <text>
        <r>
          <rPr>
            <b/>
            <sz val="9"/>
            <color indexed="81"/>
            <rFont val="Tahoma"/>
            <family val="2"/>
          </rPr>
          <t>Gavin Mudd:</t>
        </r>
        <r>
          <rPr>
            <sz val="9"/>
            <color indexed="81"/>
            <rFont val="Tahoma"/>
            <family val="2"/>
          </rPr>
          <t xml:space="preserve">
assumed</t>
        </r>
      </text>
    </comment>
    <comment ref="DM96" authorId="0" shapeId="0" xr:uid="{4096C8AC-BB0C-4B4E-B86C-856E20AEE1E7}">
      <text>
        <r>
          <rPr>
            <b/>
            <sz val="9"/>
            <color indexed="81"/>
            <rFont val="Tahoma"/>
            <family val="2"/>
          </rPr>
          <t>Gavin Mudd:</t>
        </r>
        <r>
          <rPr>
            <sz val="9"/>
            <color indexed="81"/>
            <rFont val="Tahoma"/>
            <family val="2"/>
          </rPr>
          <t xml:space="preserve">
assumed</t>
        </r>
      </text>
    </comment>
    <comment ref="B97" authorId="0" shapeId="0" xr:uid="{C1EC3FE1-C044-4268-A789-C260D698DC1E}">
      <text>
        <r>
          <rPr>
            <b/>
            <sz val="9"/>
            <color indexed="81"/>
            <rFont val="Tahoma"/>
            <family val="2"/>
          </rPr>
          <t>Gavin Mudd:</t>
        </r>
        <r>
          <rPr>
            <sz val="9"/>
            <color indexed="81"/>
            <rFont val="Tahoma"/>
            <family val="2"/>
          </rPr>
          <t xml:space="preserve">
West Wyalong</t>
        </r>
      </text>
    </comment>
    <comment ref="C97" authorId="0" shapeId="0" xr:uid="{92B53B2A-6FD7-44A1-B49D-0C5DCA7EC1B5}">
      <text>
        <r>
          <rPr>
            <b/>
            <sz val="9"/>
            <color indexed="81"/>
            <rFont val="Tahoma"/>
            <family val="2"/>
          </rPr>
          <t>Gavin Mudd:</t>
        </r>
        <r>
          <rPr>
            <sz val="9"/>
            <color indexed="81"/>
            <rFont val="Tahoma"/>
            <family val="2"/>
          </rPr>
          <t xml:space="preserve">
assumed</t>
        </r>
      </text>
    </comment>
    <comment ref="P97" authorId="0" shapeId="0" xr:uid="{AA238AD6-7FA2-41EA-924A-30DAB4905E4E}">
      <text>
        <r>
          <rPr>
            <b/>
            <sz val="9"/>
            <color indexed="81"/>
            <rFont val="Tahoma"/>
            <family val="2"/>
          </rPr>
          <t>Gavin Mudd:</t>
        </r>
        <r>
          <rPr>
            <sz val="9"/>
            <color indexed="81"/>
            <rFont val="Tahoma"/>
            <family val="2"/>
          </rPr>
          <t xml:space="preserve">
Tumbarumba</t>
        </r>
      </text>
    </comment>
    <comment ref="Q97" authorId="0" shapeId="0" xr:uid="{97718250-CF57-4913-86D0-710DE4AC6635}">
      <text>
        <r>
          <rPr>
            <b/>
            <sz val="9"/>
            <color indexed="81"/>
            <rFont val="Tahoma"/>
            <family val="2"/>
          </rPr>
          <t>Gavin Mudd:</t>
        </r>
        <r>
          <rPr>
            <sz val="9"/>
            <color indexed="81"/>
            <rFont val="Tahoma"/>
            <family val="2"/>
          </rPr>
          <t xml:space="preserve">
assumed</t>
        </r>
      </text>
    </comment>
    <comment ref="S97" authorId="0" shapeId="0" xr:uid="{ABB433DB-FD02-493B-8369-312BF99BBDCB}">
      <text>
        <r>
          <rPr>
            <b/>
            <sz val="9"/>
            <color indexed="81"/>
            <rFont val="Tahoma"/>
            <family val="2"/>
          </rPr>
          <t>Gavin Mudd:</t>
        </r>
        <r>
          <rPr>
            <sz val="9"/>
            <color indexed="81"/>
            <rFont val="Tahoma"/>
            <family val="2"/>
          </rPr>
          <t xml:space="preserve">
assumed</t>
        </r>
      </text>
    </comment>
    <comment ref="U97" authorId="0" shapeId="0" xr:uid="{FDCE96CA-6A12-4F04-9E76-B93D1BEF039D}">
      <text>
        <r>
          <rPr>
            <b/>
            <sz val="9"/>
            <color indexed="81"/>
            <rFont val="Tahoma"/>
            <family val="2"/>
          </rPr>
          <t>Gavin Mudd:</t>
        </r>
        <r>
          <rPr>
            <sz val="9"/>
            <color indexed="81"/>
            <rFont val="Tahoma"/>
            <family val="2"/>
          </rPr>
          <t xml:space="preserve">
assumed</t>
        </r>
      </text>
    </comment>
    <comment ref="W97" authorId="0" shapeId="0" xr:uid="{0EE8E7F1-816C-469F-9C59-BB3A4122A8ED}">
      <text>
        <r>
          <rPr>
            <b/>
            <sz val="9"/>
            <color indexed="81"/>
            <rFont val="Tahoma"/>
            <family val="2"/>
          </rPr>
          <t>Gavin Mudd:</t>
        </r>
        <r>
          <rPr>
            <sz val="9"/>
            <color indexed="81"/>
            <rFont val="Tahoma"/>
            <family val="2"/>
          </rPr>
          <t xml:space="preserve">
assumed</t>
        </r>
      </text>
    </comment>
    <comment ref="Y97" authorId="0" shapeId="0" xr:uid="{F081D093-BA5B-47CD-8B68-7FD0EB4FE8EB}">
      <text>
        <r>
          <rPr>
            <b/>
            <sz val="9"/>
            <color indexed="81"/>
            <rFont val="Tahoma"/>
            <family val="2"/>
          </rPr>
          <t>Gavin Mudd:</t>
        </r>
        <r>
          <rPr>
            <sz val="9"/>
            <color indexed="81"/>
            <rFont val="Tahoma"/>
            <family val="2"/>
          </rPr>
          <t xml:space="preserve">
assumed</t>
        </r>
      </text>
    </comment>
    <comment ref="AA97" authorId="0" shapeId="0" xr:uid="{B6BCFCD5-E412-4B6D-8F34-60C9E0B733C8}">
      <text>
        <r>
          <rPr>
            <b/>
            <sz val="9"/>
            <color indexed="81"/>
            <rFont val="Tahoma"/>
            <family val="2"/>
          </rPr>
          <t>Gavin Mudd:</t>
        </r>
        <r>
          <rPr>
            <sz val="9"/>
            <color indexed="81"/>
            <rFont val="Tahoma"/>
            <family val="2"/>
          </rPr>
          <t xml:space="preserve">
assumed</t>
        </r>
      </text>
    </comment>
    <comment ref="AG97" authorId="0" shapeId="0" xr:uid="{8BFA3173-55FD-4287-86C6-19369C6AD017}">
      <text>
        <r>
          <rPr>
            <b/>
            <sz val="9"/>
            <color indexed="81"/>
            <rFont val="Tahoma"/>
            <family val="2"/>
          </rPr>
          <t>Gavin Mudd:</t>
        </r>
        <r>
          <rPr>
            <sz val="9"/>
            <color indexed="81"/>
            <rFont val="Tahoma"/>
            <family val="2"/>
          </rPr>
          <t xml:space="preserve">
assumed</t>
        </r>
      </text>
    </comment>
    <comment ref="AK97" authorId="0" shapeId="0" xr:uid="{D8990C2D-2C83-41CD-8796-89221605CFF6}">
      <text>
        <r>
          <rPr>
            <b/>
            <sz val="9"/>
            <color indexed="81"/>
            <rFont val="Tahoma"/>
            <family val="2"/>
          </rPr>
          <t>Gavin Mudd:</t>
        </r>
        <r>
          <rPr>
            <sz val="9"/>
            <color indexed="81"/>
            <rFont val="Tahoma"/>
            <family val="2"/>
          </rPr>
          <t xml:space="preserve">
assumed</t>
        </r>
      </text>
    </comment>
    <comment ref="AM97" authorId="0" shapeId="0" xr:uid="{99C50351-A4FE-413F-89BB-2D5FD6C6F88F}">
      <text>
        <r>
          <rPr>
            <b/>
            <sz val="9"/>
            <color indexed="81"/>
            <rFont val="Tahoma"/>
            <family val="2"/>
          </rPr>
          <t>Gavin Mudd:</t>
        </r>
        <r>
          <rPr>
            <sz val="9"/>
            <color indexed="81"/>
            <rFont val="Tahoma"/>
            <family val="2"/>
          </rPr>
          <t xml:space="preserve">
assumed</t>
        </r>
      </text>
    </comment>
    <comment ref="AO97" authorId="0" shapeId="0" xr:uid="{21A4C5EA-18B7-46F7-9C06-36F2576B538C}">
      <text>
        <r>
          <rPr>
            <b/>
            <sz val="9"/>
            <color indexed="81"/>
            <rFont val="Tahoma"/>
            <family val="2"/>
          </rPr>
          <t>Gavin Mudd:</t>
        </r>
        <r>
          <rPr>
            <sz val="9"/>
            <color indexed="81"/>
            <rFont val="Tahoma"/>
            <family val="2"/>
          </rPr>
          <t xml:space="preserve">
assumed</t>
        </r>
      </text>
    </comment>
    <comment ref="AU97" authorId="0" shapeId="0" xr:uid="{16F1EAB0-4DF8-4C76-AA02-9A38CF375B53}">
      <text>
        <r>
          <rPr>
            <b/>
            <sz val="9"/>
            <color indexed="81"/>
            <rFont val="Tahoma"/>
            <family val="2"/>
          </rPr>
          <t>Gavin Mudd:</t>
        </r>
        <r>
          <rPr>
            <sz val="9"/>
            <color indexed="81"/>
            <rFont val="Tahoma"/>
            <family val="2"/>
          </rPr>
          <t xml:space="preserve">
assumed</t>
        </r>
      </text>
    </comment>
    <comment ref="BA97" authorId="0" shapeId="0" xr:uid="{616CC508-91E5-4AAC-8033-0FF3A6C0B6BD}">
      <text>
        <r>
          <rPr>
            <b/>
            <sz val="9"/>
            <color indexed="81"/>
            <rFont val="Tahoma"/>
            <family val="2"/>
          </rPr>
          <t>Gavin Mudd:</t>
        </r>
        <r>
          <rPr>
            <sz val="9"/>
            <color indexed="81"/>
            <rFont val="Tahoma"/>
            <family val="2"/>
          </rPr>
          <t xml:space="preserve">
assumed</t>
        </r>
      </text>
    </comment>
    <comment ref="BB97" authorId="0" shapeId="0" xr:uid="{5258C337-5E26-41F2-9E3C-2E39C5807998}">
      <text>
        <r>
          <rPr>
            <b/>
            <sz val="9"/>
            <color indexed="81"/>
            <rFont val="Tahoma"/>
            <family val="2"/>
          </rPr>
          <t>Gavin Mudd:</t>
        </r>
        <r>
          <rPr>
            <sz val="9"/>
            <color indexed="81"/>
            <rFont val="Tahoma"/>
            <family val="2"/>
          </rPr>
          <t xml:space="preserve">
assumed</t>
        </r>
      </text>
    </comment>
    <comment ref="CD97" authorId="0" shapeId="0" xr:uid="{3829A880-09D7-4D04-ACE1-23FA9E07E46F}">
      <text>
        <r>
          <rPr>
            <b/>
            <sz val="9"/>
            <color indexed="81"/>
            <rFont val="Tahoma"/>
            <family val="2"/>
          </rPr>
          <t>Gavin Mudd:</t>
        </r>
        <r>
          <rPr>
            <sz val="9"/>
            <color indexed="81"/>
            <rFont val="Tahoma"/>
            <family val="2"/>
          </rPr>
          <t xml:space="preserve">
assumed</t>
        </r>
      </text>
    </comment>
    <comment ref="CE97" authorId="0" shapeId="0" xr:uid="{83255939-FF1B-43D1-81ED-997B3057DBE0}">
      <text>
        <r>
          <rPr>
            <b/>
            <sz val="9"/>
            <color indexed="81"/>
            <rFont val="Tahoma"/>
            <family val="2"/>
          </rPr>
          <t>Gavin Mudd:</t>
        </r>
        <r>
          <rPr>
            <sz val="9"/>
            <color indexed="81"/>
            <rFont val="Tahoma"/>
            <family val="2"/>
          </rPr>
          <t xml:space="preserve">
assumed</t>
        </r>
      </text>
    </comment>
    <comment ref="CJ97" authorId="0" shapeId="0" xr:uid="{9BBD5A2F-F78A-4144-BB25-96DD52C27E3B}">
      <text>
        <r>
          <rPr>
            <b/>
            <sz val="9"/>
            <color indexed="81"/>
            <rFont val="Tahoma"/>
            <family val="2"/>
          </rPr>
          <t>Gavin Mudd:</t>
        </r>
        <r>
          <rPr>
            <sz val="9"/>
            <color indexed="81"/>
            <rFont val="Tahoma"/>
            <family val="2"/>
          </rPr>
          <t xml:space="preserve">
assumed</t>
        </r>
      </text>
    </comment>
    <comment ref="CK97" authorId="0" shapeId="0" xr:uid="{B4B11472-EA87-41A4-BC6A-CBC388199ECB}">
      <text>
        <r>
          <rPr>
            <b/>
            <sz val="9"/>
            <color indexed="81"/>
            <rFont val="Tahoma"/>
            <family val="2"/>
          </rPr>
          <t>Gavin Mudd:</t>
        </r>
        <r>
          <rPr>
            <sz val="9"/>
            <color indexed="81"/>
            <rFont val="Tahoma"/>
            <family val="2"/>
          </rPr>
          <t xml:space="preserve">
assumed</t>
        </r>
      </text>
    </comment>
    <comment ref="CO97" authorId="0" shapeId="0" xr:uid="{924D0687-5DBA-4E93-81F6-41A60AC83B58}">
      <text>
        <r>
          <rPr>
            <b/>
            <sz val="9"/>
            <color indexed="81"/>
            <rFont val="Tahoma"/>
            <family val="2"/>
          </rPr>
          <t>Gavin Mudd:</t>
        </r>
        <r>
          <rPr>
            <sz val="9"/>
            <color indexed="81"/>
            <rFont val="Tahoma"/>
            <family val="2"/>
          </rPr>
          <t xml:space="preserve">
assumed</t>
        </r>
      </text>
    </comment>
    <comment ref="CP97" authorId="0" shapeId="0" xr:uid="{3733BF8A-ECA8-480A-BAE4-D001C2D41AB2}">
      <text>
        <r>
          <rPr>
            <b/>
            <sz val="9"/>
            <color indexed="81"/>
            <rFont val="Tahoma"/>
            <family val="2"/>
          </rPr>
          <t>Gavin Mudd:</t>
        </r>
        <r>
          <rPr>
            <sz val="9"/>
            <color indexed="81"/>
            <rFont val="Tahoma"/>
            <family val="2"/>
          </rPr>
          <t xml:space="preserve">
assumed</t>
        </r>
      </text>
    </comment>
    <comment ref="CT97" authorId="0" shapeId="0" xr:uid="{5B546764-93B7-491A-8E3F-53949EBF778E}">
      <text>
        <r>
          <rPr>
            <b/>
            <sz val="9"/>
            <color indexed="81"/>
            <rFont val="Tahoma"/>
            <family val="2"/>
          </rPr>
          <t>Gavin Mudd:</t>
        </r>
        <r>
          <rPr>
            <sz val="9"/>
            <color indexed="81"/>
            <rFont val="Tahoma"/>
            <family val="2"/>
          </rPr>
          <t xml:space="preserve">
assumed</t>
        </r>
      </text>
    </comment>
    <comment ref="CU97" authorId="0" shapeId="0" xr:uid="{0D23A12F-C8D2-45E8-93CE-30B1AB9D2D77}">
      <text>
        <r>
          <rPr>
            <b/>
            <sz val="9"/>
            <color indexed="81"/>
            <rFont val="Tahoma"/>
            <family val="2"/>
          </rPr>
          <t>Gavin Mudd:</t>
        </r>
        <r>
          <rPr>
            <sz val="9"/>
            <color indexed="81"/>
            <rFont val="Tahoma"/>
            <family val="2"/>
          </rPr>
          <t xml:space="preserve">
assumed</t>
        </r>
      </text>
    </comment>
    <comment ref="DL97" authorId="0" shapeId="0" xr:uid="{B4B6357F-4C97-4F81-9C37-7393E2564370}">
      <text>
        <r>
          <rPr>
            <b/>
            <sz val="9"/>
            <color indexed="81"/>
            <rFont val="Tahoma"/>
            <family val="2"/>
          </rPr>
          <t>Gavin Mudd:</t>
        </r>
        <r>
          <rPr>
            <sz val="9"/>
            <color indexed="81"/>
            <rFont val="Tahoma"/>
            <family val="2"/>
          </rPr>
          <t xml:space="preserve">
assumed</t>
        </r>
      </text>
    </comment>
    <comment ref="DM97" authorId="0" shapeId="0" xr:uid="{48BFD65A-9295-4464-9242-8A916D1C8E83}">
      <text>
        <r>
          <rPr>
            <b/>
            <sz val="9"/>
            <color indexed="81"/>
            <rFont val="Tahoma"/>
            <family val="2"/>
          </rPr>
          <t>Gavin Mudd:</t>
        </r>
        <r>
          <rPr>
            <sz val="9"/>
            <color indexed="81"/>
            <rFont val="Tahoma"/>
            <family val="2"/>
          </rPr>
          <t xml:space="preserve">
assumed</t>
        </r>
      </text>
    </comment>
    <comment ref="B98" authorId="0" shapeId="0" xr:uid="{6AB6E471-9404-4588-8593-3C04D6C50D28}">
      <text>
        <r>
          <rPr>
            <b/>
            <sz val="9"/>
            <color indexed="81"/>
            <rFont val="Tahoma"/>
            <family val="2"/>
          </rPr>
          <t>Gavin Mudd:</t>
        </r>
        <r>
          <rPr>
            <sz val="9"/>
            <color indexed="81"/>
            <rFont val="Tahoma"/>
            <family val="2"/>
          </rPr>
          <t xml:space="preserve">
West Wyalong</t>
        </r>
      </text>
    </comment>
    <comment ref="C98" authorId="0" shapeId="0" xr:uid="{C98CA339-DB16-4279-BA84-26872F542E62}">
      <text>
        <r>
          <rPr>
            <b/>
            <sz val="9"/>
            <color indexed="81"/>
            <rFont val="Tahoma"/>
            <family val="2"/>
          </rPr>
          <t>Gavin Mudd:</t>
        </r>
        <r>
          <rPr>
            <sz val="9"/>
            <color indexed="81"/>
            <rFont val="Tahoma"/>
            <family val="2"/>
          </rPr>
          <t xml:space="preserve">
assumed</t>
        </r>
      </text>
    </comment>
    <comment ref="P98" authorId="0" shapeId="0" xr:uid="{0662E73F-CA44-4023-8F16-E989FFE0D759}">
      <text>
        <r>
          <rPr>
            <b/>
            <sz val="9"/>
            <color indexed="81"/>
            <rFont val="Tahoma"/>
            <family val="2"/>
          </rPr>
          <t>Gavin Mudd:</t>
        </r>
        <r>
          <rPr>
            <sz val="9"/>
            <color indexed="81"/>
            <rFont val="Tahoma"/>
            <family val="2"/>
          </rPr>
          <t xml:space="preserve">
Tumbarumba</t>
        </r>
      </text>
    </comment>
    <comment ref="Q98" authorId="0" shapeId="0" xr:uid="{09F5DCD7-DD8A-4F76-A34B-8F5B25FBDB1B}">
      <text>
        <r>
          <rPr>
            <b/>
            <sz val="9"/>
            <color indexed="81"/>
            <rFont val="Tahoma"/>
            <family val="2"/>
          </rPr>
          <t>Gavin Mudd:</t>
        </r>
        <r>
          <rPr>
            <sz val="9"/>
            <color indexed="81"/>
            <rFont val="Tahoma"/>
            <family val="2"/>
          </rPr>
          <t xml:space="preserve">
assumed</t>
        </r>
      </text>
    </comment>
    <comment ref="S98" authorId="0" shapeId="0" xr:uid="{083F9E44-B294-4C3B-8CA8-9C5F76EED7CE}">
      <text>
        <r>
          <rPr>
            <b/>
            <sz val="9"/>
            <color indexed="81"/>
            <rFont val="Tahoma"/>
            <family val="2"/>
          </rPr>
          <t>Gavin Mudd:</t>
        </r>
        <r>
          <rPr>
            <sz val="9"/>
            <color indexed="81"/>
            <rFont val="Tahoma"/>
            <family val="2"/>
          </rPr>
          <t xml:space="preserve">
assumed</t>
        </r>
      </text>
    </comment>
    <comment ref="U98" authorId="0" shapeId="0" xr:uid="{097C22AE-E6CD-4BB4-840A-51B1A649B935}">
      <text>
        <r>
          <rPr>
            <b/>
            <sz val="9"/>
            <color indexed="81"/>
            <rFont val="Tahoma"/>
            <family val="2"/>
          </rPr>
          <t>Gavin Mudd:</t>
        </r>
        <r>
          <rPr>
            <sz val="9"/>
            <color indexed="81"/>
            <rFont val="Tahoma"/>
            <family val="2"/>
          </rPr>
          <t xml:space="preserve">
assumed</t>
        </r>
      </text>
    </comment>
    <comment ref="W98" authorId="0" shapeId="0" xr:uid="{46CD37C6-1165-448B-9D9E-40668E098636}">
      <text>
        <r>
          <rPr>
            <b/>
            <sz val="9"/>
            <color indexed="81"/>
            <rFont val="Tahoma"/>
            <family val="2"/>
          </rPr>
          <t>Gavin Mudd:</t>
        </r>
        <r>
          <rPr>
            <sz val="9"/>
            <color indexed="81"/>
            <rFont val="Tahoma"/>
            <family val="2"/>
          </rPr>
          <t xml:space="preserve">
assumed</t>
        </r>
      </text>
    </comment>
    <comment ref="Y98" authorId="0" shapeId="0" xr:uid="{478F9BB4-CAE3-481E-954B-4A1EAE2C46D7}">
      <text>
        <r>
          <rPr>
            <b/>
            <sz val="9"/>
            <color indexed="81"/>
            <rFont val="Tahoma"/>
            <family val="2"/>
          </rPr>
          <t>Gavin Mudd:</t>
        </r>
        <r>
          <rPr>
            <sz val="9"/>
            <color indexed="81"/>
            <rFont val="Tahoma"/>
            <family val="2"/>
          </rPr>
          <t xml:space="preserve">
assumed</t>
        </r>
      </text>
    </comment>
    <comment ref="AA98" authorId="0" shapeId="0" xr:uid="{B6EC0A18-C17E-4ED8-A4E5-6ADF77512A91}">
      <text>
        <r>
          <rPr>
            <b/>
            <sz val="9"/>
            <color indexed="81"/>
            <rFont val="Tahoma"/>
            <family val="2"/>
          </rPr>
          <t>Gavin Mudd:</t>
        </r>
        <r>
          <rPr>
            <sz val="9"/>
            <color indexed="81"/>
            <rFont val="Tahoma"/>
            <family val="2"/>
          </rPr>
          <t xml:space="preserve">
assumed</t>
        </r>
      </text>
    </comment>
    <comment ref="AG98" authorId="0" shapeId="0" xr:uid="{4B7CF3B5-DDFB-4D97-AD13-4D543BD0563B}">
      <text>
        <r>
          <rPr>
            <b/>
            <sz val="9"/>
            <color indexed="81"/>
            <rFont val="Tahoma"/>
            <family val="2"/>
          </rPr>
          <t>Gavin Mudd:</t>
        </r>
        <r>
          <rPr>
            <sz val="9"/>
            <color indexed="81"/>
            <rFont val="Tahoma"/>
            <family val="2"/>
          </rPr>
          <t xml:space="preserve">
assumed</t>
        </r>
      </text>
    </comment>
    <comment ref="AK98" authorId="0" shapeId="0" xr:uid="{9ABBDE9A-0D5D-466F-9F2E-71D26E5290B6}">
      <text>
        <r>
          <rPr>
            <b/>
            <sz val="9"/>
            <color indexed="81"/>
            <rFont val="Tahoma"/>
            <family val="2"/>
          </rPr>
          <t>Gavin Mudd:</t>
        </r>
        <r>
          <rPr>
            <sz val="9"/>
            <color indexed="81"/>
            <rFont val="Tahoma"/>
            <family val="2"/>
          </rPr>
          <t xml:space="preserve">
assumed</t>
        </r>
      </text>
    </comment>
    <comment ref="AM98" authorId="0" shapeId="0" xr:uid="{AA406A68-BE66-4FFB-8816-BE744ABBB1ED}">
      <text>
        <r>
          <rPr>
            <b/>
            <sz val="9"/>
            <color indexed="81"/>
            <rFont val="Tahoma"/>
            <family val="2"/>
          </rPr>
          <t>Gavin Mudd:</t>
        </r>
        <r>
          <rPr>
            <sz val="9"/>
            <color indexed="81"/>
            <rFont val="Tahoma"/>
            <family val="2"/>
          </rPr>
          <t xml:space="preserve">
assumed</t>
        </r>
      </text>
    </comment>
    <comment ref="AO98" authorId="0" shapeId="0" xr:uid="{DC326C8C-2D3A-478B-8E48-CAFBBE615314}">
      <text>
        <r>
          <rPr>
            <b/>
            <sz val="9"/>
            <color indexed="81"/>
            <rFont val="Tahoma"/>
            <family val="2"/>
          </rPr>
          <t>Gavin Mudd:</t>
        </r>
        <r>
          <rPr>
            <sz val="9"/>
            <color indexed="81"/>
            <rFont val="Tahoma"/>
            <family val="2"/>
          </rPr>
          <t xml:space="preserve">
assumed</t>
        </r>
      </text>
    </comment>
    <comment ref="AU98" authorId="0" shapeId="0" xr:uid="{2D0FCC9A-E0C5-41F7-B72B-3AFA1A7DD5D2}">
      <text>
        <r>
          <rPr>
            <b/>
            <sz val="9"/>
            <color indexed="81"/>
            <rFont val="Tahoma"/>
            <family val="2"/>
          </rPr>
          <t>Gavin Mudd:</t>
        </r>
        <r>
          <rPr>
            <sz val="9"/>
            <color indexed="81"/>
            <rFont val="Tahoma"/>
            <family val="2"/>
          </rPr>
          <t xml:space="preserve">
assumed</t>
        </r>
      </text>
    </comment>
    <comment ref="BA98" authorId="0" shapeId="0" xr:uid="{AC98AB0B-D9B4-4035-9293-3BAC8A93F307}">
      <text>
        <r>
          <rPr>
            <b/>
            <sz val="9"/>
            <color indexed="81"/>
            <rFont val="Tahoma"/>
            <family val="2"/>
          </rPr>
          <t>Gavin Mudd:</t>
        </r>
        <r>
          <rPr>
            <sz val="9"/>
            <color indexed="81"/>
            <rFont val="Tahoma"/>
            <family val="2"/>
          </rPr>
          <t xml:space="preserve">
assumed</t>
        </r>
      </text>
    </comment>
    <comment ref="BB98" authorId="0" shapeId="0" xr:uid="{9ACE4BF3-B970-4C55-AF3D-E12392BA3842}">
      <text>
        <r>
          <rPr>
            <b/>
            <sz val="9"/>
            <color indexed="81"/>
            <rFont val="Tahoma"/>
            <family val="2"/>
          </rPr>
          <t>Gavin Mudd:</t>
        </r>
        <r>
          <rPr>
            <sz val="9"/>
            <color indexed="81"/>
            <rFont val="Tahoma"/>
            <family val="2"/>
          </rPr>
          <t xml:space="preserve">
assumed</t>
        </r>
      </text>
    </comment>
    <comment ref="CD98" authorId="0" shapeId="0" xr:uid="{A8F403FD-3A4A-44B2-AF22-92ABA658635D}">
      <text>
        <r>
          <rPr>
            <b/>
            <sz val="9"/>
            <color indexed="81"/>
            <rFont val="Tahoma"/>
            <family val="2"/>
          </rPr>
          <t>Gavin Mudd:</t>
        </r>
        <r>
          <rPr>
            <sz val="9"/>
            <color indexed="81"/>
            <rFont val="Tahoma"/>
            <family val="2"/>
          </rPr>
          <t xml:space="preserve">
assumed</t>
        </r>
      </text>
    </comment>
    <comment ref="CE98" authorId="0" shapeId="0" xr:uid="{82A1B08B-76D8-4F67-8DAC-BBF945AB80C7}">
      <text>
        <r>
          <rPr>
            <b/>
            <sz val="9"/>
            <color indexed="81"/>
            <rFont val="Tahoma"/>
            <family val="2"/>
          </rPr>
          <t>Gavin Mudd:</t>
        </r>
        <r>
          <rPr>
            <sz val="9"/>
            <color indexed="81"/>
            <rFont val="Tahoma"/>
            <family val="2"/>
          </rPr>
          <t xml:space="preserve">
assumed</t>
        </r>
      </text>
    </comment>
    <comment ref="CJ98" authorId="0" shapeId="0" xr:uid="{E427D049-D6A7-4486-A53B-327872042DF1}">
      <text>
        <r>
          <rPr>
            <b/>
            <sz val="9"/>
            <color indexed="81"/>
            <rFont val="Tahoma"/>
            <family val="2"/>
          </rPr>
          <t>Gavin Mudd:</t>
        </r>
        <r>
          <rPr>
            <sz val="9"/>
            <color indexed="81"/>
            <rFont val="Tahoma"/>
            <family val="2"/>
          </rPr>
          <t xml:space="preserve">
assumed</t>
        </r>
      </text>
    </comment>
    <comment ref="CK98" authorId="0" shapeId="0" xr:uid="{B2BB9FBD-3057-4EA5-A725-8756AB72EB5A}">
      <text>
        <r>
          <rPr>
            <b/>
            <sz val="9"/>
            <color indexed="81"/>
            <rFont val="Tahoma"/>
            <family val="2"/>
          </rPr>
          <t>Gavin Mudd:</t>
        </r>
        <r>
          <rPr>
            <sz val="9"/>
            <color indexed="81"/>
            <rFont val="Tahoma"/>
            <family val="2"/>
          </rPr>
          <t xml:space="preserve">
assumed</t>
        </r>
      </text>
    </comment>
    <comment ref="CO98" authorId="0" shapeId="0" xr:uid="{443CA3F1-0ED6-4E04-B560-A98E2ED49948}">
      <text>
        <r>
          <rPr>
            <b/>
            <sz val="9"/>
            <color indexed="81"/>
            <rFont val="Tahoma"/>
            <family val="2"/>
          </rPr>
          <t>Gavin Mudd:</t>
        </r>
        <r>
          <rPr>
            <sz val="9"/>
            <color indexed="81"/>
            <rFont val="Tahoma"/>
            <family val="2"/>
          </rPr>
          <t xml:space="preserve">
assumed</t>
        </r>
      </text>
    </comment>
    <comment ref="CP98" authorId="0" shapeId="0" xr:uid="{10DA7A36-C508-422C-85D7-D973F4BE13C4}">
      <text>
        <r>
          <rPr>
            <b/>
            <sz val="9"/>
            <color indexed="81"/>
            <rFont val="Tahoma"/>
            <family val="2"/>
          </rPr>
          <t>Gavin Mudd:</t>
        </r>
        <r>
          <rPr>
            <sz val="9"/>
            <color indexed="81"/>
            <rFont val="Tahoma"/>
            <family val="2"/>
          </rPr>
          <t xml:space="preserve">
assumed</t>
        </r>
      </text>
    </comment>
    <comment ref="DL98" authorId="0" shapeId="0" xr:uid="{F9F87F58-5575-4674-98DD-448C4A20F818}">
      <text>
        <r>
          <rPr>
            <b/>
            <sz val="9"/>
            <color indexed="81"/>
            <rFont val="Tahoma"/>
            <family val="2"/>
          </rPr>
          <t>Gavin Mudd:</t>
        </r>
        <r>
          <rPr>
            <sz val="9"/>
            <color indexed="81"/>
            <rFont val="Tahoma"/>
            <family val="2"/>
          </rPr>
          <t xml:space="preserve">
assumed</t>
        </r>
      </text>
    </comment>
    <comment ref="DM98" authorId="0" shapeId="0" xr:uid="{9F7D69D5-2B39-4A4E-8447-308B7F90A529}">
      <text>
        <r>
          <rPr>
            <b/>
            <sz val="9"/>
            <color indexed="81"/>
            <rFont val="Tahoma"/>
            <family val="2"/>
          </rPr>
          <t>Gavin Mudd:</t>
        </r>
        <r>
          <rPr>
            <sz val="9"/>
            <color indexed="81"/>
            <rFont val="Tahoma"/>
            <family val="2"/>
          </rPr>
          <t xml:space="preserve">
assumed</t>
        </r>
      </text>
    </comment>
    <comment ref="B99" authorId="0" shapeId="0" xr:uid="{010D1D50-C118-4482-B285-E8473B4CB781}">
      <text>
        <r>
          <rPr>
            <b/>
            <sz val="9"/>
            <color indexed="81"/>
            <rFont val="Tahoma"/>
            <family val="2"/>
          </rPr>
          <t>Gavin Mudd:</t>
        </r>
        <r>
          <rPr>
            <sz val="9"/>
            <color indexed="81"/>
            <rFont val="Tahoma"/>
            <family val="2"/>
          </rPr>
          <t xml:space="preserve">
West Wyalong</t>
        </r>
      </text>
    </comment>
    <comment ref="C99" authorId="0" shapeId="0" xr:uid="{C595D8C7-3DAC-4CC5-BEB3-6D5A184785CB}">
      <text>
        <r>
          <rPr>
            <b/>
            <sz val="9"/>
            <color indexed="81"/>
            <rFont val="Tahoma"/>
            <family val="2"/>
          </rPr>
          <t>Gavin Mudd:</t>
        </r>
        <r>
          <rPr>
            <sz val="9"/>
            <color indexed="81"/>
            <rFont val="Tahoma"/>
            <family val="2"/>
          </rPr>
          <t xml:space="preserve">
assumed</t>
        </r>
      </text>
    </comment>
    <comment ref="Q99" authorId="0" shapeId="0" xr:uid="{45FA5562-94CE-4B8F-8A69-9598C07512AB}">
      <text>
        <r>
          <rPr>
            <b/>
            <sz val="9"/>
            <color indexed="81"/>
            <rFont val="Tahoma"/>
            <family val="2"/>
          </rPr>
          <t>Gavin Mudd:</t>
        </r>
        <r>
          <rPr>
            <sz val="9"/>
            <color indexed="81"/>
            <rFont val="Tahoma"/>
            <family val="2"/>
          </rPr>
          <t xml:space="preserve">
assumed</t>
        </r>
      </text>
    </comment>
    <comment ref="S99" authorId="0" shapeId="0" xr:uid="{590F2B24-AC32-4AA0-915C-6396C514A0B1}">
      <text>
        <r>
          <rPr>
            <b/>
            <sz val="9"/>
            <color indexed="81"/>
            <rFont val="Tahoma"/>
            <family val="2"/>
          </rPr>
          <t>Gavin Mudd:</t>
        </r>
        <r>
          <rPr>
            <sz val="9"/>
            <color indexed="81"/>
            <rFont val="Tahoma"/>
            <family val="2"/>
          </rPr>
          <t xml:space="preserve">
assumed</t>
        </r>
      </text>
    </comment>
    <comment ref="W99" authorId="0" shapeId="0" xr:uid="{04E501BE-2A48-47D9-8A41-F35CDB9E340B}">
      <text>
        <r>
          <rPr>
            <b/>
            <sz val="9"/>
            <color indexed="81"/>
            <rFont val="Tahoma"/>
            <family val="2"/>
          </rPr>
          <t>Gavin Mudd:</t>
        </r>
        <r>
          <rPr>
            <sz val="9"/>
            <color indexed="81"/>
            <rFont val="Tahoma"/>
            <family val="2"/>
          </rPr>
          <t xml:space="preserve">
assumed</t>
        </r>
      </text>
    </comment>
    <comment ref="Y99" authorId="0" shapeId="0" xr:uid="{01F37041-A8CC-4106-9756-88AE807A2FED}">
      <text>
        <r>
          <rPr>
            <b/>
            <sz val="9"/>
            <color indexed="81"/>
            <rFont val="Tahoma"/>
            <family val="2"/>
          </rPr>
          <t>Gavin Mudd:</t>
        </r>
        <r>
          <rPr>
            <sz val="9"/>
            <color indexed="81"/>
            <rFont val="Tahoma"/>
            <family val="2"/>
          </rPr>
          <t xml:space="preserve">
assumed</t>
        </r>
      </text>
    </comment>
    <comment ref="AA99" authorId="0" shapeId="0" xr:uid="{66202DBF-C12D-4A33-8341-EB24205A98CE}">
      <text>
        <r>
          <rPr>
            <b/>
            <sz val="9"/>
            <color indexed="81"/>
            <rFont val="Tahoma"/>
            <family val="2"/>
          </rPr>
          <t>Gavin Mudd:</t>
        </r>
        <r>
          <rPr>
            <sz val="9"/>
            <color indexed="81"/>
            <rFont val="Tahoma"/>
            <family val="2"/>
          </rPr>
          <t xml:space="preserve">
assumed</t>
        </r>
      </text>
    </comment>
    <comment ref="AG99" authorId="0" shapeId="0" xr:uid="{996D07E1-0DF9-4EEB-BF98-B9C3EA935E58}">
      <text>
        <r>
          <rPr>
            <b/>
            <sz val="9"/>
            <color indexed="81"/>
            <rFont val="Tahoma"/>
            <family val="2"/>
          </rPr>
          <t>Gavin Mudd:</t>
        </r>
        <r>
          <rPr>
            <sz val="9"/>
            <color indexed="81"/>
            <rFont val="Tahoma"/>
            <family val="2"/>
          </rPr>
          <t xml:space="preserve">
assumed</t>
        </r>
      </text>
    </comment>
    <comment ref="AK99" authorId="0" shapeId="0" xr:uid="{EAAD2FDB-A51E-4A4C-B507-8B4FC9C9FFBC}">
      <text>
        <r>
          <rPr>
            <b/>
            <sz val="9"/>
            <color indexed="81"/>
            <rFont val="Tahoma"/>
            <family val="2"/>
          </rPr>
          <t>Gavin Mudd:</t>
        </r>
        <r>
          <rPr>
            <sz val="9"/>
            <color indexed="81"/>
            <rFont val="Tahoma"/>
            <family val="2"/>
          </rPr>
          <t xml:space="preserve">
assumed</t>
        </r>
      </text>
    </comment>
    <comment ref="AM99" authorId="0" shapeId="0" xr:uid="{BF37368E-5F1F-475E-B571-D81B0D125F81}">
      <text>
        <r>
          <rPr>
            <b/>
            <sz val="9"/>
            <color indexed="81"/>
            <rFont val="Tahoma"/>
            <family val="2"/>
          </rPr>
          <t>Gavin Mudd:</t>
        </r>
        <r>
          <rPr>
            <sz val="9"/>
            <color indexed="81"/>
            <rFont val="Tahoma"/>
            <family val="2"/>
          </rPr>
          <t xml:space="preserve">
assumed</t>
        </r>
      </text>
    </comment>
    <comment ref="AO99" authorId="0" shapeId="0" xr:uid="{79DBDA01-A953-46F2-B69E-59EC02FF7F73}">
      <text>
        <r>
          <rPr>
            <b/>
            <sz val="9"/>
            <color indexed="81"/>
            <rFont val="Tahoma"/>
            <family val="2"/>
          </rPr>
          <t>Gavin Mudd:</t>
        </r>
        <r>
          <rPr>
            <sz val="9"/>
            <color indexed="81"/>
            <rFont val="Tahoma"/>
            <family val="2"/>
          </rPr>
          <t xml:space="preserve">
assumed</t>
        </r>
      </text>
    </comment>
    <comment ref="AU99" authorId="0" shapeId="0" xr:uid="{8495A0A2-EB26-4557-A21E-1FC2E35A9DA3}">
      <text>
        <r>
          <rPr>
            <b/>
            <sz val="9"/>
            <color indexed="81"/>
            <rFont val="Tahoma"/>
            <family val="2"/>
          </rPr>
          <t>Gavin Mudd:</t>
        </r>
        <r>
          <rPr>
            <sz val="9"/>
            <color indexed="81"/>
            <rFont val="Tahoma"/>
            <family val="2"/>
          </rPr>
          <t xml:space="preserve">
assumed</t>
        </r>
      </text>
    </comment>
    <comment ref="BA99" authorId="0" shapeId="0" xr:uid="{9E7DCCAB-DCBC-4CED-B778-7C6B76444AD0}">
      <text>
        <r>
          <rPr>
            <b/>
            <sz val="9"/>
            <color indexed="81"/>
            <rFont val="Tahoma"/>
            <family val="2"/>
          </rPr>
          <t>Gavin Mudd:</t>
        </r>
        <r>
          <rPr>
            <sz val="9"/>
            <color indexed="81"/>
            <rFont val="Tahoma"/>
            <family val="2"/>
          </rPr>
          <t xml:space="preserve">
assumed</t>
        </r>
      </text>
    </comment>
    <comment ref="BB99" authorId="0" shapeId="0" xr:uid="{1220421A-9349-4DF1-8E3C-7706ADB9CC9D}">
      <text>
        <r>
          <rPr>
            <b/>
            <sz val="9"/>
            <color indexed="81"/>
            <rFont val="Tahoma"/>
            <family val="2"/>
          </rPr>
          <t>Gavin Mudd:</t>
        </r>
        <r>
          <rPr>
            <sz val="9"/>
            <color indexed="81"/>
            <rFont val="Tahoma"/>
            <family val="2"/>
          </rPr>
          <t xml:space="preserve">
assumed</t>
        </r>
      </text>
    </comment>
    <comment ref="CD99" authorId="0" shapeId="0" xr:uid="{41419564-C5B8-46A9-AB7E-BFBD250C45E3}">
      <text>
        <r>
          <rPr>
            <b/>
            <sz val="9"/>
            <color indexed="81"/>
            <rFont val="Tahoma"/>
            <family val="2"/>
          </rPr>
          <t>Gavin Mudd:</t>
        </r>
        <r>
          <rPr>
            <sz val="9"/>
            <color indexed="81"/>
            <rFont val="Tahoma"/>
            <family val="2"/>
          </rPr>
          <t xml:space="preserve">
assumed</t>
        </r>
      </text>
    </comment>
    <comment ref="CE99" authorId="0" shapeId="0" xr:uid="{3D00EC2D-FC69-400F-9D9B-12973FBC19D3}">
      <text>
        <r>
          <rPr>
            <b/>
            <sz val="9"/>
            <color indexed="81"/>
            <rFont val="Tahoma"/>
            <family val="2"/>
          </rPr>
          <t>Gavin Mudd:</t>
        </r>
        <r>
          <rPr>
            <sz val="9"/>
            <color indexed="81"/>
            <rFont val="Tahoma"/>
            <family val="2"/>
          </rPr>
          <t xml:space="preserve">
assumed</t>
        </r>
      </text>
    </comment>
    <comment ref="CJ99" authorId="0" shapeId="0" xr:uid="{E1D65370-9484-49CE-AB42-2E752FAB62D9}">
      <text>
        <r>
          <rPr>
            <b/>
            <sz val="9"/>
            <color indexed="81"/>
            <rFont val="Tahoma"/>
            <family val="2"/>
          </rPr>
          <t>Gavin Mudd:</t>
        </r>
        <r>
          <rPr>
            <sz val="9"/>
            <color indexed="81"/>
            <rFont val="Tahoma"/>
            <family val="2"/>
          </rPr>
          <t xml:space="preserve">
assumed</t>
        </r>
      </text>
    </comment>
    <comment ref="CK99" authorId="0" shapeId="0" xr:uid="{109172B0-628D-4009-AAC1-92EF2A2E0236}">
      <text>
        <r>
          <rPr>
            <b/>
            <sz val="9"/>
            <color indexed="81"/>
            <rFont val="Tahoma"/>
            <family val="2"/>
          </rPr>
          <t>Gavin Mudd:</t>
        </r>
        <r>
          <rPr>
            <sz val="9"/>
            <color indexed="81"/>
            <rFont val="Tahoma"/>
            <family val="2"/>
          </rPr>
          <t xml:space="preserve">
assumed</t>
        </r>
      </text>
    </comment>
    <comment ref="CO99" authorId="0" shapeId="0" xr:uid="{9BAB08D7-6469-41AC-B22E-7746399444CE}">
      <text>
        <r>
          <rPr>
            <b/>
            <sz val="9"/>
            <color indexed="81"/>
            <rFont val="Tahoma"/>
            <family val="2"/>
          </rPr>
          <t>Gavin Mudd:</t>
        </r>
        <r>
          <rPr>
            <sz val="9"/>
            <color indexed="81"/>
            <rFont val="Tahoma"/>
            <family val="2"/>
          </rPr>
          <t xml:space="preserve">
assumed</t>
        </r>
      </text>
    </comment>
    <comment ref="CP99" authorId="0" shapeId="0" xr:uid="{9A2F6817-75CD-4BDC-89CA-B2D7CFD1BE35}">
      <text>
        <r>
          <rPr>
            <b/>
            <sz val="9"/>
            <color indexed="81"/>
            <rFont val="Tahoma"/>
            <family val="2"/>
          </rPr>
          <t>Gavin Mudd:</t>
        </r>
        <r>
          <rPr>
            <sz val="9"/>
            <color indexed="81"/>
            <rFont val="Tahoma"/>
            <family val="2"/>
          </rPr>
          <t xml:space="preserve">
assumed</t>
        </r>
      </text>
    </comment>
    <comment ref="DL99" authorId="0" shapeId="0" xr:uid="{DFDFFE13-0C1E-4D18-A725-D6D870962127}">
      <text>
        <r>
          <rPr>
            <b/>
            <sz val="9"/>
            <color indexed="81"/>
            <rFont val="Tahoma"/>
            <family val="2"/>
          </rPr>
          <t>Gavin Mudd:</t>
        </r>
        <r>
          <rPr>
            <sz val="9"/>
            <color indexed="81"/>
            <rFont val="Tahoma"/>
            <family val="2"/>
          </rPr>
          <t xml:space="preserve">
assumed</t>
        </r>
      </text>
    </comment>
    <comment ref="DM99" authorId="0" shapeId="0" xr:uid="{03DF1F2A-B160-4164-AB90-26C92A50D92E}">
      <text>
        <r>
          <rPr>
            <b/>
            <sz val="9"/>
            <color indexed="81"/>
            <rFont val="Tahoma"/>
            <family val="2"/>
          </rPr>
          <t>Gavin Mudd:</t>
        </r>
        <r>
          <rPr>
            <sz val="9"/>
            <color indexed="81"/>
            <rFont val="Tahoma"/>
            <family val="2"/>
          </rPr>
          <t xml:space="preserve">
assumed</t>
        </r>
      </text>
    </comment>
    <comment ref="B100" authorId="0" shapeId="0" xr:uid="{31A681B4-3035-434C-A3CC-0CC77043E060}">
      <text>
        <r>
          <rPr>
            <b/>
            <sz val="9"/>
            <color indexed="81"/>
            <rFont val="Tahoma"/>
            <family val="2"/>
          </rPr>
          <t>Gavin Mudd:</t>
        </r>
        <r>
          <rPr>
            <sz val="9"/>
            <color indexed="81"/>
            <rFont val="Tahoma"/>
            <family val="2"/>
          </rPr>
          <t xml:space="preserve">
West Wyalong</t>
        </r>
      </text>
    </comment>
    <comment ref="C100" authorId="0" shapeId="0" xr:uid="{C0B66B8B-1D8B-41B2-A527-6550E621B85B}">
      <text>
        <r>
          <rPr>
            <b/>
            <sz val="9"/>
            <color indexed="81"/>
            <rFont val="Tahoma"/>
            <family val="2"/>
          </rPr>
          <t>Gavin Mudd:</t>
        </r>
        <r>
          <rPr>
            <sz val="9"/>
            <color indexed="81"/>
            <rFont val="Tahoma"/>
            <family val="2"/>
          </rPr>
          <t xml:space="preserve">
assumed</t>
        </r>
      </text>
    </comment>
    <comment ref="Q100" authorId="0" shapeId="0" xr:uid="{0DF859BD-E057-4543-BBE0-A68C71AB2277}">
      <text>
        <r>
          <rPr>
            <b/>
            <sz val="9"/>
            <color indexed="81"/>
            <rFont val="Tahoma"/>
            <family val="2"/>
          </rPr>
          <t>Gavin Mudd:</t>
        </r>
        <r>
          <rPr>
            <sz val="9"/>
            <color indexed="81"/>
            <rFont val="Tahoma"/>
            <family val="2"/>
          </rPr>
          <t xml:space="preserve">
assumed</t>
        </r>
      </text>
    </comment>
    <comment ref="S100" authorId="0" shapeId="0" xr:uid="{6DCB696B-DA41-4519-B423-9D65955A6FAF}">
      <text>
        <r>
          <rPr>
            <b/>
            <sz val="9"/>
            <color indexed="81"/>
            <rFont val="Tahoma"/>
            <family val="2"/>
          </rPr>
          <t>Gavin Mudd:</t>
        </r>
        <r>
          <rPr>
            <sz val="9"/>
            <color indexed="81"/>
            <rFont val="Tahoma"/>
            <family val="2"/>
          </rPr>
          <t xml:space="preserve">
assumed</t>
        </r>
      </text>
    </comment>
    <comment ref="U100" authorId="0" shapeId="0" xr:uid="{BE771870-07DF-44D4-B6CC-989CC2BB6BB5}">
      <text>
        <r>
          <rPr>
            <b/>
            <sz val="9"/>
            <color indexed="81"/>
            <rFont val="Tahoma"/>
            <family val="2"/>
          </rPr>
          <t>Gavin Mudd:</t>
        </r>
        <r>
          <rPr>
            <sz val="9"/>
            <color indexed="81"/>
            <rFont val="Tahoma"/>
            <family val="2"/>
          </rPr>
          <t xml:space="preserve">
assumed</t>
        </r>
      </text>
    </comment>
    <comment ref="W100" authorId="0" shapeId="0" xr:uid="{E5351420-0E43-4E2D-9E7B-0851D5EC6675}">
      <text>
        <r>
          <rPr>
            <b/>
            <sz val="9"/>
            <color indexed="81"/>
            <rFont val="Tahoma"/>
            <family val="2"/>
          </rPr>
          <t>Gavin Mudd:</t>
        </r>
        <r>
          <rPr>
            <sz val="9"/>
            <color indexed="81"/>
            <rFont val="Tahoma"/>
            <family val="2"/>
          </rPr>
          <t xml:space="preserve">
assumed</t>
        </r>
      </text>
    </comment>
    <comment ref="Y100" authorId="0" shapeId="0" xr:uid="{16C33DA5-B9EE-4BBD-88DA-2C21BC9E5BA2}">
      <text>
        <r>
          <rPr>
            <b/>
            <sz val="9"/>
            <color indexed="81"/>
            <rFont val="Tahoma"/>
            <family val="2"/>
          </rPr>
          <t>Gavin Mudd:</t>
        </r>
        <r>
          <rPr>
            <sz val="9"/>
            <color indexed="81"/>
            <rFont val="Tahoma"/>
            <family val="2"/>
          </rPr>
          <t xml:space="preserve">
assumed</t>
        </r>
      </text>
    </comment>
    <comment ref="AA100" authorId="0" shapeId="0" xr:uid="{EEB864E0-4CB1-40A8-83EB-0B5D6FF6F85A}">
      <text>
        <r>
          <rPr>
            <b/>
            <sz val="9"/>
            <color indexed="81"/>
            <rFont val="Tahoma"/>
            <family val="2"/>
          </rPr>
          <t>Gavin Mudd:</t>
        </r>
        <r>
          <rPr>
            <sz val="9"/>
            <color indexed="81"/>
            <rFont val="Tahoma"/>
            <family val="2"/>
          </rPr>
          <t xml:space="preserve">
assumed</t>
        </r>
      </text>
    </comment>
    <comment ref="AG100" authorId="0" shapeId="0" xr:uid="{1FAE5EC8-3CFA-4503-BF0A-3A6DE9B5AD7A}">
      <text>
        <r>
          <rPr>
            <b/>
            <sz val="9"/>
            <color indexed="81"/>
            <rFont val="Tahoma"/>
            <family val="2"/>
          </rPr>
          <t>Gavin Mudd:</t>
        </r>
        <r>
          <rPr>
            <sz val="9"/>
            <color indexed="81"/>
            <rFont val="Tahoma"/>
            <family val="2"/>
          </rPr>
          <t xml:space="preserve">
assumed</t>
        </r>
      </text>
    </comment>
    <comment ref="AK100" authorId="0" shapeId="0" xr:uid="{8A8748A3-83DE-4E21-85D5-4EBDB7EFD57C}">
      <text>
        <r>
          <rPr>
            <b/>
            <sz val="9"/>
            <color indexed="81"/>
            <rFont val="Tahoma"/>
            <family val="2"/>
          </rPr>
          <t>Gavin Mudd:</t>
        </r>
        <r>
          <rPr>
            <sz val="9"/>
            <color indexed="81"/>
            <rFont val="Tahoma"/>
            <family val="2"/>
          </rPr>
          <t xml:space="preserve">
assumed</t>
        </r>
      </text>
    </comment>
    <comment ref="AM100" authorId="0" shapeId="0" xr:uid="{51AB607B-0070-48C8-B1D1-34F42F5F9F9E}">
      <text>
        <r>
          <rPr>
            <b/>
            <sz val="9"/>
            <color indexed="81"/>
            <rFont val="Tahoma"/>
            <family val="2"/>
          </rPr>
          <t>Gavin Mudd:</t>
        </r>
        <r>
          <rPr>
            <sz val="9"/>
            <color indexed="81"/>
            <rFont val="Tahoma"/>
            <family val="2"/>
          </rPr>
          <t xml:space="preserve">
assumed</t>
        </r>
      </text>
    </comment>
    <comment ref="AO100" authorId="0" shapeId="0" xr:uid="{0996C6E2-2F2A-4D1D-B982-F0674ABAE8E5}">
      <text>
        <r>
          <rPr>
            <b/>
            <sz val="9"/>
            <color indexed="81"/>
            <rFont val="Tahoma"/>
            <family val="2"/>
          </rPr>
          <t>Gavin Mudd:</t>
        </r>
        <r>
          <rPr>
            <sz val="9"/>
            <color indexed="81"/>
            <rFont val="Tahoma"/>
            <family val="2"/>
          </rPr>
          <t xml:space="preserve">
assumed</t>
        </r>
      </text>
    </comment>
    <comment ref="AU100" authorId="0" shapeId="0" xr:uid="{8FA2048D-E5B1-4E0A-A7A9-D7F6868B7ED2}">
      <text>
        <r>
          <rPr>
            <b/>
            <sz val="9"/>
            <color indexed="81"/>
            <rFont val="Tahoma"/>
            <family val="2"/>
          </rPr>
          <t>Gavin Mudd:</t>
        </r>
        <r>
          <rPr>
            <sz val="9"/>
            <color indexed="81"/>
            <rFont val="Tahoma"/>
            <family val="2"/>
          </rPr>
          <t xml:space="preserve">
assumed</t>
        </r>
      </text>
    </comment>
    <comment ref="BA100" authorId="0" shapeId="0" xr:uid="{5ABBDE59-DA88-4691-AAB6-A096207743A7}">
      <text>
        <r>
          <rPr>
            <b/>
            <sz val="9"/>
            <color indexed="81"/>
            <rFont val="Tahoma"/>
            <family val="2"/>
          </rPr>
          <t>Gavin Mudd:</t>
        </r>
        <r>
          <rPr>
            <sz val="9"/>
            <color indexed="81"/>
            <rFont val="Tahoma"/>
            <family val="2"/>
          </rPr>
          <t xml:space="preserve">
assumed</t>
        </r>
      </text>
    </comment>
    <comment ref="BB100" authorId="0" shapeId="0" xr:uid="{FEE83DF3-C4A3-4285-9D27-EBFB85296BFF}">
      <text>
        <r>
          <rPr>
            <b/>
            <sz val="9"/>
            <color indexed="81"/>
            <rFont val="Tahoma"/>
            <family val="2"/>
          </rPr>
          <t>Gavin Mudd:</t>
        </r>
        <r>
          <rPr>
            <sz val="9"/>
            <color indexed="81"/>
            <rFont val="Tahoma"/>
            <family val="2"/>
          </rPr>
          <t xml:space="preserve">
assumed</t>
        </r>
      </text>
    </comment>
    <comment ref="CD100" authorId="0" shapeId="0" xr:uid="{C1876823-49DB-4309-9DAA-32789E4C2277}">
      <text>
        <r>
          <rPr>
            <b/>
            <sz val="9"/>
            <color indexed="81"/>
            <rFont val="Tahoma"/>
            <family val="2"/>
          </rPr>
          <t>Gavin Mudd:</t>
        </r>
        <r>
          <rPr>
            <sz val="9"/>
            <color indexed="81"/>
            <rFont val="Tahoma"/>
            <family val="2"/>
          </rPr>
          <t xml:space="preserve">
assumed</t>
        </r>
      </text>
    </comment>
    <comment ref="CE100" authorId="0" shapeId="0" xr:uid="{387D701B-1CEB-4927-9EAA-2526690471A5}">
      <text>
        <r>
          <rPr>
            <b/>
            <sz val="9"/>
            <color indexed="81"/>
            <rFont val="Tahoma"/>
            <family val="2"/>
          </rPr>
          <t>Gavin Mudd:</t>
        </r>
        <r>
          <rPr>
            <sz val="9"/>
            <color indexed="81"/>
            <rFont val="Tahoma"/>
            <family val="2"/>
          </rPr>
          <t xml:space="preserve">
assumed</t>
        </r>
      </text>
    </comment>
    <comment ref="CJ100" authorId="0" shapeId="0" xr:uid="{9ADE8768-AA46-4AA6-968A-CBDCD7E8E508}">
      <text>
        <r>
          <rPr>
            <b/>
            <sz val="9"/>
            <color indexed="81"/>
            <rFont val="Tahoma"/>
            <family val="2"/>
          </rPr>
          <t>Gavin Mudd:</t>
        </r>
        <r>
          <rPr>
            <sz val="9"/>
            <color indexed="81"/>
            <rFont val="Tahoma"/>
            <family val="2"/>
          </rPr>
          <t xml:space="preserve">
assumed</t>
        </r>
      </text>
    </comment>
    <comment ref="CK100" authorId="0" shapeId="0" xr:uid="{20885905-6B60-4CB4-9A00-9F53C090FC60}">
      <text>
        <r>
          <rPr>
            <b/>
            <sz val="9"/>
            <color indexed="81"/>
            <rFont val="Tahoma"/>
            <family val="2"/>
          </rPr>
          <t>Gavin Mudd:</t>
        </r>
        <r>
          <rPr>
            <sz val="9"/>
            <color indexed="81"/>
            <rFont val="Tahoma"/>
            <family val="2"/>
          </rPr>
          <t xml:space="preserve">
assumed</t>
        </r>
      </text>
    </comment>
    <comment ref="CO100" authorId="0" shapeId="0" xr:uid="{9F10B45B-2021-451B-A4D3-9875C97002C3}">
      <text>
        <r>
          <rPr>
            <b/>
            <sz val="9"/>
            <color indexed="81"/>
            <rFont val="Tahoma"/>
            <family val="2"/>
          </rPr>
          <t>Gavin Mudd:</t>
        </r>
        <r>
          <rPr>
            <sz val="9"/>
            <color indexed="81"/>
            <rFont val="Tahoma"/>
            <family val="2"/>
          </rPr>
          <t xml:space="preserve">
assumed</t>
        </r>
      </text>
    </comment>
    <comment ref="CP100" authorId="0" shapeId="0" xr:uid="{BBEECC3F-8ABA-4CE0-B996-E6F29633D06A}">
      <text>
        <r>
          <rPr>
            <b/>
            <sz val="9"/>
            <color indexed="81"/>
            <rFont val="Tahoma"/>
            <family val="2"/>
          </rPr>
          <t>Gavin Mudd:</t>
        </r>
        <r>
          <rPr>
            <sz val="9"/>
            <color indexed="81"/>
            <rFont val="Tahoma"/>
            <family val="2"/>
          </rPr>
          <t xml:space="preserve">
assumed</t>
        </r>
      </text>
    </comment>
    <comment ref="DL100" authorId="0" shapeId="0" xr:uid="{437650F4-FFD5-4360-9848-D0F826278FA3}">
      <text>
        <r>
          <rPr>
            <b/>
            <sz val="9"/>
            <color indexed="81"/>
            <rFont val="Tahoma"/>
            <family val="2"/>
          </rPr>
          <t>Gavin Mudd:</t>
        </r>
        <r>
          <rPr>
            <sz val="9"/>
            <color indexed="81"/>
            <rFont val="Tahoma"/>
            <family val="2"/>
          </rPr>
          <t xml:space="preserve">
assumed</t>
        </r>
      </text>
    </comment>
    <comment ref="DM100" authorId="0" shapeId="0" xr:uid="{6645F14B-6AD3-431A-AD13-2C17EED1599C}">
      <text>
        <r>
          <rPr>
            <b/>
            <sz val="9"/>
            <color indexed="81"/>
            <rFont val="Tahoma"/>
            <family val="2"/>
          </rPr>
          <t>Gavin Mudd:</t>
        </r>
        <r>
          <rPr>
            <sz val="9"/>
            <color indexed="81"/>
            <rFont val="Tahoma"/>
            <family val="2"/>
          </rPr>
          <t xml:space="preserve">
assumed</t>
        </r>
      </text>
    </comment>
    <comment ref="B101" authorId="0" shapeId="0" xr:uid="{8CACE8AC-2C2A-4787-880C-63BF3B8E2FFF}">
      <text>
        <r>
          <rPr>
            <b/>
            <sz val="9"/>
            <color indexed="81"/>
            <rFont val="Tahoma"/>
            <family val="2"/>
          </rPr>
          <t>Gavin Mudd:</t>
        </r>
        <r>
          <rPr>
            <sz val="9"/>
            <color indexed="81"/>
            <rFont val="Tahoma"/>
            <family val="2"/>
          </rPr>
          <t xml:space="preserve">
West Wyalong</t>
        </r>
      </text>
    </comment>
    <comment ref="C101" authorId="0" shapeId="0" xr:uid="{E4957FA3-5861-4320-AE8C-C64C1572C08C}">
      <text>
        <r>
          <rPr>
            <b/>
            <sz val="9"/>
            <color indexed="81"/>
            <rFont val="Tahoma"/>
            <family val="2"/>
          </rPr>
          <t>Gavin Mudd:</t>
        </r>
        <r>
          <rPr>
            <sz val="9"/>
            <color indexed="81"/>
            <rFont val="Tahoma"/>
            <family val="2"/>
          </rPr>
          <t xml:space="preserve">
assumed</t>
        </r>
      </text>
    </comment>
    <comment ref="Q101" authorId="0" shapeId="0" xr:uid="{3CB21514-6F32-4D6F-8413-AED75EEA5176}">
      <text>
        <r>
          <rPr>
            <b/>
            <sz val="9"/>
            <color indexed="81"/>
            <rFont val="Tahoma"/>
            <family val="2"/>
          </rPr>
          <t>Gavin Mudd:</t>
        </r>
        <r>
          <rPr>
            <sz val="9"/>
            <color indexed="81"/>
            <rFont val="Tahoma"/>
            <family val="2"/>
          </rPr>
          <t xml:space="preserve">
assumed</t>
        </r>
      </text>
    </comment>
    <comment ref="S101" authorId="0" shapeId="0" xr:uid="{F31F7BD7-9A02-49E4-AFB8-2F22F8270DA4}">
      <text>
        <r>
          <rPr>
            <b/>
            <sz val="9"/>
            <color indexed="81"/>
            <rFont val="Tahoma"/>
            <family val="2"/>
          </rPr>
          <t>Gavin Mudd:</t>
        </r>
        <r>
          <rPr>
            <sz val="9"/>
            <color indexed="81"/>
            <rFont val="Tahoma"/>
            <family val="2"/>
          </rPr>
          <t xml:space="preserve">
assumed</t>
        </r>
      </text>
    </comment>
    <comment ref="U101" authorId="0" shapeId="0" xr:uid="{B6DBE5EC-56A8-4F3B-894D-161E30AED71D}">
      <text>
        <r>
          <rPr>
            <b/>
            <sz val="9"/>
            <color indexed="81"/>
            <rFont val="Tahoma"/>
            <family val="2"/>
          </rPr>
          <t>Gavin Mudd:</t>
        </r>
        <r>
          <rPr>
            <sz val="9"/>
            <color indexed="81"/>
            <rFont val="Tahoma"/>
            <family val="2"/>
          </rPr>
          <t xml:space="preserve">
assumed</t>
        </r>
      </text>
    </comment>
    <comment ref="W101" authorId="0" shapeId="0" xr:uid="{94EE4764-F7B5-474E-8516-19939D09F6FA}">
      <text>
        <r>
          <rPr>
            <b/>
            <sz val="9"/>
            <color indexed="81"/>
            <rFont val="Tahoma"/>
            <family val="2"/>
          </rPr>
          <t>Gavin Mudd:</t>
        </r>
        <r>
          <rPr>
            <sz val="9"/>
            <color indexed="81"/>
            <rFont val="Tahoma"/>
            <family val="2"/>
          </rPr>
          <t xml:space="preserve">
assumed</t>
        </r>
      </text>
    </comment>
    <comment ref="Y101" authorId="0" shapeId="0" xr:uid="{E0668A3F-6EB5-481E-9248-52FB059818B5}">
      <text>
        <r>
          <rPr>
            <b/>
            <sz val="9"/>
            <color indexed="81"/>
            <rFont val="Tahoma"/>
            <family val="2"/>
          </rPr>
          <t>Gavin Mudd:</t>
        </r>
        <r>
          <rPr>
            <sz val="9"/>
            <color indexed="81"/>
            <rFont val="Tahoma"/>
            <family val="2"/>
          </rPr>
          <t xml:space="preserve">
assumed</t>
        </r>
      </text>
    </comment>
    <comment ref="AA101" authorId="0" shapeId="0" xr:uid="{0247454A-B1B6-4945-94E6-B449AED12BB8}">
      <text>
        <r>
          <rPr>
            <b/>
            <sz val="9"/>
            <color indexed="81"/>
            <rFont val="Tahoma"/>
            <family val="2"/>
          </rPr>
          <t>Gavin Mudd:</t>
        </r>
        <r>
          <rPr>
            <sz val="9"/>
            <color indexed="81"/>
            <rFont val="Tahoma"/>
            <family val="2"/>
          </rPr>
          <t xml:space="preserve">
assumed</t>
        </r>
      </text>
    </comment>
    <comment ref="AG101" authorId="0" shapeId="0" xr:uid="{0AB2CD5A-5A8D-4CB9-B67F-D7B8661CE68C}">
      <text>
        <r>
          <rPr>
            <b/>
            <sz val="9"/>
            <color indexed="81"/>
            <rFont val="Tahoma"/>
            <family val="2"/>
          </rPr>
          <t>Gavin Mudd:</t>
        </r>
        <r>
          <rPr>
            <sz val="9"/>
            <color indexed="81"/>
            <rFont val="Tahoma"/>
            <family val="2"/>
          </rPr>
          <t xml:space="preserve">
assumed</t>
        </r>
      </text>
    </comment>
    <comment ref="AK101" authorId="0" shapeId="0" xr:uid="{30A55779-49FA-45D6-AC2A-2E820EF1D9E6}">
      <text>
        <r>
          <rPr>
            <b/>
            <sz val="9"/>
            <color indexed="81"/>
            <rFont val="Tahoma"/>
            <family val="2"/>
          </rPr>
          <t>Gavin Mudd:</t>
        </r>
        <r>
          <rPr>
            <sz val="9"/>
            <color indexed="81"/>
            <rFont val="Tahoma"/>
            <family val="2"/>
          </rPr>
          <t xml:space="preserve">
assumed</t>
        </r>
      </text>
    </comment>
    <comment ref="AM101" authorId="0" shapeId="0" xr:uid="{C911750B-C12D-4FA5-BC87-D3A94BB98EFF}">
      <text>
        <r>
          <rPr>
            <b/>
            <sz val="9"/>
            <color indexed="81"/>
            <rFont val="Tahoma"/>
            <family val="2"/>
          </rPr>
          <t>Gavin Mudd:</t>
        </r>
        <r>
          <rPr>
            <sz val="9"/>
            <color indexed="81"/>
            <rFont val="Tahoma"/>
            <family val="2"/>
          </rPr>
          <t xml:space="preserve">
assumed</t>
        </r>
      </text>
    </comment>
    <comment ref="AO101" authorId="0" shapeId="0" xr:uid="{BD675A41-EE1D-4559-937D-50E5C0192214}">
      <text>
        <r>
          <rPr>
            <b/>
            <sz val="9"/>
            <color indexed="81"/>
            <rFont val="Tahoma"/>
            <family val="2"/>
          </rPr>
          <t>Gavin Mudd:</t>
        </r>
        <r>
          <rPr>
            <sz val="9"/>
            <color indexed="81"/>
            <rFont val="Tahoma"/>
            <family val="2"/>
          </rPr>
          <t xml:space="preserve">
assumed</t>
        </r>
      </text>
    </comment>
    <comment ref="AU101" authorId="0" shapeId="0" xr:uid="{BBDB992D-2B83-426C-B140-C242432ABE2E}">
      <text>
        <r>
          <rPr>
            <b/>
            <sz val="9"/>
            <color indexed="81"/>
            <rFont val="Tahoma"/>
            <family val="2"/>
          </rPr>
          <t>Gavin Mudd:</t>
        </r>
        <r>
          <rPr>
            <sz val="9"/>
            <color indexed="81"/>
            <rFont val="Tahoma"/>
            <family val="2"/>
          </rPr>
          <t xml:space="preserve">
assumed</t>
        </r>
      </text>
    </comment>
    <comment ref="BA101" authorId="0" shapeId="0" xr:uid="{01EA7FDD-FD73-4BFE-82F8-8CA54E8BD9CC}">
      <text>
        <r>
          <rPr>
            <b/>
            <sz val="9"/>
            <color indexed="81"/>
            <rFont val="Tahoma"/>
            <family val="2"/>
          </rPr>
          <t>Gavin Mudd:</t>
        </r>
        <r>
          <rPr>
            <sz val="9"/>
            <color indexed="81"/>
            <rFont val="Tahoma"/>
            <family val="2"/>
          </rPr>
          <t xml:space="preserve">
assumed</t>
        </r>
      </text>
    </comment>
    <comment ref="BB101" authorId="0" shapeId="0" xr:uid="{EB1D65FC-28E1-47AA-AAC7-12CF86A4D4EE}">
      <text>
        <r>
          <rPr>
            <b/>
            <sz val="9"/>
            <color indexed="81"/>
            <rFont val="Tahoma"/>
            <family val="2"/>
          </rPr>
          <t>Gavin Mudd:</t>
        </r>
        <r>
          <rPr>
            <sz val="9"/>
            <color indexed="81"/>
            <rFont val="Tahoma"/>
            <family val="2"/>
          </rPr>
          <t xml:space="preserve">
assumed</t>
        </r>
      </text>
    </comment>
    <comment ref="CD101" authorId="0" shapeId="0" xr:uid="{183D6CF7-8825-4E88-8E83-3C43707DE405}">
      <text>
        <r>
          <rPr>
            <b/>
            <sz val="9"/>
            <color indexed="81"/>
            <rFont val="Tahoma"/>
            <family val="2"/>
          </rPr>
          <t>Gavin Mudd:</t>
        </r>
        <r>
          <rPr>
            <sz val="9"/>
            <color indexed="81"/>
            <rFont val="Tahoma"/>
            <family val="2"/>
          </rPr>
          <t xml:space="preserve">
assumed</t>
        </r>
      </text>
    </comment>
    <comment ref="CE101" authorId="0" shapeId="0" xr:uid="{8192F3AA-A88C-4C36-9301-E58D564BCCE5}">
      <text>
        <r>
          <rPr>
            <b/>
            <sz val="9"/>
            <color indexed="81"/>
            <rFont val="Tahoma"/>
            <family val="2"/>
          </rPr>
          <t>Gavin Mudd:</t>
        </r>
        <r>
          <rPr>
            <sz val="9"/>
            <color indexed="81"/>
            <rFont val="Tahoma"/>
            <family val="2"/>
          </rPr>
          <t xml:space="preserve">
assumed</t>
        </r>
      </text>
    </comment>
    <comment ref="CJ101" authorId="0" shapeId="0" xr:uid="{80E4FC86-6872-4865-A5F1-F88FD8E1BE8E}">
      <text>
        <r>
          <rPr>
            <b/>
            <sz val="9"/>
            <color indexed="81"/>
            <rFont val="Tahoma"/>
            <family val="2"/>
          </rPr>
          <t>Gavin Mudd:</t>
        </r>
        <r>
          <rPr>
            <sz val="9"/>
            <color indexed="81"/>
            <rFont val="Tahoma"/>
            <family val="2"/>
          </rPr>
          <t xml:space="preserve">
assumed</t>
        </r>
      </text>
    </comment>
    <comment ref="CK101" authorId="0" shapeId="0" xr:uid="{8416F4DE-2345-4F0A-93F6-9D42F70DDC90}">
      <text>
        <r>
          <rPr>
            <b/>
            <sz val="9"/>
            <color indexed="81"/>
            <rFont val="Tahoma"/>
            <family val="2"/>
          </rPr>
          <t>Gavin Mudd:</t>
        </r>
        <r>
          <rPr>
            <sz val="9"/>
            <color indexed="81"/>
            <rFont val="Tahoma"/>
            <family val="2"/>
          </rPr>
          <t xml:space="preserve">
assumed</t>
        </r>
      </text>
    </comment>
    <comment ref="CO101" authorId="0" shapeId="0" xr:uid="{895DC9BB-5F10-4B2F-995B-B7F8BCB85CDC}">
      <text>
        <r>
          <rPr>
            <b/>
            <sz val="9"/>
            <color indexed="81"/>
            <rFont val="Tahoma"/>
            <family val="2"/>
          </rPr>
          <t>Gavin Mudd:</t>
        </r>
        <r>
          <rPr>
            <sz val="9"/>
            <color indexed="81"/>
            <rFont val="Tahoma"/>
            <family val="2"/>
          </rPr>
          <t xml:space="preserve">
assumed</t>
        </r>
      </text>
    </comment>
    <comment ref="CP101" authorId="0" shapeId="0" xr:uid="{0F8BC285-F9C3-4DFB-A390-FB00042544BD}">
      <text>
        <r>
          <rPr>
            <b/>
            <sz val="9"/>
            <color indexed="81"/>
            <rFont val="Tahoma"/>
            <family val="2"/>
          </rPr>
          <t>Gavin Mudd:</t>
        </r>
        <r>
          <rPr>
            <sz val="9"/>
            <color indexed="81"/>
            <rFont val="Tahoma"/>
            <family val="2"/>
          </rPr>
          <t xml:space="preserve">
assumed</t>
        </r>
      </text>
    </comment>
    <comment ref="DL101" authorId="0" shapeId="0" xr:uid="{562F67D7-2F97-42B8-9CB7-F3F19850AAEA}">
      <text>
        <r>
          <rPr>
            <b/>
            <sz val="9"/>
            <color indexed="81"/>
            <rFont val="Tahoma"/>
            <family val="2"/>
          </rPr>
          <t>Gavin Mudd:</t>
        </r>
        <r>
          <rPr>
            <sz val="9"/>
            <color indexed="81"/>
            <rFont val="Tahoma"/>
            <family val="2"/>
          </rPr>
          <t xml:space="preserve">
assumed</t>
        </r>
      </text>
    </comment>
    <comment ref="DM101" authorId="0" shapeId="0" xr:uid="{DCB6AD2E-385E-4FA0-B0FB-AFFECF1751D0}">
      <text>
        <r>
          <rPr>
            <b/>
            <sz val="9"/>
            <color indexed="81"/>
            <rFont val="Tahoma"/>
            <family val="2"/>
          </rPr>
          <t>Gavin Mudd:</t>
        </r>
        <r>
          <rPr>
            <sz val="9"/>
            <color indexed="81"/>
            <rFont val="Tahoma"/>
            <family val="2"/>
          </rPr>
          <t xml:space="preserve">
assumed</t>
        </r>
      </text>
    </comment>
    <comment ref="B102" authorId="0" shapeId="0" xr:uid="{E9CD141C-1E16-4F69-BF85-17247FFF2B31}">
      <text>
        <r>
          <rPr>
            <b/>
            <sz val="9"/>
            <color indexed="81"/>
            <rFont val="Tahoma"/>
            <family val="2"/>
          </rPr>
          <t>Gavin Mudd:</t>
        </r>
        <r>
          <rPr>
            <sz val="9"/>
            <color indexed="81"/>
            <rFont val="Tahoma"/>
            <family val="2"/>
          </rPr>
          <t xml:space="preserve">
West Wyalong</t>
        </r>
      </text>
    </comment>
    <comment ref="C102" authorId="0" shapeId="0" xr:uid="{8998FED0-62EB-4DAC-BC4E-2E5945A523C4}">
      <text>
        <r>
          <rPr>
            <b/>
            <sz val="9"/>
            <color indexed="81"/>
            <rFont val="Tahoma"/>
            <family val="2"/>
          </rPr>
          <t>Gavin Mudd:</t>
        </r>
        <r>
          <rPr>
            <sz val="9"/>
            <color indexed="81"/>
            <rFont val="Tahoma"/>
            <family val="2"/>
          </rPr>
          <t xml:space="preserve">
assumed</t>
        </r>
      </text>
    </comment>
    <comment ref="M102" authorId="0" shapeId="0" xr:uid="{4AE44A8C-40F9-4CF1-B6C5-3C906A1D531C}">
      <text>
        <r>
          <rPr>
            <b/>
            <sz val="9"/>
            <color indexed="81"/>
            <rFont val="Tahoma"/>
            <family val="2"/>
          </rPr>
          <t>Gavin Mudd:</t>
        </r>
        <r>
          <rPr>
            <sz val="9"/>
            <color indexed="81"/>
            <rFont val="Tahoma"/>
            <family val="2"/>
          </rPr>
          <t xml:space="preserve">
assumed</t>
        </r>
      </text>
    </comment>
    <comment ref="Q102" authorId="0" shapeId="0" xr:uid="{AB54ECF9-F2DD-4CC3-BC20-EB3B88035152}">
      <text>
        <r>
          <rPr>
            <b/>
            <sz val="9"/>
            <color indexed="81"/>
            <rFont val="Tahoma"/>
            <family val="2"/>
          </rPr>
          <t>Gavin Mudd:</t>
        </r>
        <r>
          <rPr>
            <sz val="9"/>
            <color indexed="81"/>
            <rFont val="Tahoma"/>
            <family val="2"/>
          </rPr>
          <t xml:space="preserve">
assumed</t>
        </r>
      </text>
    </comment>
    <comment ref="S102" authorId="0" shapeId="0" xr:uid="{C1EBC5A9-437B-458E-95FD-98EE2911C559}">
      <text>
        <r>
          <rPr>
            <b/>
            <sz val="9"/>
            <color indexed="81"/>
            <rFont val="Tahoma"/>
            <family val="2"/>
          </rPr>
          <t>Gavin Mudd:</t>
        </r>
        <r>
          <rPr>
            <sz val="9"/>
            <color indexed="81"/>
            <rFont val="Tahoma"/>
            <family val="2"/>
          </rPr>
          <t xml:space="preserve">
assumed</t>
        </r>
      </text>
    </comment>
    <comment ref="W102" authorId="0" shapeId="0" xr:uid="{8FBBD83E-74A2-4E00-8EBE-0311A94A6703}">
      <text>
        <r>
          <rPr>
            <b/>
            <sz val="9"/>
            <color indexed="81"/>
            <rFont val="Tahoma"/>
            <family val="2"/>
          </rPr>
          <t>Gavin Mudd:</t>
        </r>
        <r>
          <rPr>
            <sz val="9"/>
            <color indexed="81"/>
            <rFont val="Tahoma"/>
            <family val="2"/>
          </rPr>
          <t xml:space="preserve">
assumed</t>
        </r>
      </text>
    </comment>
    <comment ref="Y102" authorId="0" shapeId="0" xr:uid="{CCEA5E19-8EA2-4D05-910D-9E1A7B63D2D2}">
      <text>
        <r>
          <rPr>
            <b/>
            <sz val="9"/>
            <color indexed="81"/>
            <rFont val="Tahoma"/>
            <family val="2"/>
          </rPr>
          <t>Gavin Mudd:</t>
        </r>
        <r>
          <rPr>
            <sz val="9"/>
            <color indexed="81"/>
            <rFont val="Tahoma"/>
            <family val="2"/>
          </rPr>
          <t xml:space="preserve">
assumed</t>
        </r>
      </text>
    </comment>
    <comment ref="AA102" authorId="0" shapeId="0" xr:uid="{9AEEF7DB-71D4-491B-8364-5C1FFAC4EBE2}">
      <text>
        <r>
          <rPr>
            <b/>
            <sz val="9"/>
            <color indexed="81"/>
            <rFont val="Tahoma"/>
            <family val="2"/>
          </rPr>
          <t>Gavin Mudd:</t>
        </r>
        <r>
          <rPr>
            <sz val="9"/>
            <color indexed="81"/>
            <rFont val="Tahoma"/>
            <family val="2"/>
          </rPr>
          <t xml:space="preserve">
assumed</t>
        </r>
      </text>
    </comment>
    <comment ref="AG102" authorId="0" shapeId="0" xr:uid="{6091FC01-DC7F-4E08-814B-A587F7709407}">
      <text>
        <r>
          <rPr>
            <b/>
            <sz val="9"/>
            <color indexed="81"/>
            <rFont val="Tahoma"/>
            <family val="2"/>
          </rPr>
          <t>Gavin Mudd:</t>
        </r>
        <r>
          <rPr>
            <sz val="9"/>
            <color indexed="81"/>
            <rFont val="Tahoma"/>
            <family val="2"/>
          </rPr>
          <t xml:space="preserve">
assumed</t>
        </r>
      </text>
    </comment>
    <comment ref="AK102" authorId="0" shapeId="0" xr:uid="{217FAA81-8648-4F5A-9D85-6FA98DC931BA}">
      <text>
        <r>
          <rPr>
            <b/>
            <sz val="9"/>
            <color indexed="81"/>
            <rFont val="Tahoma"/>
            <family val="2"/>
          </rPr>
          <t>Gavin Mudd:</t>
        </r>
        <r>
          <rPr>
            <sz val="9"/>
            <color indexed="81"/>
            <rFont val="Tahoma"/>
            <family val="2"/>
          </rPr>
          <t xml:space="preserve">
assumed</t>
        </r>
      </text>
    </comment>
    <comment ref="AM102" authorId="0" shapeId="0" xr:uid="{BD6F98B7-EEDA-4880-8456-EA297DE30F25}">
      <text>
        <r>
          <rPr>
            <b/>
            <sz val="9"/>
            <color indexed="81"/>
            <rFont val="Tahoma"/>
            <family val="2"/>
          </rPr>
          <t>Gavin Mudd:</t>
        </r>
        <r>
          <rPr>
            <sz val="9"/>
            <color indexed="81"/>
            <rFont val="Tahoma"/>
            <family val="2"/>
          </rPr>
          <t xml:space="preserve">
assumed</t>
        </r>
      </text>
    </comment>
    <comment ref="AO102" authorId="0" shapeId="0" xr:uid="{1EE090B4-9336-4F4E-8644-E48AAD31B2CA}">
      <text>
        <r>
          <rPr>
            <b/>
            <sz val="9"/>
            <color indexed="81"/>
            <rFont val="Tahoma"/>
            <family val="2"/>
          </rPr>
          <t>Gavin Mudd:</t>
        </r>
        <r>
          <rPr>
            <sz val="9"/>
            <color indexed="81"/>
            <rFont val="Tahoma"/>
            <family val="2"/>
          </rPr>
          <t xml:space="preserve">
assumed</t>
        </r>
      </text>
    </comment>
    <comment ref="AS102" authorId="0" shapeId="0" xr:uid="{F11E004B-E513-4C47-856E-3D7FA6698AF7}">
      <text>
        <r>
          <rPr>
            <b/>
            <sz val="9"/>
            <color indexed="81"/>
            <rFont val="Tahoma"/>
            <family val="2"/>
          </rPr>
          <t>Gavin Mudd:</t>
        </r>
        <r>
          <rPr>
            <sz val="9"/>
            <color indexed="81"/>
            <rFont val="Tahoma"/>
            <family val="2"/>
          </rPr>
          <t xml:space="preserve">
assumed</t>
        </r>
      </text>
    </comment>
    <comment ref="AU102" authorId="0" shapeId="0" xr:uid="{7BAE2A78-CF1D-4A78-9395-61BE68153564}">
      <text>
        <r>
          <rPr>
            <b/>
            <sz val="9"/>
            <color indexed="81"/>
            <rFont val="Tahoma"/>
            <family val="2"/>
          </rPr>
          <t>Gavin Mudd:</t>
        </r>
        <r>
          <rPr>
            <sz val="9"/>
            <color indexed="81"/>
            <rFont val="Tahoma"/>
            <family val="2"/>
          </rPr>
          <t xml:space="preserve">
assumed</t>
        </r>
      </text>
    </comment>
    <comment ref="BA102" authorId="0" shapeId="0" xr:uid="{F16EA5ED-48E0-462A-BA0C-2E0DC44298FE}">
      <text>
        <r>
          <rPr>
            <b/>
            <sz val="9"/>
            <color indexed="81"/>
            <rFont val="Tahoma"/>
            <family val="2"/>
          </rPr>
          <t>Gavin Mudd:</t>
        </r>
        <r>
          <rPr>
            <sz val="9"/>
            <color indexed="81"/>
            <rFont val="Tahoma"/>
            <family val="2"/>
          </rPr>
          <t xml:space="preserve">
assumed</t>
        </r>
      </text>
    </comment>
    <comment ref="BB102" authorId="0" shapeId="0" xr:uid="{7B62070A-FFDF-4847-A7A6-4DF7B83AD631}">
      <text>
        <r>
          <rPr>
            <b/>
            <sz val="9"/>
            <color indexed="81"/>
            <rFont val="Tahoma"/>
            <family val="2"/>
          </rPr>
          <t>Gavin Mudd:</t>
        </r>
        <r>
          <rPr>
            <sz val="9"/>
            <color indexed="81"/>
            <rFont val="Tahoma"/>
            <family val="2"/>
          </rPr>
          <t xml:space="preserve">
assumed</t>
        </r>
      </text>
    </comment>
    <comment ref="CD102" authorId="0" shapeId="0" xr:uid="{208B26E5-5788-4C1C-8FB3-C459EC7F2A15}">
      <text>
        <r>
          <rPr>
            <b/>
            <sz val="9"/>
            <color indexed="81"/>
            <rFont val="Tahoma"/>
            <family val="2"/>
          </rPr>
          <t>Gavin Mudd:</t>
        </r>
        <r>
          <rPr>
            <sz val="9"/>
            <color indexed="81"/>
            <rFont val="Tahoma"/>
            <family val="2"/>
          </rPr>
          <t xml:space="preserve">
assumed</t>
        </r>
      </text>
    </comment>
    <comment ref="CE102" authorId="0" shapeId="0" xr:uid="{8C66B387-088A-42B8-ADED-CBCF12A0747F}">
      <text>
        <r>
          <rPr>
            <b/>
            <sz val="9"/>
            <color indexed="81"/>
            <rFont val="Tahoma"/>
            <family val="2"/>
          </rPr>
          <t>Gavin Mudd:</t>
        </r>
        <r>
          <rPr>
            <sz val="9"/>
            <color indexed="81"/>
            <rFont val="Tahoma"/>
            <family val="2"/>
          </rPr>
          <t xml:space="preserve">
assumed</t>
        </r>
      </text>
    </comment>
    <comment ref="CJ102" authorId="0" shapeId="0" xr:uid="{E88C9ED5-3E1D-47D6-AD7B-D39D118A77BE}">
      <text>
        <r>
          <rPr>
            <b/>
            <sz val="9"/>
            <color indexed="81"/>
            <rFont val="Tahoma"/>
            <family val="2"/>
          </rPr>
          <t>Gavin Mudd:</t>
        </r>
        <r>
          <rPr>
            <sz val="9"/>
            <color indexed="81"/>
            <rFont val="Tahoma"/>
            <family val="2"/>
          </rPr>
          <t xml:space="preserve">
assumed</t>
        </r>
      </text>
    </comment>
    <comment ref="CK102" authorId="0" shapeId="0" xr:uid="{86940C4D-DEE7-4171-8F0E-CDD38CE783CA}">
      <text>
        <r>
          <rPr>
            <b/>
            <sz val="9"/>
            <color indexed="81"/>
            <rFont val="Tahoma"/>
            <family val="2"/>
          </rPr>
          <t>Gavin Mudd:</t>
        </r>
        <r>
          <rPr>
            <sz val="9"/>
            <color indexed="81"/>
            <rFont val="Tahoma"/>
            <family val="2"/>
          </rPr>
          <t xml:space="preserve">
assumed</t>
        </r>
      </text>
    </comment>
    <comment ref="CO102" authorId="0" shapeId="0" xr:uid="{502E9718-02C5-4DD9-A8F8-0A2C55AD03F2}">
      <text>
        <r>
          <rPr>
            <b/>
            <sz val="9"/>
            <color indexed="81"/>
            <rFont val="Tahoma"/>
            <family val="2"/>
          </rPr>
          <t>Gavin Mudd:</t>
        </r>
        <r>
          <rPr>
            <sz val="9"/>
            <color indexed="81"/>
            <rFont val="Tahoma"/>
            <family val="2"/>
          </rPr>
          <t xml:space="preserve">
assumed</t>
        </r>
      </text>
    </comment>
    <comment ref="CP102" authorId="0" shapeId="0" xr:uid="{3FF05FB7-52C2-4BD3-A8B7-7D48FC5BDE25}">
      <text>
        <r>
          <rPr>
            <b/>
            <sz val="9"/>
            <color indexed="81"/>
            <rFont val="Tahoma"/>
            <family val="2"/>
          </rPr>
          <t>Gavin Mudd:</t>
        </r>
        <r>
          <rPr>
            <sz val="9"/>
            <color indexed="81"/>
            <rFont val="Tahoma"/>
            <family val="2"/>
          </rPr>
          <t xml:space="preserve">
assumed</t>
        </r>
      </text>
    </comment>
    <comment ref="DL102" authorId="0" shapeId="0" xr:uid="{0684DC1D-D0CD-4013-A2AD-938D7AE03F0A}">
      <text>
        <r>
          <rPr>
            <b/>
            <sz val="9"/>
            <color indexed="81"/>
            <rFont val="Tahoma"/>
            <family val="2"/>
          </rPr>
          <t>Gavin Mudd:</t>
        </r>
        <r>
          <rPr>
            <sz val="9"/>
            <color indexed="81"/>
            <rFont val="Tahoma"/>
            <family val="2"/>
          </rPr>
          <t xml:space="preserve">
assumed</t>
        </r>
      </text>
    </comment>
    <comment ref="DM102" authorId="0" shapeId="0" xr:uid="{ED8D5F26-282D-4628-B007-ED1686455583}">
      <text>
        <r>
          <rPr>
            <b/>
            <sz val="9"/>
            <color indexed="81"/>
            <rFont val="Tahoma"/>
            <family val="2"/>
          </rPr>
          <t>Gavin Mudd:</t>
        </r>
        <r>
          <rPr>
            <sz val="9"/>
            <color indexed="81"/>
            <rFont val="Tahoma"/>
            <family val="2"/>
          </rPr>
          <t xml:space="preserve">
assumed</t>
        </r>
      </text>
    </comment>
    <comment ref="B103" authorId="0" shapeId="0" xr:uid="{219D8D08-18F1-4B0A-BF09-1AC275F4B538}">
      <text>
        <r>
          <rPr>
            <b/>
            <sz val="9"/>
            <color indexed="81"/>
            <rFont val="Tahoma"/>
            <family val="2"/>
          </rPr>
          <t>Gavin Mudd:</t>
        </r>
        <r>
          <rPr>
            <sz val="9"/>
            <color indexed="81"/>
            <rFont val="Tahoma"/>
            <family val="2"/>
          </rPr>
          <t xml:space="preserve">
West Wyalong</t>
        </r>
      </text>
    </comment>
    <comment ref="C103" authorId="0" shapeId="0" xr:uid="{62281D06-056E-4146-8E05-A316AD548EDD}">
      <text>
        <r>
          <rPr>
            <b/>
            <sz val="9"/>
            <color indexed="81"/>
            <rFont val="Tahoma"/>
            <family val="2"/>
          </rPr>
          <t>Gavin Mudd:</t>
        </r>
        <r>
          <rPr>
            <sz val="9"/>
            <color indexed="81"/>
            <rFont val="Tahoma"/>
            <family val="2"/>
          </rPr>
          <t xml:space="preserve">
West Wyalong</t>
        </r>
      </text>
    </comment>
    <comment ref="I103" authorId="0" shapeId="0" xr:uid="{BC9B652B-8695-4E59-BEC0-935404BD4E21}">
      <text>
        <r>
          <rPr>
            <b/>
            <sz val="9"/>
            <color indexed="81"/>
            <rFont val="Tahoma"/>
            <family val="2"/>
          </rPr>
          <t>Gavin Mudd:</t>
        </r>
        <r>
          <rPr>
            <sz val="9"/>
            <color indexed="81"/>
            <rFont val="Tahoma"/>
            <family val="2"/>
          </rPr>
          <t xml:space="preserve">
assumed</t>
        </r>
      </text>
    </comment>
    <comment ref="BA103" authorId="0" shapeId="0" xr:uid="{805D60AE-1262-42AA-ABDF-3C4874802DE5}">
      <text>
        <r>
          <rPr>
            <b/>
            <sz val="9"/>
            <color indexed="81"/>
            <rFont val="Tahoma"/>
            <family val="2"/>
          </rPr>
          <t>Gavin Mudd:</t>
        </r>
        <r>
          <rPr>
            <sz val="9"/>
            <color indexed="81"/>
            <rFont val="Tahoma"/>
            <family val="2"/>
          </rPr>
          <t xml:space="preserve">
assumed</t>
        </r>
      </text>
    </comment>
    <comment ref="BB103" authorId="0" shapeId="0" xr:uid="{E4F10C44-4DE4-4FF2-8627-66132BBD0D53}">
      <text>
        <r>
          <rPr>
            <b/>
            <sz val="9"/>
            <color indexed="81"/>
            <rFont val="Tahoma"/>
            <family val="2"/>
          </rPr>
          <t>Gavin Mudd:</t>
        </r>
        <r>
          <rPr>
            <sz val="9"/>
            <color indexed="81"/>
            <rFont val="Tahoma"/>
            <family val="2"/>
          </rPr>
          <t xml:space="preserve">
assumed</t>
        </r>
      </text>
    </comment>
    <comment ref="CD103" authorId="0" shapeId="0" xr:uid="{DADF8440-FD28-41A5-A23B-67E779133C94}">
      <text>
        <r>
          <rPr>
            <b/>
            <sz val="9"/>
            <color indexed="81"/>
            <rFont val="Tahoma"/>
            <family val="2"/>
          </rPr>
          <t>Gavin Mudd:</t>
        </r>
        <r>
          <rPr>
            <sz val="9"/>
            <color indexed="81"/>
            <rFont val="Tahoma"/>
            <family val="2"/>
          </rPr>
          <t xml:space="preserve">
assumed</t>
        </r>
      </text>
    </comment>
    <comment ref="CE103" authorId="0" shapeId="0" xr:uid="{17C0FD25-DB56-4569-9031-CB7DC0FDD236}">
      <text>
        <r>
          <rPr>
            <b/>
            <sz val="9"/>
            <color indexed="81"/>
            <rFont val="Tahoma"/>
            <family val="2"/>
          </rPr>
          <t>Gavin Mudd:</t>
        </r>
        <r>
          <rPr>
            <sz val="9"/>
            <color indexed="81"/>
            <rFont val="Tahoma"/>
            <family val="2"/>
          </rPr>
          <t xml:space="preserve">
assumed</t>
        </r>
      </text>
    </comment>
    <comment ref="CJ103" authorId="0" shapeId="0" xr:uid="{80AB0C2D-5902-4015-8FDB-FD3C27CA06FE}">
      <text>
        <r>
          <rPr>
            <b/>
            <sz val="9"/>
            <color indexed="81"/>
            <rFont val="Tahoma"/>
            <family val="2"/>
          </rPr>
          <t>Gavin Mudd:</t>
        </r>
        <r>
          <rPr>
            <sz val="9"/>
            <color indexed="81"/>
            <rFont val="Tahoma"/>
            <family val="2"/>
          </rPr>
          <t xml:space="preserve">
assumed</t>
        </r>
      </text>
    </comment>
    <comment ref="CK103" authorId="0" shapeId="0" xr:uid="{6C599F77-E6F2-4D84-A012-0F65CC6F3C70}">
      <text>
        <r>
          <rPr>
            <b/>
            <sz val="9"/>
            <color indexed="81"/>
            <rFont val="Tahoma"/>
            <family val="2"/>
          </rPr>
          <t>Gavin Mudd:</t>
        </r>
        <r>
          <rPr>
            <sz val="9"/>
            <color indexed="81"/>
            <rFont val="Tahoma"/>
            <family val="2"/>
          </rPr>
          <t xml:space="preserve">
assumed</t>
        </r>
      </text>
    </comment>
    <comment ref="CO103" authorId="0" shapeId="0" xr:uid="{4BE60C02-3E49-4D46-B2EB-D6D660686112}">
      <text>
        <r>
          <rPr>
            <b/>
            <sz val="9"/>
            <color indexed="81"/>
            <rFont val="Tahoma"/>
            <family val="2"/>
          </rPr>
          <t>Gavin Mudd:</t>
        </r>
        <r>
          <rPr>
            <sz val="9"/>
            <color indexed="81"/>
            <rFont val="Tahoma"/>
            <family val="2"/>
          </rPr>
          <t xml:space="preserve">
assumed</t>
        </r>
      </text>
    </comment>
    <comment ref="CP103" authorId="0" shapeId="0" xr:uid="{22D0B96E-AD87-4FD3-B11B-70ACD92ABDD8}">
      <text>
        <r>
          <rPr>
            <b/>
            <sz val="9"/>
            <color indexed="81"/>
            <rFont val="Tahoma"/>
            <family val="2"/>
          </rPr>
          <t>Gavin Mudd:</t>
        </r>
        <r>
          <rPr>
            <sz val="9"/>
            <color indexed="81"/>
            <rFont val="Tahoma"/>
            <family val="2"/>
          </rPr>
          <t xml:space="preserve">
assumed</t>
        </r>
      </text>
    </comment>
    <comment ref="DL103" authorId="0" shapeId="0" xr:uid="{D22CE01D-B60A-4E95-90F6-DEF0AB6D7B6D}">
      <text>
        <r>
          <rPr>
            <b/>
            <sz val="9"/>
            <color indexed="81"/>
            <rFont val="Tahoma"/>
            <family val="2"/>
          </rPr>
          <t>Gavin Mudd:</t>
        </r>
        <r>
          <rPr>
            <sz val="9"/>
            <color indexed="81"/>
            <rFont val="Tahoma"/>
            <family val="2"/>
          </rPr>
          <t xml:space="preserve">
assumed</t>
        </r>
      </text>
    </comment>
    <comment ref="DM103" authorId="0" shapeId="0" xr:uid="{BA176A2F-ACD9-45C1-855C-13DF49C8C8C6}">
      <text>
        <r>
          <rPr>
            <b/>
            <sz val="9"/>
            <color indexed="81"/>
            <rFont val="Tahoma"/>
            <family val="2"/>
          </rPr>
          <t>Gavin Mudd:</t>
        </r>
        <r>
          <rPr>
            <sz val="9"/>
            <color indexed="81"/>
            <rFont val="Tahoma"/>
            <family val="2"/>
          </rPr>
          <t xml:space="preserve">
assumed</t>
        </r>
      </text>
    </comment>
    <comment ref="B104" authorId="0" shapeId="0" xr:uid="{874CE678-6E89-4F04-A319-F2960CDC305D}">
      <text>
        <r>
          <rPr>
            <b/>
            <sz val="9"/>
            <color indexed="81"/>
            <rFont val="Tahoma"/>
            <family val="2"/>
          </rPr>
          <t>Gavin Mudd:</t>
        </r>
        <r>
          <rPr>
            <sz val="9"/>
            <color indexed="81"/>
            <rFont val="Tahoma"/>
            <family val="2"/>
          </rPr>
          <t xml:space="preserve">
West Wyalong</t>
        </r>
      </text>
    </comment>
    <comment ref="C104" authorId="0" shapeId="0" xr:uid="{D4FBFAFF-DC60-4F8F-89B4-70207B0C9369}">
      <text>
        <r>
          <rPr>
            <b/>
            <sz val="9"/>
            <color indexed="81"/>
            <rFont val="Tahoma"/>
            <family val="2"/>
          </rPr>
          <t>Gavin Mudd:</t>
        </r>
        <r>
          <rPr>
            <sz val="9"/>
            <color indexed="81"/>
            <rFont val="Tahoma"/>
            <family val="2"/>
          </rPr>
          <t xml:space="preserve">
West Wyalong</t>
        </r>
      </text>
    </comment>
    <comment ref="U104" authorId="0" shapeId="0" xr:uid="{938F923A-355A-4799-8AC9-82C7F0D0AD2B}">
      <text>
        <r>
          <rPr>
            <b/>
            <sz val="9"/>
            <color indexed="81"/>
            <rFont val="Tahoma"/>
            <family val="2"/>
          </rPr>
          <t>Gavin Mudd:</t>
        </r>
        <r>
          <rPr>
            <sz val="9"/>
            <color indexed="81"/>
            <rFont val="Tahoma"/>
            <family val="2"/>
          </rPr>
          <t xml:space="preserve">
assumed</t>
        </r>
      </text>
    </comment>
    <comment ref="AS104" authorId="0" shapeId="0" xr:uid="{180D5986-73F5-4102-81BE-6E98E5BBCA75}">
      <text>
        <r>
          <rPr>
            <b/>
            <sz val="9"/>
            <color indexed="81"/>
            <rFont val="Tahoma"/>
            <family val="2"/>
          </rPr>
          <t>Gavin Mudd:</t>
        </r>
        <r>
          <rPr>
            <sz val="9"/>
            <color indexed="81"/>
            <rFont val="Tahoma"/>
            <family val="2"/>
          </rPr>
          <t xml:space="preserve">
assumed</t>
        </r>
      </text>
    </comment>
    <comment ref="BA104" authorId="0" shapeId="0" xr:uid="{D272C2EC-3BA8-467A-96DD-D4968C5B0CDC}">
      <text>
        <r>
          <rPr>
            <b/>
            <sz val="9"/>
            <color indexed="81"/>
            <rFont val="Tahoma"/>
            <family val="2"/>
          </rPr>
          <t>Gavin Mudd:</t>
        </r>
        <r>
          <rPr>
            <sz val="9"/>
            <color indexed="81"/>
            <rFont val="Tahoma"/>
            <family val="2"/>
          </rPr>
          <t xml:space="preserve">
assumed</t>
        </r>
      </text>
    </comment>
    <comment ref="BB104" authorId="0" shapeId="0" xr:uid="{7215BB66-5E04-4EBE-B2FD-7B1428A56CB9}">
      <text>
        <r>
          <rPr>
            <b/>
            <sz val="9"/>
            <color indexed="81"/>
            <rFont val="Tahoma"/>
            <family val="2"/>
          </rPr>
          <t>Gavin Mudd:</t>
        </r>
        <r>
          <rPr>
            <sz val="9"/>
            <color indexed="81"/>
            <rFont val="Tahoma"/>
            <family val="2"/>
          </rPr>
          <t xml:space="preserve">
assumed</t>
        </r>
      </text>
    </comment>
    <comment ref="CD104" authorId="0" shapeId="0" xr:uid="{494658B6-5B4A-436E-80AC-1A40C87FFB48}">
      <text>
        <r>
          <rPr>
            <b/>
            <sz val="9"/>
            <color indexed="81"/>
            <rFont val="Tahoma"/>
            <family val="2"/>
          </rPr>
          <t>Gavin Mudd:</t>
        </r>
        <r>
          <rPr>
            <sz val="9"/>
            <color indexed="81"/>
            <rFont val="Tahoma"/>
            <family val="2"/>
          </rPr>
          <t xml:space="preserve">
assumed</t>
        </r>
      </text>
    </comment>
    <comment ref="CE104" authorId="0" shapeId="0" xr:uid="{6A0FBC19-4CE4-4EF6-B230-598EF15214F7}">
      <text>
        <r>
          <rPr>
            <b/>
            <sz val="9"/>
            <color indexed="81"/>
            <rFont val="Tahoma"/>
            <family val="2"/>
          </rPr>
          <t>Gavin Mudd:</t>
        </r>
        <r>
          <rPr>
            <sz val="9"/>
            <color indexed="81"/>
            <rFont val="Tahoma"/>
            <family val="2"/>
          </rPr>
          <t xml:space="preserve">
assumed</t>
        </r>
      </text>
    </comment>
    <comment ref="CJ104" authorId="0" shapeId="0" xr:uid="{2BBEAEBD-A46A-4CD4-8B2D-5261C865CA4B}">
      <text>
        <r>
          <rPr>
            <b/>
            <sz val="9"/>
            <color indexed="81"/>
            <rFont val="Tahoma"/>
            <family val="2"/>
          </rPr>
          <t>Gavin Mudd:</t>
        </r>
        <r>
          <rPr>
            <sz val="9"/>
            <color indexed="81"/>
            <rFont val="Tahoma"/>
            <family val="2"/>
          </rPr>
          <t xml:space="preserve">
assumed</t>
        </r>
      </text>
    </comment>
    <comment ref="CK104" authorId="0" shapeId="0" xr:uid="{69E4CAF9-9CC2-4E37-8BD0-EAADDCDFE81D}">
      <text>
        <r>
          <rPr>
            <b/>
            <sz val="9"/>
            <color indexed="81"/>
            <rFont val="Tahoma"/>
            <family val="2"/>
          </rPr>
          <t>Gavin Mudd:</t>
        </r>
        <r>
          <rPr>
            <sz val="9"/>
            <color indexed="81"/>
            <rFont val="Tahoma"/>
            <family val="2"/>
          </rPr>
          <t xml:space="preserve">
assumed</t>
        </r>
      </text>
    </comment>
    <comment ref="CN104" authorId="0" shapeId="0" xr:uid="{EE90B6B6-662E-4CAF-9583-2B9A0CF6C55D}">
      <text>
        <r>
          <rPr>
            <b/>
            <sz val="9"/>
            <color indexed="81"/>
            <rFont val="Tahoma"/>
            <family val="2"/>
          </rPr>
          <t>Gavin Mudd:</t>
        </r>
        <r>
          <rPr>
            <sz val="9"/>
            <color indexed="81"/>
            <rFont val="Tahoma"/>
            <family val="2"/>
          </rPr>
          <t xml:space="preserve">
Pilbara + West Pilbara</t>
        </r>
      </text>
    </comment>
    <comment ref="CO104" authorId="0" shapeId="0" xr:uid="{9CE1851B-DEDE-42F9-811C-71BDA4ED1427}">
      <text>
        <r>
          <rPr>
            <b/>
            <sz val="9"/>
            <color indexed="81"/>
            <rFont val="Tahoma"/>
            <family val="2"/>
          </rPr>
          <t>Gavin Mudd:</t>
        </r>
        <r>
          <rPr>
            <sz val="9"/>
            <color indexed="81"/>
            <rFont val="Tahoma"/>
            <family val="2"/>
          </rPr>
          <t xml:space="preserve">
assumed</t>
        </r>
      </text>
    </comment>
    <comment ref="CP104" authorId="0" shapeId="0" xr:uid="{DADA4749-C9BA-4881-9F97-429A0A2DFB8B}">
      <text>
        <r>
          <rPr>
            <b/>
            <sz val="9"/>
            <color indexed="81"/>
            <rFont val="Tahoma"/>
            <family val="2"/>
          </rPr>
          <t>Gavin Mudd:</t>
        </r>
        <r>
          <rPr>
            <sz val="9"/>
            <color indexed="81"/>
            <rFont val="Tahoma"/>
            <family val="2"/>
          </rPr>
          <t xml:space="preserve">
assumed</t>
        </r>
      </text>
    </comment>
    <comment ref="CU104" authorId="0" shapeId="0" xr:uid="{DC9C9E1E-83D0-4530-BB8C-F3F732CC56BE}">
      <text>
        <r>
          <rPr>
            <b/>
            <sz val="9"/>
            <color indexed="81"/>
            <rFont val="Tahoma"/>
            <family val="2"/>
          </rPr>
          <t>Gavin Mudd:</t>
        </r>
        <r>
          <rPr>
            <sz val="9"/>
            <color indexed="81"/>
            <rFont val="Tahoma"/>
            <family val="2"/>
          </rPr>
          <t xml:space="preserve">
assumed</t>
        </r>
      </text>
    </comment>
    <comment ref="DL104" authorId="0" shapeId="0" xr:uid="{33DDB378-A295-4F21-B9F5-8C023CA213A8}">
      <text>
        <r>
          <rPr>
            <b/>
            <sz val="9"/>
            <color indexed="81"/>
            <rFont val="Tahoma"/>
            <family val="2"/>
          </rPr>
          <t>Gavin Mudd:</t>
        </r>
        <r>
          <rPr>
            <sz val="9"/>
            <color indexed="81"/>
            <rFont val="Tahoma"/>
            <family val="2"/>
          </rPr>
          <t xml:space="preserve">
assumed</t>
        </r>
      </text>
    </comment>
    <comment ref="DM104" authorId="0" shapeId="0" xr:uid="{23622B65-B127-459A-A770-304185D872E6}">
      <text>
        <r>
          <rPr>
            <b/>
            <sz val="9"/>
            <color indexed="81"/>
            <rFont val="Tahoma"/>
            <family val="2"/>
          </rPr>
          <t>Gavin Mudd:</t>
        </r>
        <r>
          <rPr>
            <sz val="9"/>
            <color indexed="81"/>
            <rFont val="Tahoma"/>
            <family val="2"/>
          </rPr>
          <t xml:space="preserve">
assumed</t>
        </r>
      </text>
    </comment>
    <comment ref="B105" authorId="0" shapeId="0" xr:uid="{9645A8E4-9D8C-4F0F-9B61-C32A6621C203}">
      <text>
        <r>
          <rPr>
            <b/>
            <sz val="9"/>
            <color indexed="81"/>
            <rFont val="Tahoma"/>
            <family val="2"/>
          </rPr>
          <t>Gavin Mudd:</t>
        </r>
        <r>
          <rPr>
            <sz val="9"/>
            <color indexed="81"/>
            <rFont val="Tahoma"/>
            <family val="2"/>
          </rPr>
          <t xml:space="preserve">
West Wyalong</t>
        </r>
      </text>
    </comment>
    <comment ref="C105" authorId="0" shapeId="0" xr:uid="{6B027559-66A1-4215-8FC4-39FF64D8F07A}">
      <text>
        <r>
          <rPr>
            <b/>
            <sz val="9"/>
            <color indexed="81"/>
            <rFont val="Tahoma"/>
            <family val="2"/>
          </rPr>
          <t>Gavin Mudd:</t>
        </r>
        <r>
          <rPr>
            <sz val="9"/>
            <color indexed="81"/>
            <rFont val="Tahoma"/>
            <family val="2"/>
          </rPr>
          <t xml:space="preserve">
West Wyalong</t>
        </r>
      </text>
    </comment>
    <comment ref="AA105" authorId="0" shapeId="0" xr:uid="{B36121A4-CE1A-43AF-BD1E-DBE63D26AFCA}">
      <text>
        <r>
          <rPr>
            <b/>
            <sz val="9"/>
            <color indexed="81"/>
            <rFont val="Tahoma"/>
            <family val="2"/>
          </rPr>
          <t>Gavin Mudd:</t>
        </r>
        <r>
          <rPr>
            <sz val="9"/>
            <color indexed="81"/>
            <rFont val="Tahoma"/>
            <family val="2"/>
          </rPr>
          <t xml:space="preserve">
assumed</t>
        </r>
      </text>
    </comment>
    <comment ref="AS105" authorId="0" shapeId="0" xr:uid="{7B99C3A2-90A7-4392-B2DE-709F1E470037}">
      <text>
        <r>
          <rPr>
            <b/>
            <sz val="9"/>
            <color indexed="81"/>
            <rFont val="Tahoma"/>
            <family val="2"/>
          </rPr>
          <t>Gavin Mudd:</t>
        </r>
        <r>
          <rPr>
            <sz val="9"/>
            <color indexed="81"/>
            <rFont val="Tahoma"/>
            <family val="2"/>
          </rPr>
          <t xml:space="preserve">
assumed</t>
        </r>
      </text>
    </comment>
    <comment ref="BA105" authorId="0" shapeId="0" xr:uid="{5ECDE467-CF5A-4451-9FAE-9DD6B5E8949C}">
      <text>
        <r>
          <rPr>
            <b/>
            <sz val="9"/>
            <color indexed="81"/>
            <rFont val="Tahoma"/>
            <family val="2"/>
          </rPr>
          <t>Gavin Mudd:</t>
        </r>
        <r>
          <rPr>
            <sz val="9"/>
            <color indexed="81"/>
            <rFont val="Tahoma"/>
            <family val="2"/>
          </rPr>
          <t xml:space="preserve">
assumed</t>
        </r>
      </text>
    </comment>
    <comment ref="BB105" authorId="0" shapeId="0" xr:uid="{AE5FDE4F-7EEC-4F51-8FB8-4F289B94568D}">
      <text>
        <r>
          <rPr>
            <b/>
            <sz val="9"/>
            <color indexed="81"/>
            <rFont val="Tahoma"/>
            <family val="2"/>
          </rPr>
          <t>Gavin Mudd:</t>
        </r>
        <r>
          <rPr>
            <sz val="9"/>
            <color indexed="81"/>
            <rFont val="Tahoma"/>
            <family val="2"/>
          </rPr>
          <t xml:space="preserve">
assumed</t>
        </r>
      </text>
    </comment>
    <comment ref="CD105" authorId="0" shapeId="0" xr:uid="{9F7CE899-B986-4D75-BCEC-88EF936B6D8A}">
      <text>
        <r>
          <rPr>
            <b/>
            <sz val="9"/>
            <color indexed="81"/>
            <rFont val="Tahoma"/>
            <family val="2"/>
          </rPr>
          <t>Gavin Mudd:</t>
        </r>
        <r>
          <rPr>
            <sz val="9"/>
            <color indexed="81"/>
            <rFont val="Tahoma"/>
            <family val="2"/>
          </rPr>
          <t xml:space="preserve">
assumed</t>
        </r>
      </text>
    </comment>
    <comment ref="CE105" authorId="0" shapeId="0" xr:uid="{C46C039D-1ADB-486C-8A68-CA879AEBE89F}">
      <text>
        <r>
          <rPr>
            <b/>
            <sz val="9"/>
            <color indexed="81"/>
            <rFont val="Tahoma"/>
            <family val="2"/>
          </rPr>
          <t>Gavin Mudd:</t>
        </r>
        <r>
          <rPr>
            <sz val="9"/>
            <color indexed="81"/>
            <rFont val="Tahoma"/>
            <family val="2"/>
          </rPr>
          <t xml:space="preserve">
assumed</t>
        </r>
      </text>
    </comment>
    <comment ref="CN105" authorId="0" shapeId="0" xr:uid="{7DB0AD87-6A6A-431E-BF12-5E6F73E49C44}">
      <text>
        <r>
          <rPr>
            <b/>
            <sz val="9"/>
            <color indexed="81"/>
            <rFont val="Tahoma"/>
            <family val="2"/>
          </rPr>
          <t>Gavin Mudd:</t>
        </r>
        <r>
          <rPr>
            <sz val="9"/>
            <color indexed="81"/>
            <rFont val="Tahoma"/>
            <family val="2"/>
          </rPr>
          <t xml:space="preserve">
Pilbara + West Pilbara</t>
        </r>
      </text>
    </comment>
    <comment ref="CP105" authorId="0" shapeId="0" xr:uid="{446A1062-BAE3-4440-AD77-50C043325C56}">
      <text>
        <r>
          <rPr>
            <b/>
            <sz val="9"/>
            <color indexed="81"/>
            <rFont val="Tahoma"/>
            <family val="2"/>
          </rPr>
          <t>Gavin Mudd:</t>
        </r>
        <r>
          <rPr>
            <sz val="9"/>
            <color indexed="81"/>
            <rFont val="Tahoma"/>
            <family val="2"/>
          </rPr>
          <t xml:space="preserve">
Pilbara + West Pilbara</t>
        </r>
      </text>
    </comment>
    <comment ref="DL105" authorId="0" shapeId="0" xr:uid="{D944C498-0A97-480A-8FDC-DF9005984701}">
      <text>
        <r>
          <rPr>
            <b/>
            <sz val="9"/>
            <color indexed="81"/>
            <rFont val="Tahoma"/>
            <family val="2"/>
          </rPr>
          <t>Gavin Mudd:</t>
        </r>
        <r>
          <rPr>
            <sz val="9"/>
            <color indexed="81"/>
            <rFont val="Tahoma"/>
            <family val="2"/>
          </rPr>
          <t xml:space="preserve">
assumed</t>
        </r>
      </text>
    </comment>
    <comment ref="DM105" authorId="0" shapeId="0" xr:uid="{10FA55F3-934A-4954-BA50-C04A24217A6E}">
      <text>
        <r>
          <rPr>
            <b/>
            <sz val="9"/>
            <color indexed="81"/>
            <rFont val="Tahoma"/>
            <family val="2"/>
          </rPr>
          <t>Gavin Mudd:</t>
        </r>
        <r>
          <rPr>
            <sz val="9"/>
            <color indexed="81"/>
            <rFont val="Tahoma"/>
            <family val="2"/>
          </rPr>
          <t xml:space="preserve">
assumed</t>
        </r>
      </text>
    </comment>
    <comment ref="B106" authorId="0" shapeId="0" xr:uid="{E25941B1-9BF1-4882-B07E-D08296662C27}">
      <text>
        <r>
          <rPr>
            <b/>
            <sz val="9"/>
            <color indexed="81"/>
            <rFont val="Tahoma"/>
            <family val="2"/>
          </rPr>
          <t>Gavin Mudd:</t>
        </r>
        <r>
          <rPr>
            <sz val="9"/>
            <color indexed="81"/>
            <rFont val="Tahoma"/>
            <family val="2"/>
          </rPr>
          <t xml:space="preserve">
West Wyalong</t>
        </r>
      </text>
    </comment>
    <comment ref="C106" authorId="0" shapeId="0" xr:uid="{1D1C1E27-83EA-46EF-98A6-1E03856A708A}">
      <text>
        <r>
          <rPr>
            <b/>
            <sz val="9"/>
            <color indexed="81"/>
            <rFont val="Tahoma"/>
            <family val="2"/>
          </rPr>
          <t>Gavin Mudd:</t>
        </r>
        <r>
          <rPr>
            <sz val="9"/>
            <color indexed="81"/>
            <rFont val="Tahoma"/>
            <family val="2"/>
          </rPr>
          <t xml:space="preserve">
West Wyalong</t>
        </r>
      </text>
    </comment>
    <comment ref="P106" authorId="0" shapeId="0" xr:uid="{FDFF8C79-9AE2-4CBD-A52E-6E8A6646DBD2}">
      <text>
        <r>
          <rPr>
            <b/>
            <sz val="9"/>
            <color indexed="81"/>
            <rFont val="Tahoma"/>
            <family val="2"/>
          </rPr>
          <t>Gavin Mudd:</t>
        </r>
        <r>
          <rPr>
            <sz val="9"/>
            <color indexed="81"/>
            <rFont val="Tahoma"/>
            <family val="2"/>
          </rPr>
          <t xml:space="preserve">
Mullumbimby</t>
        </r>
      </text>
    </comment>
    <comment ref="Q106" authorId="0" shapeId="0" xr:uid="{B85F773E-46B8-424B-8B8D-A90A5EE7A700}">
      <text>
        <r>
          <rPr>
            <b/>
            <sz val="9"/>
            <color indexed="81"/>
            <rFont val="Tahoma"/>
            <family val="2"/>
          </rPr>
          <t>Gavin Mudd:</t>
        </r>
        <r>
          <rPr>
            <sz val="9"/>
            <color indexed="81"/>
            <rFont val="Tahoma"/>
            <family val="2"/>
          </rPr>
          <t xml:space="preserve">
assumed</t>
        </r>
      </text>
    </comment>
    <comment ref="BA106" authorId="0" shapeId="0" xr:uid="{36D4ABCB-1EC9-494D-88BF-910A609CD316}">
      <text>
        <r>
          <rPr>
            <b/>
            <sz val="9"/>
            <color indexed="81"/>
            <rFont val="Tahoma"/>
            <family val="2"/>
          </rPr>
          <t>Gavin Mudd:</t>
        </r>
        <r>
          <rPr>
            <sz val="9"/>
            <color indexed="81"/>
            <rFont val="Tahoma"/>
            <family val="2"/>
          </rPr>
          <t xml:space="preserve">
assumed</t>
        </r>
      </text>
    </comment>
    <comment ref="BB106" authorId="0" shapeId="0" xr:uid="{7950AA6D-FE19-475D-9C98-B247424846C4}">
      <text>
        <r>
          <rPr>
            <b/>
            <sz val="9"/>
            <color indexed="81"/>
            <rFont val="Tahoma"/>
            <family val="2"/>
          </rPr>
          <t>Gavin Mudd:</t>
        </r>
        <r>
          <rPr>
            <sz val="9"/>
            <color indexed="81"/>
            <rFont val="Tahoma"/>
            <family val="2"/>
          </rPr>
          <t xml:space="preserve">
assumed</t>
        </r>
      </text>
    </comment>
    <comment ref="CD106" authorId="0" shapeId="0" xr:uid="{E370A796-AC51-44B4-9691-29E60956789A}">
      <text>
        <r>
          <rPr>
            <b/>
            <sz val="9"/>
            <color indexed="81"/>
            <rFont val="Tahoma"/>
            <family val="2"/>
          </rPr>
          <t>Gavin Mudd:</t>
        </r>
        <r>
          <rPr>
            <sz val="9"/>
            <color indexed="81"/>
            <rFont val="Tahoma"/>
            <family val="2"/>
          </rPr>
          <t xml:space="preserve">
assumed</t>
        </r>
      </text>
    </comment>
    <comment ref="CE106" authorId="0" shapeId="0" xr:uid="{7CF9404C-DD28-43AB-A05C-F45DBC8C9969}">
      <text>
        <r>
          <rPr>
            <b/>
            <sz val="9"/>
            <color indexed="81"/>
            <rFont val="Tahoma"/>
            <family val="2"/>
          </rPr>
          <t>Gavin Mudd:</t>
        </r>
        <r>
          <rPr>
            <sz val="9"/>
            <color indexed="81"/>
            <rFont val="Tahoma"/>
            <family val="2"/>
          </rPr>
          <t xml:space="preserve">
assumed</t>
        </r>
      </text>
    </comment>
    <comment ref="CN106" authorId="0" shapeId="0" xr:uid="{933BB173-9E0B-4369-AD22-EB432DB293FD}">
      <text>
        <r>
          <rPr>
            <b/>
            <sz val="9"/>
            <color indexed="81"/>
            <rFont val="Tahoma"/>
            <family val="2"/>
          </rPr>
          <t>Gavin Mudd:</t>
        </r>
        <r>
          <rPr>
            <sz val="9"/>
            <color indexed="81"/>
            <rFont val="Tahoma"/>
            <family val="2"/>
          </rPr>
          <t xml:space="preserve">
Pilbara + West Pilbara</t>
        </r>
      </text>
    </comment>
    <comment ref="CP106" authorId="0" shapeId="0" xr:uid="{379DF907-0676-4431-89B9-26F624EAF12E}">
      <text>
        <r>
          <rPr>
            <b/>
            <sz val="9"/>
            <color indexed="81"/>
            <rFont val="Tahoma"/>
            <family val="2"/>
          </rPr>
          <t>Gavin Mudd:</t>
        </r>
        <r>
          <rPr>
            <sz val="9"/>
            <color indexed="81"/>
            <rFont val="Tahoma"/>
            <family val="2"/>
          </rPr>
          <t xml:space="preserve">
Pilbara + West Pilbara</t>
        </r>
      </text>
    </comment>
    <comment ref="DL106" authorId="0" shapeId="0" xr:uid="{EE2FC8A5-6AE3-4AE6-BBF5-D11EB4CD14C0}">
      <text>
        <r>
          <rPr>
            <b/>
            <sz val="9"/>
            <color indexed="81"/>
            <rFont val="Tahoma"/>
            <family val="2"/>
          </rPr>
          <t>Gavin Mudd:</t>
        </r>
        <r>
          <rPr>
            <sz val="9"/>
            <color indexed="81"/>
            <rFont val="Tahoma"/>
            <family val="2"/>
          </rPr>
          <t xml:space="preserve">
assumed</t>
        </r>
      </text>
    </comment>
    <comment ref="DM106" authorId="0" shapeId="0" xr:uid="{153F91CD-6E2A-4AA7-B54E-238EFDECFE5E}">
      <text>
        <r>
          <rPr>
            <b/>
            <sz val="9"/>
            <color indexed="81"/>
            <rFont val="Tahoma"/>
            <family val="2"/>
          </rPr>
          <t>Gavin Mudd:</t>
        </r>
        <r>
          <rPr>
            <sz val="9"/>
            <color indexed="81"/>
            <rFont val="Tahoma"/>
            <family val="2"/>
          </rPr>
          <t xml:space="preserve">
assumed</t>
        </r>
      </text>
    </comment>
    <comment ref="B107" authorId="0" shapeId="0" xr:uid="{12912E30-2109-4748-95D1-EF37E143A59F}">
      <text>
        <r>
          <rPr>
            <b/>
            <sz val="9"/>
            <color indexed="81"/>
            <rFont val="Tahoma"/>
            <family val="2"/>
          </rPr>
          <t>Gavin Mudd:</t>
        </r>
        <r>
          <rPr>
            <sz val="9"/>
            <color indexed="81"/>
            <rFont val="Tahoma"/>
            <family val="2"/>
          </rPr>
          <t xml:space="preserve">
West Wyalong</t>
        </r>
      </text>
    </comment>
    <comment ref="C107" authorId="0" shapeId="0" xr:uid="{EAC2659A-54A5-4868-839D-CCB5E63727E2}">
      <text>
        <r>
          <rPr>
            <b/>
            <sz val="9"/>
            <color indexed="81"/>
            <rFont val="Tahoma"/>
            <family val="2"/>
          </rPr>
          <t>Gavin Mudd:</t>
        </r>
        <r>
          <rPr>
            <sz val="9"/>
            <color indexed="81"/>
            <rFont val="Tahoma"/>
            <family val="2"/>
          </rPr>
          <t xml:space="preserve">
West Wyalong</t>
        </r>
      </text>
    </comment>
    <comment ref="BA107" authorId="0" shapeId="0" xr:uid="{D03581CB-0413-4D4D-B17F-C0A865CEC46C}">
      <text>
        <r>
          <rPr>
            <b/>
            <sz val="9"/>
            <color indexed="81"/>
            <rFont val="Tahoma"/>
            <family val="2"/>
          </rPr>
          <t>Gavin Mudd:</t>
        </r>
        <r>
          <rPr>
            <sz val="9"/>
            <color indexed="81"/>
            <rFont val="Tahoma"/>
            <family val="2"/>
          </rPr>
          <t xml:space="preserve">
assumed</t>
        </r>
      </text>
    </comment>
    <comment ref="BB107" authorId="0" shapeId="0" xr:uid="{1F31011C-D944-44BC-BE4E-AB75B0B5DBC9}">
      <text>
        <r>
          <rPr>
            <b/>
            <sz val="9"/>
            <color indexed="81"/>
            <rFont val="Tahoma"/>
            <family val="2"/>
          </rPr>
          <t>Gavin Mudd:</t>
        </r>
        <r>
          <rPr>
            <sz val="9"/>
            <color indexed="81"/>
            <rFont val="Tahoma"/>
            <family val="2"/>
          </rPr>
          <t xml:space="preserve">
assumed</t>
        </r>
      </text>
    </comment>
    <comment ref="CD107" authorId="0" shapeId="0" xr:uid="{8E41DA83-E627-43B9-AB1F-594E804AE9F3}">
      <text>
        <r>
          <rPr>
            <b/>
            <sz val="9"/>
            <color indexed="81"/>
            <rFont val="Tahoma"/>
            <family val="2"/>
          </rPr>
          <t>Gavin Mudd:</t>
        </r>
        <r>
          <rPr>
            <sz val="9"/>
            <color indexed="81"/>
            <rFont val="Tahoma"/>
            <family val="2"/>
          </rPr>
          <t xml:space="preserve">
assumed</t>
        </r>
      </text>
    </comment>
    <comment ref="CE107" authorId="0" shapeId="0" xr:uid="{CBD3FAD1-6A43-4B8D-8A9F-74794BFD8A31}">
      <text>
        <r>
          <rPr>
            <b/>
            <sz val="9"/>
            <color indexed="81"/>
            <rFont val="Tahoma"/>
            <family val="2"/>
          </rPr>
          <t>Gavin Mudd:</t>
        </r>
        <r>
          <rPr>
            <sz val="9"/>
            <color indexed="81"/>
            <rFont val="Tahoma"/>
            <family val="2"/>
          </rPr>
          <t xml:space="preserve">
assumed</t>
        </r>
      </text>
    </comment>
    <comment ref="DL107" authorId="0" shapeId="0" xr:uid="{68197490-E3AC-40C3-8E20-95305E86A235}">
      <text>
        <r>
          <rPr>
            <b/>
            <sz val="9"/>
            <color indexed="81"/>
            <rFont val="Tahoma"/>
            <family val="2"/>
          </rPr>
          <t>Gavin Mudd:</t>
        </r>
        <r>
          <rPr>
            <sz val="9"/>
            <color indexed="81"/>
            <rFont val="Tahoma"/>
            <family val="2"/>
          </rPr>
          <t xml:space="preserve">
assumed</t>
        </r>
      </text>
    </comment>
    <comment ref="DM107" authorId="0" shapeId="0" xr:uid="{35086CBD-0E90-45E1-9787-D3485601BBE0}">
      <text>
        <r>
          <rPr>
            <b/>
            <sz val="9"/>
            <color indexed="81"/>
            <rFont val="Tahoma"/>
            <family val="2"/>
          </rPr>
          <t>Gavin Mudd:</t>
        </r>
        <r>
          <rPr>
            <sz val="9"/>
            <color indexed="81"/>
            <rFont val="Tahoma"/>
            <family val="2"/>
          </rPr>
          <t xml:space="preserve">
assumed</t>
        </r>
      </text>
    </comment>
    <comment ref="B108" authorId="0" shapeId="0" xr:uid="{1FF7D7AC-3E6F-4291-8146-4B21365ADBED}">
      <text>
        <r>
          <rPr>
            <b/>
            <sz val="9"/>
            <color indexed="81"/>
            <rFont val="Tahoma"/>
            <family val="2"/>
          </rPr>
          <t>Gavin Mudd:</t>
        </r>
        <r>
          <rPr>
            <sz val="9"/>
            <color indexed="81"/>
            <rFont val="Tahoma"/>
            <family val="2"/>
          </rPr>
          <t xml:space="preserve">
West Wyalong</t>
        </r>
      </text>
    </comment>
    <comment ref="C108" authorId="0" shapeId="0" xr:uid="{CA67B3F3-B7A4-4C1A-8627-2AF7EC8A769F}">
      <text>
        <r>
          <rPr>
            <b/>
            <sz val="9"/>
            <color indexed="81"/>
            <rFont val="Tahoma"/>
            <family val="2"/>
          </rPr>
          <t>Gavin Mudd:</t>
        </r>
        <r>
          <rPr>
            <sz val="9"/>
            <color indexed="81"/>
            <rFont val="Tahoma"/>
            <family val="2"/>
          </rPr>
          <t xml:space="preserve">
West Wyalong</t>
        </r>
      </text>
    </comment>
    <comment ref="BA108" authorId="0" shapeId="0" xr:uid="{4AC85346-96B1-4F34-8CB7-CE848A60CA36}">
      <text>
        <r>
          <rPr>
            <b/>
            <sz val="9"/>
            <color indexed="81"/>
            <rFont val="Tahoma"/>
            <family val="2"/>
          </rPr>
          <t>Gavin Mudd:</t>
        </r>
        <r>
          <rPr>
            <sz val="9"/>
            <color indexed="81"/>
            <rFont val="Tahoma"/>
            <family val="2"/>
          </rPr>
          <t xml:space="preserve">
assumed</t>
        </r>
      </text>
    </comment>
    <comment ref="BB108" authorId="0" shapeId="0" xr:uid="{E90A87C4-16DC-4DD9-8C3D-09DCE5BA2427}">
      <text>
        <r>
          <rPr>
            <b/>
            <sz val="9"/>
            <color indexed="81"/>
            <rFont val="Tahoma"/>
            <family val="2"/>
          </rPr>
          <t>Gavin Mudd:</t>
        </r>
        <r>
          <rPr>
            <sz val="9"/>
            <color indexed="81"/>
            <rFont val="Tahoma"/>
            <family val="2"/>
          </rPr>
          <t xml:space="preserve">
assumed</t>
        </r>
      </text>
    </comment>
    <comment ref="CD108" authorId="0" shapeId="0" xr:uid="{82B09D68-C600-47E2-8639-90D4C751702D}">
      <text>
        <r>
          <rPr>
            <b/>
            <sz val="9"/>
            <color indexed="81"/>
            <rFont val="Tahoma"/>
            <family val="2"/>
          </rPr>
          <t>Gavin Mudd:</t>
        </r>
        <r>
          <rPr>
            <sz val="9"/>
            <color indexed="81"/>
            <rFont val="Tahoma"/>
            <family val="2"/>
          </rPr>
          <t xml:space="preserve">
assumed</t>
        </r>
      </text>
    </comment>
    <comment ref="CE108" authorId="0" shapeId="0" xr:uid="{F44621FB-E0AF-43B9-AFFD-ADB87CFADC3B}">
      <text>
        <r>
          <rPr>
            <b/>
            <sz val="9"/>
            <color indexed="81"/>
            <rFont val="Tahoma"/>
            <family val="2"/>
          </rPr>
          <t>Gavin Mudd:</t>
        </r>
        <r>
          <rPr>
            <sz val="9"/>
            <color indexed="81"/>
            <rFont val="Tahoma"/>
            <family val="2"/>
          </rPr>
          <t xml:space="preserve">
assumed</t>
        </r>
      </text>
    </comment>
    <comment ref="DL108" authorId="0" shapeId="0" xr:uid="{34F1AF86-6CB2-4AC2-8CB2-01F5B9E5EE1E}">
      <text>
        <r>
          <rPr>
            <b/>
            <sz val="9"/>
            <color indexed="81"/>
            <rFont val="Tahoma"/>
            <family val="2"/>
          </rPr>
          <t>Gavin Mudd:</t>
        </r>
        <r>
          <rPr>
            <sz val="9"/>
            <color indexed="81"/>
            <rFont val="Tahoma"/>
            <family val="2"/>
          </rPr>
          <t xml:space="preserve">
assumed</t>
        </r>
      </text>
    </comment>
    <comment ref="DM108" authorId="0" shapeId="0" xr:uid="{61BDC6F1-D78E-475C-B352-16F80DCA0C5B}">
      <text>
        <r>
          <rPr>
            <b/>
            <sz val="9"/>
            <color indexed="81"/>
            <rFont val="Tahoma"/>
            <family val="2"/>
          </rPr>
          <t>Gavin Mudd:</t>
        </r>
        <r>
          <rPr>
            <sz val="9"/>
            <color indexed="81"/>
            <rFont val="Tahoma"/>
            <family val="2"/>
          </rPr>
          <t xml:space="preserve">
assumed</t>
        </r>
      </text>
    </comment>
    <comment ref="B109" authorId="0" shapeId="0" xr:uid="{CB752941-60A1-4B36-9C9C-C71601A79630}">
      <text>
        <r>
          <rPr>
            <b/>
            <sz val="9"/>
            <color indexed="81"/>
            <rFont val="Tahoma"/>
            <family val="2"/>
          </rPr>
          <t>Gavin Mudd:</t>
        </r>
        <r>
          <rPr>
            <sz val="9"/>
            <color indexed="81"/>
            <rFont val="Tahoma"/>
            <family val="2"/>
          </rPr>
          <t xml:space="preserve">
West Wyalong</t>
        </r>
      </text>
    </comment>
    <comment ref="C109" authorId="0" shapeId="0" xr:uid="{F65F104F-471B-49F1-936A-8360CE051341}">
      <text>
        <r>
          <rPr>
            <b/>
            <sz val="9"/>
            <color indexed="81"/>
            <rFont val="Tahoma"/>
            <family val="2"/>
          </rPr>
          <t>Gavin Mudd:</t>
        </r>
        <r>
          <rPr>
            <sz val="9"/>
            <color indexed="81"/>
            <rFont val="Tahoma"/>
            <family val="2"/>
          </rPr>
          <t xml:space="preserve">
West Wyalong</t>
        </r>
      </text>
    </comment>
    <comment ref="Q109" authorId="0" shapeId="0" xr:uid="{BE0B8AA4-A6EB-4E08-B3FF-9D7B29786611}">
      <text>
        <r>
          <rPr>
            <b/>
            <sz val="9"/>
            <color indexed="81"/>
            <rFont val="Tahoma"/>
            <family val="2"/>
          </rPr>
          <t>Gavin Mudd:</t>
        </r>
        <r>
          <rPr>
            <sz val="9"/>
            <color indexed="81"/>
            <rFont val="Tahoma"/>
            <family val="2"/>
          </rPr>
          <t xml:space="preserve">
assumed</t>
        </r>
      </text>
    </comment>
    <comment ref="CD109" authorId="0" shapeId="0" xr:uid="{CF58444E-68FC-468A-BA33-9D802E209A48}">
      <text>
        <r>
          <rPr>
            <b/>
            <sz val="9"/>
            <color indexed="81"/>
            <rFont val="Tahoma"/>
            <family val="2"/>
          </rPr>
          <t>Gavin Mudd:</t>
        </r>
        <r>
          <rPr>
            <sz val="9"/>
            <color indexed="81"/>
            <rFont val="Tahoma"/>
            <family val="2"/>
          </rPr>
          <t xml:space="preserve">
assumed</t>
        </r>
      </text>
    </comment>
    <comment ref="CE109" authorId="0" shapeId="0" xr:uid="{88BF43E5-E2F4-45B2-A4FB-E0DA9FE19BDC}">
      <text>
        <r>
          <rPr>
            <b/>
            <sz val="9"/>
            <color indexed="81"/>
            <rFont val="Tahoma"/>
            <family val="2"/>
          </rPr>
          <t>Gavin Mudd:</t>
        </r>
        <r>
          <rPr>
            <sz val="9"/>
            <color indexed="81"/>
            <rFont val="Tahoma"/>
            <family val="2"/>
          </rPr>
          <t xml:space="preserve">
assumed</t>
        </r>
      </text>
    </comment>
    <comment ref="DH109" authorId="0" shapeId="0" xr:uid="{D819D571-E537-4C72-8076-159ABB7F5529}">
      <text>
        <r>
          <rPr>
            <b/>
            <sz val="9"/>
            <color indexed="81"/>
            <rFont val="Tahoma"/>
            <family val="2"/>
          </rPr>
          <t>Gavin Mudd:</t>
        </r>
        <r>
          <rPr>
            <sz val="9"/>
            <color indexed="81"/>
            <rFont val="Tahoma"/>
            <family val="2"/>
          </rPr>
          <t xml:space="preserve">
less than half of one ton</t>
        </r>
      </text>
    </comment>
    <comment ref="DJ109" authorId="0" shapeId="0" xr:uid="{ED32F88D-2047-4AB1-AA89-D487D34A79D6}">
      <text>
        <r>
          <rPr>
            <b/>
            <sz val="9"/>
            <color indexed="81"/>
            <rFont val="Tahoma"/>
            <family val="2"/>
          </rPr>
          <t>Gavin Mudd:</t>
        </r>
        <r>
          <rPr>
            <sz val="9"/>
            <color indexed="81"/>
            <rFont val="Tahoma"/>
            <family val="2"/>
          </rPr>
          <t xml:space="preserve">
less than half of one ton</t>
        </r>
      </text>
    </comment>
    <comment ref="DL109" authorId="0" shapeId="0" xr:uid="{68184BC4-3063-4B4A-BE76-0BAE42FE7BD0}">
      <text>
        <r>
          <rPr>
            <b/>
            <sz val="9"/>
            <color indexed="81"/>
            <rFont val="Tahoma"/>
            <family val="2"/>
          </rPr>
          <t>Gavin Mudd:</t>
        </r>
        <r>
          <rPr>
            <sz val="9"/>
            <color indexed="81"/>
            <rFont val="Tahoma"/>
            <family val="2"/>
          </rPr>
          <t xml:space="preserve">
assumed</t>
        </r>
      </text>
    </comment>
    <comment ref="DM109" authorId="0" shapeId="0" xr:uid="{C234CE0E-3CF9-47DC-9022-3FAE46E9A50A}">
      <text>
        <r>
          <rPr>
            <b/>
            <sz val="9"/>
            <color indexed="81"/>
            <rFont val="Tahoma"/>
            <family val="2"/>
          </rPr>
          <t>Gavin Mudd:</t>
        </r>
        <r>
          <rPr>
            <sz val="9"/>
            <color indexed="81"/>
            <rFont val="Tahoma"/>
            <family val="2"/>
          </rPr>
          <t xml:space="preserve">
assumed</t>
        </r>
      </text>
    </comment>
    <comment ref="B110" authorId="0" shapeId="0" xr:uid="{A9437225-C420-4E30-9B0E-732A514B445E}">
      <text>
        <r>
          <rPr>
            <b/>
            <sz val="9"/>
            <color indexed="81"/>
            <rFont val="Tahoma"/>
            <family val="2"/>
          </rPr>
          <t>Gavin Mudd:</t>
        </r>
        <r>
          <rPr>
            <sz val="9"/>
            <color indexed="81"/>
            <rFont val="Tahoma"/>
            <family val="2"/>
          </rPr>
          <t xml:space="preserve">
West Wyalong</t>
        </r>
      </text>
    </comment>
    <comment ref="C110" authorId="0" shapeId="0" xr:uid="{1C1C71C2-18D6-4D41-9B8A-2360012BB718}">
      <text>
        <r>
          <rPr>
            <b/>
            <sz val="9"/>
            <color indexed="81"/>
            <rFont val="Tahoma"/>
            <family val="2"/>
          </rPr>
          <t>Gavin Mudd:</t>
        </r>
        <r>
          <rPr>
            <sz val="9"/>
            <color indexed="81"/>
            <rFont val="Tahoma"/>
            <family val="2"/>
          </rPr>
          <t xml:space="preserve">
West Wyalong</t>
        </r>
      </text>
    </comment>
    <comment ref="BA110" authorId="0" shapeId="0" xr:uid="{48CA099B-D934-4CB6-8685-4E56C2F1870A}">
      <text>
        <r>
          <rPr>
            <b/>
            <sz val="9"/>
            <color indexed="81"/>
            <rFont val="Tahoma"/>
            <family val="2"/>
          </rPr>
          <t>Gavin Mudd:</t>
        </r>
        <r>
          <rPr>
            <sz val="9"/>
            <color indexed="81"/>
            <rFont val="Tahoma"/>
            <family val="2"/>
          </rPr>
          <t xml:space="preserve">
assumed</t>
        </r>
      </text>
    </comment>
    <comment ref="BB110" authorId="0" shapeId="0" xr:uid="{6CA556C1-18EA-4C83-B337-BD1CEDA07474}">
      <text>
        <r>
          <rPr>
            <b/>
            <sz val="9"/>
            <color indexed="81"/>
            <rFont val="Tahoma"/>
            <family val="2"/>
          </rPr>
          <t>Gavin Mudd:</t>
        </r>
        <r>
          <rPr>
            <sz val="9"/>
            <color indexed="81"/>
            <rFont val="Tahoma"/>
            <family val="2"/>
          </rPr>
          <t xml:space="preserve">
assumed</t>
        </r>
      </text>
    </comment>
    <comment ref="CD110" authorId="0" shapeId="0" xr:uid="{93337FF3-CAE6-4856-A271-74691306D041}">
      <text>
        <r>
          <rPr>
            <b/>
            <sz val="9"/>
            <color indexed="81"/>
            <rFont val="Tahoma"/>
            <family val="2"/>
          </rPr>
          <t>Gavin Mudd:</t>
        </r>
        <r>
          <rPr>
            <sz val="9"/>
            <color indexed="81"/>
            <rFont val="Tahoma"/>
            <family val="2"/>
          </rPr>
          <t xml:space="preserve">
assumed</t>
        </r>
      </text>
    </comment>
    <comment ref="CE110" authorId="0" shapeId="0" xr:uid="{CC28195B-5BA0-4D64-8190-4E2D4317DC10}">
      <text>
        <r>
          <rPr>
            <b/>
            <sz val="9"/>
            <color indexed="81"/>
            <rFont val="Tahoma"/>
            <family val="2"/>
          </rPr>
          <t>Gavin Mudd:</t>
        </r>
        <r>
          <rPr>
            <sz val="9"/>
            <color indexed="81"/>
            <rFont val="Tahoma"/>
            <family val="2"/>
          </rPr>
          <t xml:space="preserve">
assumed</t>
        </r>
      </text>
    </comment>
    <comment ref="DL110" authorId="0" shapeId="0" xr:uid="{F970930B-8243-447E-8D8F-36308A008FD4}">
      <text>
        <r>
          <rPr>
            <b/>
            <sz val="9"/>
            <color indexed="81"/>
            <rFont val="Tahoma"/>
            <family val="2"/>
          </rPr>
          <t>Gavin Mudd:</t>
        </r>
        <r>
          <rPr>
            <sz val="9"/>
            <color indexed="81"/>
            <rFont val="Tahoma"/>
            <family val="2"/>
          </rPr>
          <t xml:space="preserve">
assumed</t>
        </r>
      </text>
    </comment>
    <comment ref="DM110" authorId="0" shapeId="0" xr:uid="{ED0126DE-A0EA-4A4D-8983-B1FF94968F9E}">
      <text>
        <r>
          <rPr>
            <b/>
            <sz val="9"/>
            <color indexed="81"/>
            <rFont val="Tahoma"/>
            <family val="2"/>
          </rPr>
          <t>Gavin Mudd:</t>
        </r>
        <r>
          <rPr>
            <sz val="9"/>
            <color indexed="81"/>
            <rFont val="Tahoma"/>
            <family val="2"/>
          </rPr>
          <t xml:space="preserve">
assumed</t>
        </r>
      </text>
    </comment>
    <comment ref="B111" authorId="0" shapeId="0" xr:uid="{C6E0FC72-6CEF-4955-B909-37C7C9D2A3AD}">
      <text>
        <r>
          <rPr>
            <b/>
            <sz val="9"/>
            <color indexed="81"/>
            <rFont val="Tahoma"/>
            <family val="2"/>
          </rPr>
          <t>Gavin Mudd:</t>
        </r>
        <r>
          <rPr>
            <sz val="9"/>
            <color indexed="81"/>
            <rFont val="Tahoma"/>
            <family val="2"/>
          </rPr>
          <t xml:space="preserve">
West Wyalong</t>
        </r>
      </text>
    </comment>
    <comment ref="C111" authorId="0" shapeId="0" xr:uid="{CB848413-93C4-4C8B-B607-773F59652AA5}">
      <text>
        <r>
          <rPr>
            <b/>
            <sz val="9"/>
            <color indexed="81"/>
            <rFont val="Tahoma"/>
            <family val="2"/>
          </rPr>
          <t>Gavin Mudd:</t>
        </r>
        <r>
          <rPr>
            <sz val="9"/>
            <color indexed="81"/>
            <rFont val="Tahoma"/>
            <family val="2"/>
          </rPr>
          <t xml:space="preserve">
West Wyalong</t>
        </r>
      </text>
    </comment>
    <comment ref="CD111" authorId="0" shapeId="0" xr:uid="{F287F171-7B3C-4206-814F-D7A484718C04}">
      <text>
        <r>
          <rPr>
            <b/>
            <sz val="9"/>
            <color indexed="81"/>
            <rFont val="Tahoma"/>
            <family val="2"/>
          </rPr>
          <t>Gavin Mudd:</t>
        </r>
        <r>
          <rPr>
            <sz val="9"/>
            <color indexed="81"/>
            <rFont val="Tahoma"/>
            <family val="2"/>
          </rPr>
          <t xml:space="preserve">
assumed</t>
        </r>
      </text>
    </comment>
    <comment ref="CE111" authorId="0" shapeId="0" xr:uid="{6B80F035-6813-403C-9EF9-71F8F6E336DF}">
      <text>
        <r>
          <rPr>
            <b/>
            <sz val="9"/>
            <color indexed="81"/>
            <rFont val="Tahoma"/>
            <family val="2"/>
          </rPr>
          <t>Gavin Mudd:</t>
        </r>
        <r>
          <rPr>
            <sz val="9"/>
            <color indexed="81"/>
            <rFont val="Tahoma"/>
            <family val="2"/>
          </rPr>
          <t xml:space="preserve">
assumed</t>
        </r>
      </text>
    </comment>
    <comment ref="DJ111" authorId="0" shapeId="0" xr:uid="{F833A268-D630-4D9E-86D0-DE5C7F4A0C72}">
      <text>
        <r>
          <rPr>
            <b/>
            <sz val="9"/>
            <color indexed="81"/>
            <rFont val="Tahoma"/>
            <family val="2"/>
          </rPr>
          <t>Gavin Mudd:</t>
        </r>
        <r>
          <rPr>
            <sz val="9"/>
            <color indexed="81"/>
            <rFont val="Tahoma"/>
            <family val="2"/>
          </rPr>
          <t xml:space="preserve">
less than half of one ton</t>
        </r>
      </text>
    </comment>
    <comment ref="DL111" authorId="0" shapeId="0" xr:uid="{FD3CC68E-9DAE-45AF-8BE3-8BCB4C1BBA3F}">
      <text>
        <r>
          <rPr>
            <b/>
            <sz val="9"/>
            <color indexed="81"/>
            <rFont val="Tahoma"/>
            <family val="2"/>
          </rPr>
          <t>Gavin Mudd:</t>
        </r>
        <r>
          <rPr>
            <sz val="9"/>
            <color indexed="81"/>
            <rFont val="Tahoma"/>
            <family val="2"/>
          </rPr>
          <t xml:space="preserve">
assumed</t>
        </r>
      </text>
    </comment>
    <comment ref="DM111" authorId="0" shapeId="0" xr:uid="{20029358-49B2-4421-BD6C-010BA51AFD13}">
      <text>
        <r>
          <rPr>
            <b/>
            <sz val="9"/>
            <color indexed="81"/>
            <rFont val="Tahoma"/>
            <family val="2"/>
          </rPr>
          <t>Gavin Mudd:</t>
        </r>
        <r>
          <rPr>
            <sz val="9"/>
            <color indexed="81"/>
            <rFont val="Tahoma"/>
            <family val="2"/>
          </rPr>
          <t xml:space="preserve">
assumed</t>
        </r>
      </text>
    </comment>
    <comment ref="B112" authorId="0" shapeId="0" xr:uid="{2CAC112C-4DD7-4835-9593-5D83B5C3AE0F}">
      <text>
        <r>
          <rPr>
            <b/>
            <sz val="9"/>
            <color indexed="81"/>
            <rFont val="Tahoma"/>
            <family val="2"/>
          </rPr>
          <t>Gavin Mudd:</t>
        </r>
        <r>
          <rPr>
            <sz val="9"/>
            <color indexed="81"/>
            <rFont val="Tahoma"/>
            <family val="2"/>
          </rPr>
          <t xml:space="preserve">
West Wyalong</t>
        </r>
      </text>
    </comment>
    <comment ref="C112" authorId="0" shapeId="0" xr:uid="{8A38FF64-DFE7-479C-80CD-2B68B58445AA}">
      <text>
        <r>
          <rPr>
            <b/>
            <sz val="9"/>
            <color indexed="81"/>
            <rFont val="Tahoma"/>
            <family val="2"/>
          </rPr>
          <t>Gavin Mudd:</t>
        </r>
        <r>
          <rPr>
            <sz val="9"/>
            <color indexed="81"/>
            <rFont val="Tahoma"/>
            <family val="2"/>
          </rPr>
          <t xml:space="preserve">
West Wyalong</t>
        </r>
      </text>
    </comment>
    <comment ref="CD112" authorId="0" shapeId="0" xr:uid="{25F33A74-41AF-46E6-9829-CFA8F8FF669D}">
      <text>
        <r>
          <rPr>
            <b/>
            <sz val="9"/>
            <color indexed="81"/>
            <rFont val="Tahoma"/>
            <family val="2"/>
          </rPr>
          <t>Gavin Mudd:</t>
        </r>
        <r>
          <rPr>
            <sz val="9"/>
            <color indexed="81"/>
            <rFont val="Tahoma"/>
            <family val="2"/>
          </rPr>
          <t xml:space="preserve">
assumed</t>
        </r>
      </text>
    </comment>
    <comment ref="CE112" authorId="0" shapeId="0" xr:uid="{2FE22FEC-B96C-4280-9DCB-C6AC409BA874}">
      <text>
        <r>
          <rPr>
            <b/>
            <sz val="9"/>
            <color indexed="81"/>
            <rFont val="Tahoma"/>
            <family val="2"/>
          </rPr>
          <t>Gavin Mudd:</t>
        </r>
        <r>
          <rPr>
            <sz val="9"/>
            <color indexed="81"/>
            <rFont val="Tahoma"/>
            <family val="2"/>
          </rPr>
          <t xml:space="preserve">
assumed</t>
        </r>
      </text>
    </comment>
    <comment ref="DL112" authorId="0" shapeId="0" xr:uid="{555E8D3F-7228-4E0B-B8A5-D5FFE57C5F1A}">
      <text>
        <r>
          <rPr>
            <b/>
            <sz val="9"/>
            <color indexed="81"/>
            <rFont val="Tahoma"/>
            <family val="2"/>
          </rPr>
          <t>Gavin Mudd:</t>
        </r>
        <r>
          <rPr>
            <sz val="9"/>
            <color indexed="81"/>
            <rFont val="Tahoma"/>
            <family val="2"/>
          </rPr>
          <t xml:space="preserve">
assumed</t>
        </r>
      </text>
    </comment>
    <comment ref="DM112" authorId="0" shapeId="0" xr:uid="{86DD0870-39B8-4B0D-A7C4-59E8EFA0D9F7}">
      <text>
        <r>
          <rPr>
            <b/>
            <sz val="9"/>
            <color indexed="81"/>
            <rFont val="Tahoma"/>
            <family val="2"/>
          </rPr>
          <t>Gavin Mudd:</t>
        </r>
        <r>
          <rPr>
            <sz val="9"/>
            <color indexed="81"/>
            <rFont val="Tahoma"/>
            <family val="2"/>
          </rPr>
          <t xml:space="preserve">
assumed</t>
        </r>
      </text>
    </comment>
    <comment ref="B113" authorId="0" shapeId="0" xr:uid="{6A241C01-E058-4CAB-9EFE-1CBB1B28FEED}">
      <text>
        <r>
          <rPr>
            <b/>
            <sz val="9"/>
            <color indexed="81"/>
            <rFont val="Tahoma"/>
            <family val="2"/>
          </rPr>
          <t>Gavin Mudd:</t>
        </r>
        <r>
          <rPr>
            <sz val="9"/>
            <color indexed="81"/>
            <rFont val="Tahoma"/>
            <family val="2"/>
          </rPr>
          <t xml:space="preserve">
West Wyalong</t>
        </r>
      </text>
    </comment>
    <comment ref="C113" authorId="0" shapeId="0" xr:uid="{515157DA-2C48-4E78-A2E9-65B410E266A1}">
      <text>
        <r>
          <rPr>
            <b/>
            <sz val="9"/>
            <color indexed="81"/>
            <rFont val="Tahoma"/>
            <family val="2"/>
          </rPr>
          <t>Gavin Mudd:</t>
        </r>
        <r>
          <rPr>
            <sz val="9"/>
            <color indexed="81"/>
            <rFont val="Tahoma"/>
            <family val="2"/>
          </rPr>
          <t xml:space="preserve">
West Wyalong</t>
        </r>
      </text>
    </comment>
    <comment ref="CD113" authorId="0" shapeId="0" xr:uid="{DCFCE014-992B-4C5E-93E8-7CF696AE942C}">
      <text>
        <r>
          <rPr>
            <b/>
            <sz val="9"/>
            <color indexed="81"/>
            <rFont val="Tahoma"/>
            <family val="2"/>
          </rPr>
          <t>Gavin Mudd:</t>
        </r>
        <r>
          <rPr>
            <sz val="9"/>
            <color indexed="81"/>
            <rFont val="Tahoma"/>
            <family val="2"/>
          </rPr>
          <t xml:space="preserve">
assumed</t>
        </r>
      </text>
    </comment>
    <comment ref="CE113" authorId="0" shapeId="0" xr:uid="{8303B6A5-5143-4F1E-96C0-4C736D7B1FA2}">
      <text>
        <r>
          <rPr>
            <b/>
            <sz val="9"/>
            <color indexed="81"/>
            <rFont val="Tahoma"/>
            <family val="2"/>
          </rPr>
          <t>Gavin Mudd:</t>
        </r>
        <r>
          <rPr>
            <sz val="9"/>
            <color indexed="81"/>
            <rFont val="Tahoma"/>
            <family val="2"/>
          </rPr>
          <t xml:space="preserve">
assumed</t>
        </r>
      </text>
    </comment>
    <comment ref="DL113" authorId="0" shapeId="0" xr:uid="{DB2D7A23-CABB-4DE0-8BA0-9F91A8003667}">
      <text>
        <r>
          <rPr>
            <b/>
            <sz val="9"/>
            <color indexed="81"/>
            <rFont val="Tahoma"/>
            <family val="2"/>
          </rPr>
          <t>Gavin Mudd:</t>
        </r>
        <r>
          <rPr>
            <sz val="9"/>
            <color indexed="81"/>
            <rFont val="Tahoma"/>
            <family val="2"/>
          </rPr>
          <t xml:space="preserve">
assumed</t>
        </r>
      </text>
    </comment>
    <comment ref="DM113" authorId="0" shapeId="0" xr:uid="{381F2616-6043-4719-BA28-16176B421291}">
      <text>
        <r>
          <rPr>
            <b/>
            <sz val="9"/>
            <color indexed="81"/>
            <rFont val="Tahoma"/>
            <family val="2"/>
          </rPr>
          <t>Gavin Mudd:</t>
        </r>
        <r>
          <rPr>
            <sz val="9"/>
            <color indexed="81"/>
            <rFont val="Tahoma"/>
            <family val="2"/>
          </rPr>
          <t xml:space="preserve">
assumed</t>
        </r>
      </text>
    </comment>
    <comment ref="B114" authorId="0" shapeId="0" xr:uid="{7A44653C-95CA-4917-996B-F7695EE7B67E}">
      <text>
        <r>
          <rPr>
            <b/>
            <sz val="9"/>
            <color indexed="81"/>
            <rFont val="Tahoma"/>
            <family val="2"/>
          </rPr>
          <t>Gavin Mudd:</t>
        </r>
        <r>
          <rPr>
            <sz val="9"/>
            <color indexed="81"/>
            <rFont val="Tahoma"/>
            <family val="2"/>
          </rPr>
          <t xml:space="preserve">
West Wyalong</t>
        </r>
      </text>
    </comment>
    <comment ref="C114" authorId="0" shapeId="0" xr:uid="{97ADCD1E-9885-4193-8510-9F8BFDF7DD05}">
      <text>
        <r>
          <rPr>
            <b/>
            <sz val="9"/>
            <color indexed="81"/>
            <rFont val="Tahoma"/>
            <family val="2"/>
          </rPr>
          <t>Gavin Mudd:</t>
        </r>
        <r>
          <rPr>
            <sz val="9"/>
            <color indexed="81"/>
            <rFont val="Tahoma"/>
            <family val="2"/>
          </rPr>
          <t xml:space="preserve">
West Wyalong</t>
        </r>
      </text>
    </comment>
    <comment ref="CD114" authorId="0" shapeId="0" xr:uid="{DD49D87B-7700-43BA-BDBD-952996B45153}">
      <text>
        <r>
          <rPr>
            <b/>
            <sz val="9"/>
            <color indexed="81"/>
            <rFont val="Tahoma"/>
            <family val="2"/>
          </rPr>
          <t>Gavin Mudd:</t>
        </r>
        <r>
          <rPr>
            <sz val="9"/>
            <color indexed="81"/>
            <rFont val="Tahoma"/>
            <family val="2"/>
          </rPr>
          <t xml:space="preserve">
assumed</t>
        </r>
      </text>
    </comment>
    <comment ref="CE114" authorId="0" shapeId="0" xr:uid="{B3CA04A7-BE88-4E03-9F1E-0B6AFCC8970C}">
      <text>
        <r>
          <rPr>
            <b/>
            <sz val="9"/>
            <color indexed="81"/>
            <rFont val="Tahoma"/>
            <family val="2"/>
          </rPr>
          <t>Gavin Mudd:</t>
        </r>
        <r>
          <rPr>
            <sz val="9"/>
            <color indexed="81"/>
            <rFont val="Tahoma"/>
            <family val="2"/>
          </rPr>
          <t xml:space="preserve">
assumed</t>
        </r>
      </text>
    </comment>
    <comment ref="DL114" authorId="0" shapeId="0" xr:uid="{CB3A24D2-440B-478E-A484-44E9DB30AD96}">
      <text>
        <r>
          <rPr>
            <b/>
            <sz val="9"/>
            <color indexed="81"/>
            <rFont val="Tahoma"/>
            <family val="2"/>
          </rPr>
          <t>Gavin Mudd:</t>
        </r>
        <r>
          <rPr>
            <sz val="9"/>
            <color indexed="81"/>
            <rFont val="Tahoma"/>
            <family val="2"/>
          </rPr>
          <t xml:space="preserve">
assumed</t>
        </r>
      </text>
    </comment>
    <comment ref="DM114" authorId="0" shapeId="0" xr:uid="{24A9D3D5-7600-43F0-937A-BBD80002064D}">
      <text>
        <r>
          <rPr>
            <b/>
            <sz val="9"/>
            <color indexed="81"/>
            <rFont val="Tahoma"/>
            <family val="2"/>
          </rPr>
          <t>Gavin Mudd:</t>
        </r>
        <r>
          <rPr>
            <sz val="9"/>
            <color indexed="81"/>
            <rFont val="Tahoma"/>
            <family val="2"/>
          </rPr>
          <t xml:space="preserve">
assumed</t>
        </r>
      </text>
    </comment>
    <comment ref="B115" authorId="0" shapeId="0" xr:uid="{E3D7729E-E94E-4229-A7ED-2AE6F1A7FB5C}">
      <text>
        <r>
          <rPr>
            <b/>
            <sz val="9"/>
            <color indexed="81"/>
            <rFont val="Tahoma"/>
            <family val="2"/>
          </rPr>
          <t>Gavin Mudd:</t>
        </r>
        <r>
          <rPr>
            <sz val="9"/>
            <color indexed="81"/>
            <rFont val="Tahoma"/>
            <family val="2"/>
          </rPr>
          <t xml:space="preserve">
West Wyalong</t>
        </r>
      </text>
    </comment>
    <comment ref="C115" authorId="0" shapeId="0" xr:uid="{5C3DC1E5-ED4F-4C34-A8F6-928B7B5F25E3}">
      <text>
        <r>
          <rPr>
            <b/>
            <sz val="9"/>
            <color indexed="81"/>
            <rFont val="Tahoma"/>
            <family val="2"/>
          </rPr>
          <t>Gavin Mudd:</t>
        </r>
        <r>
          <rPr>
            <sz val="9"/>
            <color indexed="81"/>
            <rFont val="Tahoma"/>
            <family val="2"/>
          </rPr>
          <t xml:space="preserve">
West Wyalong</t>
        </r>
      </text>
    </comment>
    <comment ref="BA115" authorId="0" shapeId="0" xr:uid="{DB51B49A-8E6D-4B63-B093-F5FECF7DB257}">
      <text>
        <r>
          <rPr>
            <b/>
            <sz val="9"/>
            <color indexed="81"/>
            <rFont val="Tahoma"/>
            <family val="2"/>
          </rPr>
          <t>Gavin Mudd:</t>
        </r>
        <r>
          <rPr>
            <sz val="9"/>
            <color indexed="81"/>
            <rFont val="Tahoma"/>
            <family val="2"/>
          </rPr>
          <t xml:space="preserve">
assumed</t>
        </r>
      </text>
    </comment>
    <comment ref="BB115" authorId="0" shapeId="0" xr:uid="{A8D45CB6-9A83-4DDD-B9D1-C353573CE9D6}">
      <text>
        <r>
          <rPr>
            <b/>
            <sz val="9"/>
            <color indexed="81"/>
            <rFont val="Tahoma"/>
            <family val="2"/>
          </rPr>
          <t>Gavin Mudd:</t>
        </r>
        <r>
          <rPr>
            <sz val="9"/>
            <color indexed="81"/>
            <rFont val="Tahoma"/>
            <family val="2"/>
          </rPr>
          <t xml:space="preserve">
assumed</t>
        </r>
      </text>
    </comment>
    <comment ref="CD115" authorId="0" shapeId="0" xr:uid="{46AB1845-D89D-47D1-B752-07A9930E09E6}">
      <text>
        <r>
          <rPr>
            <b/>
            <sz val="9"/>
            <color indexed="81"/>
            <rFont val="Tahoma"/>
            <family val="2"/>
          </rPr>
          <t>Gavin Mudd:</t>
        </r>
        <r>
          <rPr>
            <sz val="9"/>
            <color indexed="81"/>
            <rFont val="Tahoma"/>
            <family val="2"/>
          </rPr>
          <t xml:space="preserve">
assumed</t>
        </r>
      </text>
    </comment>
    <comment ref="CE115" authorId="0" shapeId="0" xr:uid="{743B88BA-155D-4061-82BC-1FA7D9CB4723}">
      <text>
        <r>
          <rPr>
            <b/>
            <sz val="9"/>
            <color indexed="81"/>
            <rFont val="Tahoma"/>
            <family val="2"/>
          </rPr>
          <t>Gavin Mudd:</t>
        </r>
        <r>
          <rPr>
            <sz val="9"/>
            <color indexed="81"/>
            <rFont val="Tahoma"/>
            <family val="2"/>
          </rPr>
          <t xml:space="preserve">
assumed</t>
        </r>
      </text>
    </comment>
    <comment ref="DL115" authorId="0" shapeId="0" xr:uid="{F5B2CE90-1390-4EA3-920C-FF08C0D3F671}">
      <text>
        <r>
          <rPr>
            <b/>
            <sz val="9"/>
            <color indexed="81"/>
            <rFont val="Tahoma"/>
            <family val="2"/>
          </rPr>
          <t>Gavin Mudd:</t>
        </r>
        <r>
          <rPr>
            <sz val="9"/>
            <color indexed="81"/>
            <rFont val="Tahoma"/>
            <family val="2"/>
          </rPr>
          <t xml:space="preserve">
assumed</t>
        </r>
      </text>
    </comment>
    <comment ref="DM115" authorId="0" shapeId="0" xr:uid="{80A00F46-3711-4554-BBCC-F096B48D3A78}">
      <text>
        <r>
          <rPr>
            <b/>
            <sz val="9"/>
            <color indexed="81"/>
            <rFont val="Tahoma"/>
            <family val="2"/>
          </rPr>
          <t>Gavin Mudd:</t>
        </r>
        <r>
          <rPr>
            <sz val="9"/>
            <color indexed="81"/>
            <rFont val="Tahoma"/>
            <family val="2"/>
          </rPr>
          <t xml:space="preserve">
assumed</t>
        </r>
      </text>
    </comment>
    <comment ref="B116" authorId="0" shapeId="0" xr:uid="{A62E43BD-02F6-456D-ACA4-1317C1353283}">
      <text>
        <r>
          <rPr>
            <b/>
            <sz val="9"/>
            <color indexed="81"/>
            <rFont val="Tahoma"/>
            <family val="2"/>
          </rPr>
          <t>Gavin Mudd:</t>
        </r>
        <r>
          <rPr>
            <sz val="9"/>
            <color indexed="81"/>
            <rFont val="Tahoma"/>
            <family val="2"/>
          </rPr>
          <t xml:space="preserve">
West Wyalong</t>
        </r>
      </text>
    </comment>
    <comment ref="C116" authorId="0" shapeId="0" xr:uid="{047ED706-29BA-4667-A1E8-5D3C68B4F756}">
      <text>
        <r>
          <rPr>
            <b/>
            <sz val="9"/>
            <color indexed="81"/>
            <rFont val="Tahoma"/>
            <family val="2"/>
          </rPr>
          <t>Gavin Mudd:</t>
        </r>
        <r>
          <rPr>
            <sz val="9"/>
            <color indexed="81"/>
            <rFont val="Tahoma"/>
            <family val="2"/>
          </rPr>
          <t xml:space="preserve">
West Wyalong</t>
        </r>
      </text>
    </comment>
    <comment ref="BA116" authorId="0" shapeId="0" xr:uid="{FAB4A207-8130-41FC-B416-2319BED80850}">
      <text>
        <r>
          <rPr>
            <b/>
            <sz val="9"/>
            <color indexed="81"/>
            <rFont val="Tahoma"/>
            <family val="2"/>
          </rPr>
          <t>Gavin Mudd:</t>
        </r>
        <r>
          <rPr>
            <sz val="9"/>
            <color indexed="81"/>
            <rFont val="Tahoma"/>
            <family val="2"/>
          </rPr>
          <t xml:space="preserve">
assumed</t>
        </r>
      </text>
    </comment>
    <comment ref="BB116" authorId="0" shapeId="0" xr:uid="{403BBE43-5E9C-4162-8B9A-AB24F87D252F}">
      <text>
        <r>
          <rPr>
            <b/>
            <sz val="9"/>
            <color indexed="81"/>
            <rFont val="Tahoma"/>
            <family val="2"/>
          </rPr>
          <t>Gavin Mudd:</t>
        </r>
        <r>
          <rPr>
            <sz val="9"/>
            <color indexed="81"/>
            <rFont val="Tahoma"/>
            <family val="2"/>
          </rPr>
          <t xml:space="preserve">
assumed</t>
        </r>
      </text>
    </comment>
    <comment ref="CD116" authorId="0" shapeId="0" xr:uid="{22D4C3ED-0B56-433A-99F8-E59DF1DEB38A}">
      <text>
        <r>
          <rPr>
            <b/>
            <sz val="9"/>
            <color indexed="81"/>
            <rFont val="Tahoma"/>
            <family val="2"/>
          </rPr>
          <t>Gavin Mudd:</t>
        </r>
        <r>
          <rPr>
            <sz val="9"/>
            <color indexed="81"/>
            <rFont val="Tahoma"/>
            <family val="2"/>
          </rPr>
          <t xml:space="preserve">
assumed</t>
        </r>
      </text>
    </comment>
    <comment ref="CE116" authorId="0" shapeId="0" xr:uid="{B4C3619A-AE90-4689-BA0B-75BFA66A173F}">
      <text>
        <r>
          <rPr>
            <b/>
            <sz val="9"/>
            <color indexed="81"/>
            <rFont val="Tahoma"/>
            <family val="2"/>
          </rPr>
          <t>Gavin Mudd:</t>
        </r>
        <r>
          <rPr>
            <sz val="9"/>
            <color indexed="81"/>
            <rFont val="Tahoma"/>
            <family val="2"/>
          </rPr>
          <t xml:space="preserve">
assumed</t>
        </r>
      </text>
    </comment>
    <comment ref="CN116" authorId="0" shapeId="0" xr:uid="{D4B78D10-8A84-40C5-B129-9AFB744E2B2D}">
      <text>
        <r>
          <rPr>
            <b/>
            <sz val="9"/>
            <color indexed="81"/>
            <rFont val="Tahoma"/>
            <family val="2"/>
          </rPr>
          <t>Gavin Mudd:</t>
        </r>
        <r>
          <rPr>
            <sz val="9"/>
            <color indexed="81"/>
            <rFont val="Tahoma"/>
            <family val="2"/>
          </rPr>
          <t xml:space="preserve">
Pilbara + West Pilbara</t>
        </r>
      </text>
    </comment>
    <comment ref="CP116" authorId="0" shapeId="0" xr:uid="{416DC6D2-908F-4F89-A0C2-B1EDEB5CCA98}">
      <text>
        <r>
          <rPr>
            <b/>
            <sz val="9"/>
            <color indexed="81"/>
            <rFont val="Tahoma"/>
            <family val="2"/>
          </rPr>
          <t>Gavin Mudd:</t>
        </r>
        <r>
          <rPr>
            <sz val="9"/>
            <color indexed="81"/>
            <rFont val="Tahoma"/>
            <family val="2"/>
          </rPr>
          <t xml:space="preserve">
Pilbara + West Pilbara</t>
        </r>
      </text>
    </comment>
    <comment ref="DL116" authorId="0" shapeId="0" xr:uid="{32729103-83EE-449B-A1DB-23DC02D10ADF}">
      <text>
        <r>
          <rPr>
            <b/>
            <sz val="9"/>
            <color indexed="81"/>
            <rFont val="Tahoma"/>
            <family val="2"/>
          </rPr>
          <t>Gavin Mudd:</t>
        </r>
        <r>
          <rPr>
            <sz val="9"/>
            <color indexed="81"/>
            <rFont val="Tahoma"/>
            <family val="2"/>
          </rPr>
          <t xml:space="preserve">
assumed</t>
        </r>
      </text>
    </comment>
    <comment ref="DM116" authorId="0" shapeId="0" xr:uid="{E3024A56-AFD1-4AF0-BE5B-8121606F9698}">
      <text>
        <r>
          <rPr>
            <b/>
            <sz val="9"/>
            <color indexed="81"/>
            <rFont val="Tahoma"/>
            <family val="2"/>
          </rPr>
          <t>Gavin Mudd:</t>
        </r>
        <r>
          <rPr>
            <sz val="9"/>
            <color indexed="81"/>
            <rFont val="Tahoma"/>
            <family val="2"/>
          </rPr>
          <t xml:space="preserve">
assumed</t>
        </r>
      </text>
    </comment>
    <comment ref="B117" authorId="0" shapeId="0" xr:uid="{EB4E7733-0FF8-485B-9279-EB69C9F081A1}">
      <text>
        <r>
          <rPr>
            <b/>
            <sz val="9"/>
            <color indexed="81"/>
            <rFont val="Tahoma"/>
            <family val="2"/>
          </rPr>
          <t>Gavin Mudd:</t>
        </r>
        <r>
          <rPr>
            <sz val="9"/>
            <color indexed="81"/>
            <rFont val="Tahoma"/>
            <family val="2"/>
          </rPr>
          <t xml:space="preserve">
West Wyalong</t>
        </r>
      </text>
    </comment>
    <comment ref="C117" authorId="0" shapeId="0" xr:uid="{7D10B5A8-A295-4750-A76A-715128A815CF}">
      <text>
        <r>
          <rPr>
            <b/>
            <sz val="9"/>
            <color indexed="81"/>
            <rFont val="Tahoma"/>
            <family val="2"/>
          </rPr>
          <t>Gavin Mudd:</t>
        </r>
        <r>
          <rPr>
            <sz val="9"/>
            <color indexed="81"/>
            <rFont val="Tahoma"/>
            <family val="2"/>
          </rPr>
          <t xml:space="preserve">
West Wyalong</t>
        </r>
      </text>
    </comment>
    <comment ref="BA117" authorId="0" shapeId="0" xr:uid="{A8BEF1B7-BDD1-432B-B051-7BC4452D71D2}">
      <text>
        <r>
          <rPr>
            <b/>
            <sz val="9"/>
            <color indexed="81"/>
            <rFont val="Tahoma"/>
            <family val="2"/>
          </rPr>
          <t>Gavin Mudd:</t>
        </r>
        <r>
          <rPr>
            <sz val="9"/>
            <color indexed="81"/>
            <rFont val="Tahoma"/>
            <family val="2"/>
          </rPr>
          <t xml:space="preserve">
assumed</t>
        </r>
      </text>
    </comment>
    <comment ref="BB117" authorId="0" shapeId="0" xr:uid="{03C0F648-775F-4674-A21A-20395F5993BB}">
      <text>
        <r>
          <rPr>
            <b/>
            <sz val="9"/>
            <color indexed="81"/>
            <rFont val="Tahoma"/>
            <family val="2"/>
          </rPr>
          <t>Gavin Mudd:</t>
        </r>
        <r>
          <rPr>
            <sz val="9"/>
            <color indexed="81"/>
            <rFont val="Tahoma"/>
            <family val="2"/>
          </rPr>
          <t xml:space="preserve">
assumed</t>
        </r>
      </text>
    </comment>
    <comment ref="CD117" authorId="0" shapeId="0" xr:uid="{E9520D85-09FC-4742-AFFA-0F08F2D8F38F}">
      <text>
        <r>
          <rPr>
            <b/>
            <sz val="9"/>
            <color indexed="81"/>
            <rFont val="Tahoma"/>
            <family val="2"/>
          </rPr>
          <t>Gavin Mudd:</t>
        </r>
        <r>
          <rPr>
            <sz val="9"/>
            <color indexed="81"/>
            <rFont val="Tahoma"/>
            <family val="2"/>
          </rPr>
          <t xml:space="preserve">
assumed</t>
        </r>
      </text>
    </comment>
    <comment ref="CE117" authorId="0" shapeId="0" xr:uid="{EB7F7F5D-0579-40A4-BF7E-3E02328C7C18}">
      <text>
        <r>
          <rPr>
            <b/>
            <sz val="9"/>
            <color indexed="81"/>
            <rFont val="Tahoma"/>
            <family val="2"/>
          </rPr>
          <t>Gavin Mudd:</t>
        </r>
        <r>
          <rPr>
            <sz val="9"/>
            <color indexed="81"/>
            <rFont val="Tahoma"/>
            <family val="2"/>
          </rPr>
          <t xml:space="preserve">
assumed</t>
        </r>
      </text>
    </comment>
    <comment ref="DA117" authorId="0" shapeId="0" xr:uid="{96D43B06-B614-4164-82F8-1F75EB186754}">
      <text>
        <r>
          <rPr>
            <b/>
            <sz val="9"/>
            <color indexed="81"/>
            <rFont val="Tahoma"/>
            <family val="2"/>
          </rPr>
          <t>Gavin Mudd:</t>
        </r>
        <r>
          <rPr>
            <sz val="9"/>
            <color indexed="81"/>
            <rFont val="Tahoma"/>
            <family val="2"/>
          </rPr>
          <t xml:space="preserve">
less than half of one ton</t>
        </r>
      </text>
    </comment>
    <comment ref="DJ117" authorId="0" shapeId="0" xr:uid="{EB911024-7335-4556-A30E-72F155EEE5EB}">
      <text>
        <r>
          <rPr>
            <b/>
            <sz val="9"/>
            <color indexed="81"/>
            <rFont val="Tahoma"/>
            <family val="2"/>
          </rPr>
          <t>Gavin Mudd:</t>
        </r>
        <r>
          <rPr>
            <sz val="9"/>
            <color indexed="81"/>
            <rFont val="Tahoma"/>
            <family val="2"/>
          </rPr>
          <t xml:space="preserve">
less than half of one ton</t>
        </r>
      </text>
    </comment>
    <comment ref="DL117" authorId="0" shapeId="0" xr:uid="{81EDB360-BEBE-4009-8968-900C93E6FCB1}">
      <text>
        <r>
          <rPr>
            <b/>
            <sz val="9"/>
            <color indexed="81"/>
            <rFont val="Tahoma"/>
            <family val="2"/>
          </rPr>
          <t>Gavin Mudd:</t>
        </r>
        <r>
          <rPr>
            <sz val="9"/>
            <color indexed="81"/>
            <rFont val="Tahoma"/>
            <family val="2"/>
          </rPr>
          <t xml:space="preserve">
assumed</t>
        </r>
      </text>
    </comment>
    <comment ref="DM117" authorId="0" shapeId="0" xr:uid="{49F41EF4-4B5B-41F0-905E-F9F3C7E1AC02}">
      <text>
        <r>
          <rPr>
            <b/>
            <sz val="9"/>
            <color indexed="81"/>
            <rFont val="Tahoma"/>
            <family val="2"/>
          </rPr>
          <t>Gavin Mudd:</t>
        </r>
        <r>
          <rPr>
            <sz val="9"/>
            <color indexed="81"/>
            <rFont val="Tahoma"/>
            <family val="2"/>
          </rPr>
          <t xml:space="preserve">
assumed</t>
        </r>
      </text>
    </comment>
    <comment ref="B118" authorId="0" shapeId="0" xr:uid="{1BFFF9FB-C80D-4339-93BC-58812B664D65}">
      <text>
        <r>
          <rPr>
            <b/>
            <sz val="9"/>
            <color indexed="81"/>
            <rFont val="Tahoma"/>
            <family val="2"/>
          </rPr>
          <t>Gavin Mudd:</t>
        </r>
        <r>
          <rPr>
            <sz val="9"/>
            <color indexed="81"/>
            <rFont val="Tahoma"/>
            <family val="2"/>
          </rPr>
          <t xml:space="preserve">
West Wyalong</t>
        </r>
      </text>
    </comment>
    <comment ref="C118" authorId="0" shapeId="0" xr:uid="{C781EBB9-B8DD-4F41-BE00-A9C5D002D5BE}">
      <text>
        <r>
          <rPr>
            <b/>
            <sz val="9"/>
            <color indexed="81"/>
            <rFont val="Tahoma"/>
            <family val="2"/>
          </rPr>
          <t>Gavin Mudd:</t>
        </r>
        <r>
          <rPr>
            <sz val="9"/>
            <color indexed="81"/>
            <rFont val="Tahoma"/>
            <family val="2"/>
          </rPr>
          <t xml:space="preserve">
West Wyalong</t>
        </r>
      </text>
    </comment>
    <comment ref="BA118" authorId="0" shapeId="0" xr:uid="{B3F21041-3080-42F0-A3A1-C85D61DD98B6}">
      <text>
        <r>
          <rPr>
            <b/>
            <sz val="9"/>
            <color indexed="81"/>
            <rFont val="Tahoma"/>
            <family val="2"/>
          </rPr>
          <t>Gavin Mudd:</t>
        </r>
        <r>
          <rPr>
            <sz val="9"/>
            <color indexed="81"/>
            <rFont val="Tahoma"/>
            <family val="2"/>
          </rPr>
          <t xml:space="preserve">
assumed</t>
        </r>
      </text>
    </comment>
    <comment ref="BB118" authorId="0" shapeId="0" xr:uid="{B12E7902-2A92-4342-9811-9D0F5522EC8B}">
      <text>
        <r>
          <rPr>
            <b/>
            <sz val="9"/>
            <color indexed="81"/>
            <rFont val="Tahoma"/>
            <family val="2"/>
          </rPr>
          <t>Gavin Mudd:</t>
        </r>
        <r>
          <rPr>
            <sz val="9"/>
            <color indexed="81"/>
            <rFont val="Tahoma"/>
            <family val="2"/>
          </rPr>
          <t xml:space="preserve">
assumed</t>
        </r>
      </text>
    </comment>
    <comment ref="CD118" authorId="0" shapeId="0" xr:uid="{99ADFEB9-A7C5-4416-808A-2D6161CA4BA8}">
      <text>
        <r>
          <rPr>
            <b/>
            <sz val="9"/>
            <color indexed="81"/>
            <rFont val="Tahoma"/>
            <family val="2"/>
          </rPr>
          <t>Gavin Mudd:</t>
        </r>
        <r>
          <rPr>
            <sz val="9"/>
            <color indexed="81"/>
            <rFont val="Tahoma"/>
            <family val="2"/>
          </rPr>
          <t xml:space="preserve">
assumed</t>
        </r>
      </text>
    </comment>
    <comment ref="CE118" authorId="0" shapeId="0" xr:uid="{2411CD64-6F6D-4890-A09C-2A05336BE5AF}">
      <text>
        <r>
          <rPr>
            <b/>
            <sz val="9"/>
            <color indexed="81"/>
            <rFont val="Tahoma"/>
            <family val="2"/>
          </rPr>
          <t>Gavin Mudd:</t>
        </r>
        <r>
          <rPr>
            <sz val="9"/>
            <color indexed="81"/>
            <rFont val="Tahoma"/>
            <family val="2"/>
          </rPr>
          <t xml:space="preserve">
assumed</t>
        </r>
      </text>
    </comment>
    <comment ref="CN118" authorId="0" shapeId="0" xr:uid="{14F9E6EE-C98D-40BA-BAB9-B28343F90289}">
      <text>
        <r>
          <rPr>
            <b/>
            <sz val="9"/>
            <color indexed="81"/>
            <rFont val="Tahoma"/>
            <family val="2"/>
          </rPr>
          <t>Gavin Mudd:</t>
        </r>
        <r>
          <rPr>
            <sz val="9"/>
            <color indexed="81"/>
            <rFont val="Tahoma"/>
            <family val="2"/>
          </rPr>
          <t xml:space="preserve">
Pilbara + West Pilbara</t>
        </r>
      </text>
    </comment>
    <comment ref="CP118" authorId="0" shapeId="0" xr:uid="{D16115D3-A554-4516-A33E-CC3813875092}">
      <text>
        <r>
          <rPr>
            <b/>
            <sz val="9"/>
            <color indexed="81"/>
            <rFont val="Tahoma"/>
            <family val="2"/>
          </rPr>
          <t>Gavin Mudd:</t>
        </r>
        <r>
          <rPr>
            <sz val="9"/>
            <color indexed="81"/>
            <rFont val="Tahoma"/>
            <family val="2"/>
          </rPr>
          <t xml:space="preserve">
Pilbara + West Pilbara</t>
        </r>
      </text>
    </comment>
    <comment ref="DL118" authorId="0" shapeId="0" xr:uid="{024EA64A-3782-4F01-A752-9F23004D2D16}">
      <text>
        <r>
          <rPr>
            <b/>
            <sz val="9"/>
            <color indexed="81"/>
            <rFont val="Tahoma"/>
            <family val="2"/>
          </rPr>
          <t>Gavin Mudd:</t>
        </r>
        <r>
          <rPr>
            <sz val="9"/>
            <color indexed="81"/>
            <rFont val="Tahoma"/>
            <family val="2"/>
          </rPr>
          <t xml:space="preserve">
assumed</t>
        </r>
      </text>
    </comment>
    <comment ref="DM118" authorId="0" shapeId="0" xr:uid="{6C48F6ED-279C-4586-9360-BA07A4869B05}">
      <text>
        <r>
          <rPr>
            <b/>
            <sz val="9"/>
            <color indexed="81"/>
            <rFont val="Tahoma"/>
            <family val="2"/>
          </rPr>
          <t>Gavin Mudd:</t>
        </r>
        <r>
          <rPr>
            <sz val="9"/>
            <color indexed="81"/>
            <rFont val="Tahoma"/>
            <family val="2"/>
          </rPr>
          <t xml:space="preserve">
assumed</t>
        </r>
      </text>
    </comment>
    <comment ref="B119" authorId="0" shapeId="0" xr:uid="{E4217AA5-499C-4558-BE2D-F940C875011D}">
      <text>
        <r>
          <rPr>
            <b/>
            <sz val="9"/>
            <color indexed="81"/>
            <rFont val="Tahoma"/>
            <family val="2"/>
          </rPr>
          <t>Gavin Mudd:</t>
        </r>
        <r>
          <rPr>
            <sz val="9"/>
            <color indexed="81"/>
            <rFont val="Tahoma"/>
            <family val="2"/>
          </rPr>
          <t xml:space="preserve">
West Wyalong</t>
        </r>
      </text>
    </comment>
    <comment ref="C119" authorId="0" shapeId="0" xr:uid="{73C20366-418F-4B24-85D3-928E18E2B1B4}">
      <text>
        <r>
          <rPr>
            <b/>
            <sz val="9"/>
            <color indexed="81"/>
            <rFont val="Tahoma"/>
            <family val="2"/>
          </rPr>
          <t>Gavin Mudd:</t>
        </r>
        <r>
          <rPr>
            <sz val="9"/>
            <color indexed="81"/>
            <rFont val="Tahoma"/>
            <family val="2"/>
          </rPr>
          <t xml:space="preserve">
West Wyalong</t>
        </r>
      </text>
    </comment>
    <comment ref="BA119" authorId="0" shapeId="0" xr:uid="{01FCFC35-DCD8-482B-9602-9741812129F7}">
      <text>
        <r>
          <rPr>
            <b/>
            <sz val="9"/>
            <color indexed="81"/>
            <rFont val="Tahoma"/>
            <family val="2"/>
          </rPr>
          <t>Gavin Mudd:</t>
        </r>
        <r>
          <rPr>
            <sz val="9"/>
            <color indexed="81"/>
            <rFont val="Tahoma"/>
            <family val="2"/>
          </rPr>
          <t xml:space="preserve">
assumed</t>
        </r>
      </text>
    </comment>
    <comment ref="BB119" authorId="0" shapeId="0" xr:uid="{32043D80-195F-47DA-A2B6-955BEE30872F}">
      <text>
        <r>
          <rPr>
            <b/>
            <sz val="9"/>
            <color indexed="81"/>
            <rFont val="Tahoma"/>
            <family val="2"/>
          </rPr>
          <t>Gavin Mudd:</t>
        </r>
        <r>
          <rPr>
            <sz val="9"/>
            <color indexed="81"/>
            <rFont val="Tahoma"/>
            <family val="2"/>
          </rPr>
          <t xml:space="preserve">
assumed</t>
        </r>
      </text>
    </comment>
    <comment ref="CD119" authorId="0" shapeId="0" xr:uid="{926C7DD8-CC84-4D0F-9F9F-4328EC3CB2A8}">
      <text>
        <r>
          <rPr>
            <b/>
            <sz val="9"/>
            <color indexed="81"/>
            <rFont val="Tahoma"/>
            <family val="2"/>
          </rPr>
          <t>Gavin Mudd:</t>
        </r>
        <r>
          <rPr>
            <sz val="9"/>
            <color indexed="81"/>
            <rFont val="Tahoma"/>
            <family val="2"/>
          </rPr>
          <t xml:space="preserve">
assumed</t>
        </r>
      </text>
    </comment>
    <comment ref="CE119" authorId="0" shapeId="0" xr:uid="{944759A6-2C7B-452E-8000-3796ED51CAE5}">
      <text>
        <r>
          <rPr>
            <b/>
            <sz val="9"/>
            <color indexed="81"/>
            <rFont val="Tahoma"/>
            <family val="2"/>
          </rPr>
          <t>Gavin Mudd:</t>
        </r>
        <r>
          <rPr>
            <sz val="9"/>
            <color indexed="81"/>
            <rFont val="Tahoma"/>
            <family val="2"/>
          </rPr>
          <t xml:space="preserve">
assumed</t>
        </r>
      </text>
    </comment>
    <comment ref="DL119" authorId="0" shapeId="0" xr:uid="{D6F3A8CD-18D1-4B69-BB03-F3F5424F2D87}">
      <text>
        <r>
          <rPr>
            <b/>
            <sz val="9"/>
            <color indexed="81"/>
            <rFont val="Tahoma"/>
            <family val="2"/>
          </rPr>
          <t>Gavin Mudd:</t>
        </r>
        <r>
          <rPr>
            <sz val="9"/>
            <color indexed="81"/>
            <rFont val="Tahoma"/>
            <family val="2"/>
          </rPr>
          <t xml:space="preserve">
assumed</t>
        </r>
      </text>
    </comment>
    <comment ref="DM119" authorId="0" shapeId="0" xr:uid="{6BA8B3F1-1A37-4B26-960D-66FC562BD56C}">
      <text>
        <r>
          <rPr>
            <b/>
            <sz val="9"/>
            <color indexed="81"/>
            <rFont val="Tahoma"/>
            <family val="2"/>
          </rPr>
          <t>Gavin Mudd:</t>
        </r>
        <r>
          <rPr>
            <sz val="9"/>
            <color indexed="81"/>
            <rFont val="Tahoma"/>
            <family val="2"/>
          </rPr>
          <t xml:space="preserve">
assumed</t>
        </r>
      </text>
    </comment>
    <comment ref="B120" authorId="0" shapeId="0" xr:uid="{5EDE4CB4-96CF-45C0-B952-B1D9089EC140}">
      <text>
        <r>
          <rPr>
            <b/>
            <sz val="9"/>
            <color indexed="81"/>
            <rFont val="Tahoma"/>
            <family val="2"/>
          </rPr>
          <t>Gavin Mudd:</t>
        </r>
        <r>
          <rPr>
            <sz val="9"/>
            <color indexed="81"/>
            <rFont val="Tahoma"/>
            <family val="2"/>
          </rPr>
          <t xml:space="preserve">
West Wyalong</t>
        </r>
      </text>
    </comment>
    <comment ref="C120" authorId="0" shapeId="0" xr:uid="{D6FAA845-2800-4FBA-BCC4-E2440526951F}">
      <text>
        <r>
          <rPr>
            <b/>
            <sz val="9"/>
            <color indexed="81"/>
            <rFont val="Tahoma"/>
            <family val="2"/>
          </rPr>
          <t>Gavin Mudd:</t>
        </r>
        <r>
          <rPr>
            <sz val="9"/>
            <color indexed="81"/>
            <rFont val="Tahoma"/>
            <family val="2"/>
          </rPr>
          <t xml:space="preserve">
West Wyalong</t>
        </r>
      </text>
    </comment>
    <comment ref="BA120" authorId="0" shapeId="0" xr:uid="{88A0AB2B-DDC6-468A-B8D6-39D9714340C2}">
      <text>
        <r>
          <rPr>
            <b/>
            <sz val="9"/>
            <color indexed="81"/>
            <rFont val="Tahoma"/>
            <family val="2"/>
          </rPr>
          <t>Gavin Mudd:</t>
        </r>
        <r>
          <rPr>
            <sz val="9"/>
            <color indexed="81"/>
            <rFont val="Tahoma"/>
            <family val="2"/>
          </rPr>
          <t xml:space="preserve">
assumed</t>
        </r>
      </text>
    </comment>
    <comment ref="BB120" authorId="0" shapeId="0" xr:uid="{CCF8BFD4-BF6D-481B-9C7F-B31F0CA58377}">
      <text>
        <r>
          <rPr>
            <b/>
            <sz val="9"/>
            <color indexed="81"/>
            <rFont val="Tahoma"/>
            <family val="2"/>
          </rPr>
          <t>Gavin Mudd:</t>
        </r>
        <r>
          <rPr>
            <sz val="9"/>
            <color indexed="81"/>
            <rFont val="Tahoma"/>
            <family val="2"/>
          </rPr>
          <t xml:space="preserve">
assumed</t>
        </r>
      </text>
    </comment>
    <comment ref="CD120" authorId="0" shapeId="0" xr:uid="{257F3049-0574-4454-B7C9-A144DC8EB292}">
      <text>
        <r>
          <rPr>
            <b/>
            <sz val="9"/>
            <color indexed="81"/>
            <rFont val="Tahoma"/>
            <family val="2"/>
          </rPr>
          <t>Gavin Mudd:</t>
        </r>
        <r>
          <rPr>
            <sz val="9"/>
            <color indexed="81"/>
            <rFont val="Tahoma"/>
            <family val="2"/>
          </rPr>
          <t xml:space="preserve">
assumed</t>
        </r>
      </text>
    </comment>
    <comment ref="CE120" authorId="0" shapeId="0" xr:uid="{4C37D038-67C8-4D36-AC93-441F714838EA}">
      <text>
        <r>
          <rPr>
            <b/>
            <sz val="9"/>
            <color indexed="81"/>
            <rFont val="Tahoma"/>
            <family val="2"/>
          </rPr>
          <t>Gavin Mudd:</t>
        </r>
        <r>
          <rPr>
            <sz val="9"/>
            <color indexed="81"/>
            <rFont val="Tahoma"/>
            <family val="2"/>
          </rPr>
          <t xml:space="preserve">
assumed</t>
        </r>
      </text>
    </comment>
    <comment ref="CN120" authorId="0" shapeId="0" xr:uid="{717879A7-9EDE-4CE5-823B-F36066918B68}">
      <text>
        <r>
          <rPr>
            <b/>
            <sz val="9"/>
            <color indexed="81"/>
            <rFont val="Tahoma"/>
            <family val="2"/>
          </rPr>
          <t>Gavin Mudd:</t>
        </r>
        <r>
          <rPr>
            <sz val="9"/>
            <color indexed="81"/>
            <rFont val="Tahoma"/>
            <family val="2"/>
          </rPr>
          <t xml:space="preserve">
Pilbara + West Pilbara</t>
        </r>
      </text>
    </comment>
    <comment ref="CP120" authorId="0" shapeId="0" xr:uid="{0ED899FD-B96E-4872-B3CC-00CF6C84F42F}">
      <text>
        <r>
          <rPr>
            <b/>
            <sz val="9"/>
            <color indexed="81"/>
            <rFont val="Tahoma"/>
            <family val="2"/>
          </rPr>
          <t>Gavin Mudd:</t>
        </r>
        <r>
          <rPr>
            <sz val="9"/>
            <color indexed="81"/>
            <rFont val="Tahoma"/>
            <family val="2"/>
          </rPr>
          <t xml:space="preserve">
Pilbara + West Pilbara</t>
        </r>
      </text>
    </comment>
    <comment ref="DL120" authorId="0" shapeId="0" xr:uid="{C74D5340-202E-4013-A74A-26D93EBF119C}">
      <text>
        <r>
          <rPr>
            <b/>
            <sz val="9"/>
            <color indexed="81"/>
            <rFont val="Tahoma"/>
            <family val="2"/>
          </rPr>
          <t>Gavin Mudd:</t>
        </r>
        <r>
          <rPr>
            <sz val="9"/>
            <color indexed="81"/>
            <rFont val="Tahoma"/>
            <family val="2"/>
          </rPr>
          <t xml:space="preserve">
assumed</t>
        </r>
      </text>
    </comment>
    <comment ref="DM120" authorId="0" shapeId="0" xr:uid="{BAF6AB68-8F71-42A2-8AC9-785E3ABE8A37}">
      <text>
        <r>
          <rPr>
            <b/>
            <sz val="9"/>
            <color indexed="81"/>
            <rFont val="Tahoma"/>
            <family val="2"/>
          </rPr>
          <t>Gavin Mudd:</t>
        </r>
        <r>
          <rPr>
            <sz val="9"/>
            <color indexed="81"/>
            <rFont val="Tahoma"/>
            <family val="2"/>
          </rPr>
          <t xml:space="preserve">
assumed</t>
        </r>
      </text>
    </comment>
    <comment ref="B121" authorId="0" shapeId="0" xr:uid="{0C40E3A1-32AD-46F9-B251-5422E3ECCB4A}">
      <text>
        <r>
          <rPr>
            <b/>
            <sz val="9"/>
            <color indexed="81"/>
            <rFont val="Tahoma"/>
            <family val="2"/>
          </rPr>
          <t>Gavin Mudd:</t>
        </r>
        <r>
          <rPr>
            <sz val="9"/>
            <color indexed="81"/>
            <rFont val="Tahoma"/>
            <family val="2"/>
          </rPr>
          <t xml:space="preserve">
West Wyalong</t>
        </r>
      </text>
    </comment>
    <comment ref="C121" authorId="0" shapeId="0" xr:uid="{7953BF78-40B4-477B-AE35-DD55071D19A3}">
      <text>
        <r>
          <rPr>
            <b/>
            <sz val="9"/>
            <color indexed="81"/>
            <rFont val="Tahoma"/>
            <family val="2"/>
          </rPr>
          <t>Gavin Mudd:</t>
        </r>
        <r>
          <rPr>
            <sz val="9"/>
            <color indexed="81"/>
            <rFont val="Tahoma"/>
            <family val="2"/>
          </rPr>
          <t xml:space="preserve">
West Wyalong</t>
        </r>
      </text>
    </comment>
    <comment ref="BA121" authorId="0" shapeId="0" xr:uid="{09790038-D424-4B38-9EC3-7708AA897738}">
      <text>
        <r>
          <rPr>
            <b/>
            <sz val="9"/>
            <color indexed="81"/>
            <rFont val="Tahoma"/>
            <family val="2"/>
          </rPr>
          <t>Gavin Mudd:</t>
        </r>
        <r>
          <rPr>
            <sz val="9"/>
            <color indexed="81"/>
            <rFont val="Tahoma"/>
            <family val="2"/>
          </rPr>
          <t xml:space="preserve">
assumed</t>
        </r>
      </text>
    </comment>
    <comment ref="BB121" authorId="0" shapeId="0" xr:uid="{BFFFA851-D3DE-4463-A0B0-6781E37769E4}">
      <text>
        <r>
          <rPr>
            <b/>
            <sz val="9"/>
            <color indexed="81"/>
            <rFont val="Tahoma"/>
            <family val="2"/>
          </rPr>
          <t>Gavin Mudd:</t>
        </r>
        <r>
          <rPr>
            <sz val="9"/>
            <color indexed="81"/>
            <rFont val="Tahoma"/>
            <family val="2"/>
          </rPr>
          <t xml:space="preserve">
assumed</t>
        </r>
      </text>
    </comment>
    <comment ref="CD121" authorId="0" shapeId="0" xr:uid="{FC1DF76B-9724-4FE8-8DD8-C395B8E81477}">
      <text>
        <r>
          <rPr>
            <b/>
            <sz val="9"/>
            <color indexed="81"/>
            <rFont val="Tahoma"/>
            <family val="2"/>
          </rPr>
          <t>Gavin Mudd:</t>
        </r>
        <r>
          <rPr>
            <sz val="9"/>
            <color indexed="81"/>
            <rFont val="Tahoma"/>
            <family val="2"/>
          </rPr>
          <t xml:space="preserve">
assumed</t>
        </r>
      </text>
    </comment>
    <comment ref="CE121" authorId="0" shapeId="0" xr:uid="{D52443A2-D766-41D1-BC55-869815AB0BE4}">
      <text>
        <r>
          <rPr>
            <b/>
            <sz val="9"/>
            <color indexed="81"/>
            <rFont val="Tahoma"/>
            <family val="2"/>
          </rPr>
          <t>Gavin Mudd:</t>
        </r>
        <r>
          <rPr>
            <sz val="9"/>
            <color indexed="81"/>
            <rFont val="Tahoma"/>
            <family val="2"/>
          </rPr>
          <t xml:space="preserve">
assumed</t>
        </r>
      </text>
    </comment>
    <comment ref="DL121" authorId="0" shapeId="0" xr:uid="{F794DE7B-FDE1-4244-B379-7E5476864F09}">
      <text>
        <r>
          <rPr>
            <b/>
            <sz val="9"/>
            <color indexed="81"/>
            <rFont val="Tahoma"/>
            <family val="2"/>
          </rPr>
          <t>Gavin Mudd:</t>
        </r>
        <r>
          <rPr>
            <sz val="9"/>
            <color indexed="81"/>
            <rFont val="Tahoma"/>
            <family val="2"/>
          </rPr>
          <t xml:space="preserve">
assumed</t>
        </r>
      </text>
    </comment>
    <comment ref="DM121" authorId="0" shapeId="0" xr:uid="{4334FA99-7E95-462C-8EDE-1131AFE92DCA}">
      <text>
        <r>
          <rPr>
            <b/>
            <sz val="9"/>
            <color indexed="81"/>
            <rFont val="Tahoma"/>
            <family val="2"/>
          </rPr>
          <t>Gavin Mudd:</t>
        </r>
        <r>
          <rPr>
            <sz val="9"/>
            <color indexed="81"/>
            <rFont val="Tahoma"/>
            <family val="2"/>
          </rPr>
          <t xml:space="preserve">
assumed</t>
        </r>
      </text>
    </comment>
    <comment ref="BA122" authorId="0" shapeId="0" xr:uid="{D38E890F-EC97-44F5-85A1-F090AFC041BB}">
      <text>
        <r>
          <rPr>
            <b/>
            <sz val="9"/>
            <color indexed="81"/>
            <rFont val="Tahoma"/>
            <family val="2"/>
          </rPr>
          <t>Gavin Mudd:</t>
        </r>
        <r>
          <rPr>
            <sz val="9"/>
            <color indexed="81"/>
            <rFont val="Tahoma"/>
            <family val="2"/>
          </rPr>
          <t xml:space="preserve">
assumed</t>
        </r>
      </text>
    </comment>
    <comment ref="BB122" authorId="0" shapeId="0" xr:uid="{EEDE0DB7-FB4E-4CB0-8404-34D34075544B}">
      <text>
        <r>
          <rPr>
            <b/>
            <sz val="9"/>
            <color indexed="81"/>
            <rFont val="Tahoma"/>
            <family val="2"/>
          </rPr>
          <t>Gavin Mudd:</t>
        </r>
        <r>
          <rPr>
            <sz val="9"/>
            <color indexed="81"/>
            <rFont val="Tahoma"/>
            <family val="2"/>
          </rPr>
          <t xml:space="preserve">
assumed</t>
        </r>
      </text>
    </comment>
    <comment ref="CD122" authorId="0" shapeId="0" xr:uid="{DF350121-E403-466A-AAA6-2876BEB0724A}">
      <text>
        <r>
          <rPr>
            <b/>
            <sz val="9"/>
            <color indexed="81"/>
            <rFont val="Tahoma"/>
            <family val="2"/>
          </rPr>
          <t>Gavin Mudd:</t>
        </r>
        <r>
          <rPr>
            <sz val="9"/>
            <color indexed="81"/>
            <rFont val="Tahoma"/>
            <family val="2"/>
          </rPr>
          <t xml:space="preserve">
assumed</t>
        </r>
      </text>
    </comment>
    <comment ref="CE122" authorId="0" shapeId="0" xr:uid="{3DE22074-93A3-4002-BEF2-8F943946B97C}">
      <text>
        <r>
          <rPr>
            <b/>
            <sz val="9"/>
            <color indexed="81"/>
            <rFont val="Tahoma"/>
            <family val="2"/>
          </rPr>
          <t>Gavin Mudd:</t>
        </r>
        <r>
          <rPr>
            <sz val="9"/>
            <color indexed="81"/>
            <rFont val="Tahoma"/>
            <family val="2"/>
          </rPr>
          <t xml:space="preserve">
assumed</t>
        </r>
      </text>
    </comment>
    <comment ref="CN122" authorId="0" shapeId="0" xr:uid="{A8E59AE6-1EA0-40C7-B43F-0B4EA5803D55}">
      <text>
        <r>
          <rPr>
            <b/>
            <sz val="9"/>
            <color indexed="81"/>
            <rFont val="Tahoma"/>
            <family val="2"/>
          </rPr>
          <t>Gavin Mudd:</t>
        </r>
        <r>
          <rPr>
            <sz val="9"/>
            <color indexed="81"/>
            <rFont val="Tahoma"/>
            <family val="2"/>
          </rPr>
          <t xml:space="preserve">
Pilbara + West Pilbara</t>
        </r>
      </text>
    </comment>
    <comment ref="CP122" authorId="0" shapeId="0" xr:uid="{99B8621F-C8B4-4BE0-B457-E3041DB8954A}">
      <text>
        <r>
          <rPr>
            <b/>
            <sz val="9"/>
            <color indexed="81"/>
            <rFont val="Tahoma"/>
            <family val="2"/>
          </rPr>
          <t>Gavin Mudd:</t>
        </r>
        <r>
          <rPr>
            <sz val="9"/>
            <color indexed="81"/>
            <rFont val="Tahoma"/>
            <family val="2"/>
          </rPr>
          <t xml:space="preserve">
Pilbara + West Pilbara</t>
        </r>
      </text>
    </comment>
    <comment ref="DL122" authorId="0" shapeId="0" xr:uid="{3497D358-F37E-41E8-9401-55022495F16F}">
      <text>
        <r>
          <rPr>
            <b/>
            <sz val="9"/>
            <color indexed="81"/>
            <rFont val="Tahoma"/>
            <family val="2"/>
          </rPr>
          <t>Gavin Mudd:</t>
        </r>
        <r>
          <rPr>
            <sz val="9"/>
            <color indexed="81"/>
            <rFont val="Tahoma"/>
            <family val="2"/>
          </rPr>
          <t xml:space="preserve">
assumed</t>
        </r>
      </text>
    </comment>
    <comment ref="DM122" authorId="0" shapeId="0" xr:uid="{F092A95B-8073-4C40-87C4-FB29F86019BF}">
      <text>
        <r>
          <rPr>
            <b/>
            <sz val="9"/>
            <color indexed="81"/>
            <rFont val="Tahoma"/>
            <family val="2"/>
          </rPr>
          <t>Gavin Mudd:</t>
        </r>
        <r>
          <rPr>
            <sz val="9"/>
            <color indexed="81"/>
            <rFont val="Tahoma"/>
            <family val="2"/>
          </rPr>
          <t xml:space="preserve">
assumed</t>
        </r>
      </text>
    </comment>
    <comment ref="BA123" authorId="0" shapeId="0" xr:uid="{741EE6FD-593D-4DB6-8CB8-411BD7FADD81}">
      <text>
        <r>
          <rPr>
            <b/>
            <sz val="9"/>
            <color indexed="81"/>
            <rFont val="Tahoma"/>
            <family val="2"/>
          </rPr>
          <t>Gavin Mudd:</t>
        </r>
        <r>
          <rPr>
            <sz val="9"/>
            <color indexed="81"/>
            <rFont val="Tahoma"/>
            <family val="2"/>
          </rPr>
          <t xml:space="preserve">
assumed</t>
        </r>
      </text>
    </comment>
    <comment ref="BB123" authorId="0" shapeId="0" xr:uid="{832D8DB3-BC5A-4F5C-99C3-2B2AFEA87F35}">
      <text>
        <r>
          <rPr>
            <b/>
            <sz val="9"/>
            <color indexed="81"/>
            <rFont val="Tahoma"/>
            <family val="2"/>
          </rPr>
          <t>Gavin Mudd:</t>
        </r>
        <r>
          <rPr>
            <sz val="9"/>
            <color indexed="81"/>
            <rFont val="Tahoma"/>
            <family val="2"/>
          </rPr>
          <t xml:space="preserve">
assumed</t>
        </r>
      </text>
    </comment>
    <comment ref="CD123" authorId="0" shapeId="0" xr:uid="{B76CE253-034E-49D2-A522-A1A8D5552CEE}">
      <text>
        <r>
          <rPr>
            <b/>
            <sz val="9"/>
            <color indexed="81"/>
            <rFont val="Tahoma"/>
            <family val="2"/>
          </rPr>
          <t>Gavin Mudd:</t>
        </r>
        <r>
          <rPr>
            <sz val="9"/>
            <color indexed="81"/>
            <rFont val="Tahoma"/>
            <family val="2"/>
          </rPr>
          <t xml:space="preserve">
assumed</t>
        </r>
      </text>
    </comment>
    <comment ref="CE123" authorId="0" shapeId="0" xr:uid="{9749DD76-2F87-44D5-9027-5F4F27AC25EC}">
      <text>
        <r>
          <rPr>
            <b/>
            <sz val="9"/>
            <color indexed="81"/>
            <rFont val="Tahoma"/>
            <family val="2"/>
          </rPr>
          <t>Gavin Mudd:</t>
        </r>
        <r>
          <rPr>
            <sz val="9"/>
            <color indexed="81"/>
            <rFont val="Tahoma"/>
            <family val="2"/>
          </rPr>
          <t xml:space="preserve">
assumed</t>
        </r>
      </text>
    </comment>
    <comment ref="CN123" authorId="0" shapeId="0" xr:uid="{F9AD53D8-32D0-4B45-AD35-1185B0B1DFF8}">
      <text>
        <r>
          <rPr>
            <b/>
            <sz val="9"/>
            <color indexed="81"/>
            <rFont val="Tahoma"/>
            <family val="2"/>
          </rPr>
          <t>Gavin Mudd:</t>
        </r>
        <r>
          <rPr>
            <sz val="9"/>
            <color indexed="81"/>
            <rFont val="Tahoma"/>
            <family val="2"/>
          </rPr>
          <t xml:space="preserve">
Pilbara + West Pilbara</t>
        </r>
      </text>
    </comment>
    <comment ref="CP123" authorId="0" shapeId="0" xr:uid="{81B78ACD-B7DD-4C3D-915F-345A542B71CD}">
      <text>
        <r>
          <rPr>
            <b/>
            <sz val="9"/>
            <color indexed="81"/>
            <rFont val="Tahoma"/>
            <family val="2"/>
          </rPr>
          <t>Gavin Mudd:</t>
        </r>
        <r>
          <rPr>
            <sz val="9"/>
            <color indexed="81"/>
            <rFont val="Tahoma"/>
            <family val="2"/>
          </rPr>
          <t xml:space="preserve">
Pilbara + West Pilbara</t>
        </r>
      </text>
    </comment>
    <comment ref="DL123" authorId="0" shapeId="0" xr:uid="{44D22E11-B2D5-4EBF-A897-80A125C4B7B9}">
      <text>
        <r>
          <rPr>
            <b/>
            <sz val="9"/>
            <color indexed="81"/>
            <rFont val="Tahoma"/>
            <family val="2"/>
          </rPr>
          <t>Gavin Mudd:</t>
        </r>
        <r>
          <rPr>
            <sz val="9"/>
            <color indexed="81"/>
            <rFont val="Tahoma"/>
            <family val="2"/>
          </rPr>
          <t xml:space="preserve">
assumed</t>
        </r>
      </text>
    </comment>
    <comment ref="DM123" authorId="0" shapeId="0" xr:uid="{FF8C7EB9-E4E8-415E-AE12-5E61DF3121D0}">
      <text>
        <r>
          <rPr>
            <b/>
            <sz val="9"/>
            <color indexed="81"/>
            <rFont val="Tahoma"/>
            <family val="2"/>
          </rPr>
          <t>Gavin Mudd:</t>
        </r>
        <r>
          <rPr>
            <sz val="9"/>
            <color indexed="81"/>
            <rFont val="Tahoma"/>
            <family val="2"/>
          </rPr>
          <t xml:space="preserve">
assumed</t>
        </r>
      </text>
    </comment>
    <comment ref="BA124" authorId="0" shapeId="0" xr:uid="{5CF0C174-033C-461E-AC94-7817EC66720E}">
      <text>
        <r>
          <rPr>
            <b/>
            <sz val="9"/>
            <color indexed="81"/>
            <rFont val="Tahoma"/>
            <family val="2"/>
          </rPr>
          <t>Gavin Mudd:</t>
        </r>
        <r>
          <rPr>
            <sz val="9"/>
            <color indexed="81"/>
            <rFont val="Tahoma"/>
            <family val="2"/>
          </rPr>
          <t xml:space="preserve">
assumed</t>
        </r>
      </text>
    </comment>
    <comment ref="BB124" authorId="0" shapeId="0" xr:uid="{9F3C4CFD-A207-4DA6-B4F7-A1B24EAF8544}">
      <text>
        <r>
          <rPr>
            <b/>
            <sz val="9"/>
            <color indexed="81"/>
            <rFont val="Tahoma"/>
            <family val="2"/>
          </rPr>
          <t>Gavin Mudd:</t>
        </r>
        <r>
          <rPr>
            <sz val="9"/>
            <color indexed="81"/>
            <rFont val="Tahoma"/>
            <family val="2"/>
          </rPr>
          <t xml:space="preserve">
assumed</t>
        </r>
      </text>
    </comment>
    <comment ref="CD124" authorId="0" shapeId="0" xr:uid="{31FD7739-5A64-4C9E-B00F-6155A09C68FA}">
      <text>
        <r>
          <rPr>
            <b/>
            <sz val="9"/>
            <color indexed="81"/>
            <rFont val="Tahoma"/>
            <family val="2"/>
          </rPr>
          <t>Gavin Mudd:</t>
        </r>
        <r>
          <rPr>
            <sz val="9"/>
            <color indexed="81"/>
            <rFont val="Tahoma"/>
            <family val="2"/>
          </rPr>
          <t xml:space="preserve">
assumed</t>
        </r>
      </text>
    </comment>
    <comment ref="CE124" authorId="0" shapeId="0" xr:uid="{447F5B94-4EDC-4565-B1EA-C32F6E37461E}">
      <text>
        <r>
          <rPr>
            <b/>
            <sz val="9"/>
            <color indexed="81"/>
            <rFont val="Tahoma"/>
            <family val="2"/>
          </rPr>
          <t>Gavin Mudd:</t>
        </r>
        <r>
          <rPr>
            <sz val="9"/>
            <color indexed="81"/>
            <rFont val="Tahoma"/>
            <family val="2"/>
          </rPr>
          <t xml:space="preserve">
assumed</t>
        </r>
      </text>
    </comment>
    <comment ref="CN124" authorId="0" shapeId="0" xr:uid="{FDE795FF-7883-4E91-BBF7-9AA84CFEDFF0}">
      <text>
        <r>
          <rPr>
            <b/>
            <sz val="9"/>
            <color indexed="81"/>
            <rFont val="Tahoma"/>
            <family val="2"/>
          </rPr>
          <t>Gavin Mudd:</t>
        </r>
        <r>
          <rPr>
            <sz val="9"/>
            <color indexed="81"/>
            <rFont val="Tahoma"/>
            <family val="2"/>
          </rPr>
          <t xml:space="preserve">
Pilbara + West Pilbara</t>
        </r>
      </text>
    </comment>
    <comment ref="CP124" authorId="0" shapeId="0" xr:uid="{D58E2A60-01F6-4D06-914E-F479C151E1AD}">
      <text>
        <r>
          <rPr>
            <b/>
            <sz val="9"/>
            <color indexed="81"/>
            <rFont val="Tahoma"/>
            <family val="2"/>
          </rPr>
          <t>Gavin Mudd:</t>
        </r>
        <r>
          <rPr>
            <sz val="9"/>
            <color indexed="81"/>
            <rFont val="Tahoma"/>
            <family val="2"/>
          </rPr>
          <t xml:space="preserve">
Pilbara + West Pilbara</t>
        </r>
      </text>
    </comment>
    <comment ref="DL124" authorId="0" shapeId="0" xr:uid="{D0914818-5A1A-4C48-8249-4F0F9F4F9110}">
      <text>
        <r>
          <rPr>
            <b/>
            <sz val="9"/>
            <color indexed="81"/>
            <rFont val="Tahoma"/>
            <family val="2"/>
          </rPr>
          <t>Gavin Mudd:</t>
        </r>
        <r>
          <rPr>
            <sz val="9"/>
            <color indexed="81"/>
            <rFont val="Tahoma"/>
            <family val="2"/>
          </rPr>
          <t xml:space="preserve">
assumed</t>
        </r>
      </text>
    </comment>
    <comment ref="DM124" authorId="0" shapeId="0" xr:uid="{CB83A286-7B87-49E0-9F17-A2FE3C03B6D5}">
      <text>
        <r>
          <rPr>
            <b/>
            <sz val="9"/>
            <color indexed="81"/>
            <rFont val="Tahoma"/>
            <family val="2"/>
          </rPr>
          <t>Gavin Mudd:</t>
        </r>
        <r>
          <rPr>
            <sz val="9"/>
            <color indexed="81"/>
            <rFont val="Tahoma"/>
            <family val="2"/>
          </rPr>
          <t xml:space="preserve">
assumed</t>
        </r>
      </text>
    </comment>
    <comment ref="BA125" authorId="0" shapeId="0" xr:uid="{87F39B9C-5A85-4E68-8D83-D4849CA7927A}">
      <text>
        <r>
          <rPr>
            <b/>
            <sz val="9"/>
            <color indexed="81"/>
            <rFont val="Tahoma"/>
            <family val="2"/>
          </rPr>
          <t>Gavin Mudd:</t>
        </r>
        <r>
          <rPr>
            <sz val="9"/>
            <color indexed="81"/>
            <rFont val="Tahoma"/>
            <family val="2"/>
          </rPr>
          <t xml:space="preserve">
assumed</t>
        </r>
      </text>
    </comment>
    <comment ref="BB125" authorId="0" shapeId="0" xr:uid="{C39260C8-FD80-4877-8F64-33EC18E3F0EE}">
      <text>
        <r>
          <rPr>
            <b/>
            <sz val="9"/>
            <color indexed="81"/>
            <rFont val="Tahoma"/>
            <family val="2"/>
          </rPr>
          <t>Gavin Mudd:</t>
        </r>
        <r>
          <rPr>
            <sz val="9"/>
            <color indexed="81"/>
            <rFont val="Tahoma"/>
            <family val="2"/>
          </rPr>
          <t xml:space="preserve">
assumed</t>
        </r>
      </text>
    </comment>
    <comment ref="CD125" authorId="0" shapeId="0" xr:uid="{609AD7A2-6B87-44B2-A85F-7D811F158AE5}">
      <text>
        <r>
          <rPr>
            <b/>
            <sz val="9"/>
            <color indexed="81"/>
            <rFont val="Tahoma"/>
            <family val="2"/>
          </rPr>
          <t>Gavin Mudd:</t>
        </r>
        <r>
          <rPr>
            <sz val="9"/>
            <color indexed="81"/>
            <rFont val="Tahoma"/>
            <family val="2"/>
          </rPr>
          <t xml:space="preserve">
assumed</t>
        </r>
      </text>
    </comment>
    <comment ref="CE125" authorId="0" shapeId="0" xr:uid="{23E737D6-9348-4FD0-9246-46557E87CA01}">
      <text>
        <r>
          <rPr>
            <b/>
            <sz val="9"/>
            <color indexed="81"/>
            <rFont val="Tahoma"/>
            <family val="2"/>
          </rPr>
          <t>Gavin Mudd:</t>
        </r>
        <r>
          <rPr>
            <sz val="9"/>
            <color indexed="81"/>
            <rFont val="Tahoma"/>
            <family val="2"/>
          </rPr>
          <t xml:space="preserve">
assumed</t>
        </r>
      </text>
    </comment>
    <comment ref="CN125" authorId="0" shapeId="0" xr:uid="{B9C2E54D-3F09-436E-96FD-0B7BB62A9240}">
      <text>
        <r>
          <rPr>
            <b/>
            <sz val="9"/>
            <color indexed="81"/>
            <rFont val="Tahoma"/>
            <family val="2"/>
          </rPr>
          <t>Gavin Mudd:</t>
        </r>
        <r>
          <rPr>
            <sz val="9"/>
            <color indexed="81"/>
            <rFont val="Tahoma"/>
            <family val="2"/>
          </rPr>
          <t xml:space="preserve">
Pilbara + West Pilbara</t>
        </r>
      </text>
    </comment>
    <comment ref="CP125" authorId="0" shapeId="0" xr:uid="{9C8F634D-A176-47F0-8668-9C8BE8F856BE}">
      <text>
        <r>
          <rPr>
            <b/>
            <sz val="9"/>
            <color indexed="81"/>
            <rFont val="Tahoma"/>
            <family val="2"/>
          </rPr>
          <t>Gavin Mudd:</t>
        </r>
        <r>
          <rPr>
            <sz val="9"/>
            <color indexed="81"/>
            <rFont val="Tahoma"/>
            <family val="2"/>
          </rPr>
          <t xml:space="preserve">
Pilbara + West Pilbara</t>
        </r>
      </text>
    </comment>
    <comment ref="DL125" authorId="0" shapeId="0" xr:uid="{56F4A765-EFF7-49B3-B837-E7AC37EEB595}">
      <text>
        <r>
          <rPr>
            <b/>
            <sz val="9"/>
            <color indexed="81"/>
            <rFont val="Tahoma"/>
            <family val="2"/>
          </rPr>
          <t>Gavin Mudd:</t>
        </r>
        <r>
          <rPr>
            <sz val="9"/>
            <color indexed="81"/>
            <rFont val="Tahoma"/>
            <family val="2"/>
          </rPr>
          <t xml:space="preserve">
assumed</t>
        </r>
      </text>
    </comment>
    <comment ref="DM125" authorId="0" shapeId="0" xr:uid="{0CBA8237-6843-48D3-B095-D5FB20FBD3EF}">
      <text>
        <r>
          <rPr>
            <b/>
            <sz val="9"/>
            <color indexed="81"/>
            <rFont val="Tahoma"/>
            <family val="2"/>
          </rPr>
          <t>Gavin Mudd:</t>
        </r>
        <r>
          <rPr>
            <sz val="9"/>
            <color indexed="81"/>
            <rFont val="Tahoma"/>
            <family val="2"/>
          </rPr>
          <t xml:space="preserve">
assumed</t>
        </r>
      </text>
    </comment>
    <comment ref="BA126" authorId="0" shapeId="0" xr:uid="{50591438-9C7D-4887-B25E-717E2C604DD7}">
      <text>
        <r>
          <rPr>
            <b/>
            <sz val="9"/>
            <color indexed="81"/>
            <rFont val="Tahoma"/>
            <family val="2"/>
          </rPr>
          <t>Gavin Mudd:</t>
        </r>
        <r>
          <rPr>
            <sz val="9"/>
            <color indexed="81"/>
            <rFont val="Tahoma"/>
            <family val="2"/>
          </rPr>
          <t xml:space="preserve">
assumed</t>
        </r>
      </text>
    </comment>
    <comment ref="BB126" authorId="0" shapeId="0" xr:uid="{F2F8DC15-882C-4548-9CCE-4F32DDA5B7FC}">
      <text>
        <r>
          <rPr>
            <b/>
            <sz val="9"/>
            <color indexed="81"/>
            <rFont val="Tahoma"/>
            <family val="2"/>
          </rPr>
          <t>Gavin Mudd:</t>
        </r>
        <r>
          <rPr>
            <sz val="9"/>
            <color indexed="81"/>
            <rFont val="Tahoma"/>
            <family val="2"/>
          </rPr>
          <t xml:space="preserve">
assumed</t>
        </r>
      </text>
    </comment>
    <comment ref="CD126" authorId="0" shapeId="0" xr:uid="{2D387468-2544-425B-8FA3-F2E18EABB877}">
      <text>
        <r>
          <rPr>
            <b/>
            <sz val="9"/>
            <color indexed="81"/>
            <rFont val="Tahoma"/>
            <family val="2"/>
          </rPr>
          <t>Gavin Mudd:</t>
        </r>
        <r>
          <rPr>
            <sz val="9"/>
            <color indexed="81"/>
            <rFont val="Tahoma"/>
            <family val="2"/>
          </rPr>
          <t xml:space="preserve">
assumed</t>
        </r>
      </text>
    </comment>
    <comment ref="CE126" authorId="0" shapeId="0" xr:uid="{C821854D-9CC5-43E1-9FAC-2F2F9AA03546}">
      <text>
        <r>
          <rPr>
            <b/>
            <sz val="9"/>
            <color indexed="81"/>
            <rFont val="Tahoma"/>
            <family val="2"/>
          </rPr>
          <t>Gavin Mudd:</t>
        </r>
        <r>
          <rPr>
            <sz val="9"/>
            <color indexed="81"/>
            <rFont val="Tahoma"/>
            <family val="2"/>
          </rPr>
          <t xml:space="preserve">
assumed</t>
        </r>
      </text>
    </comment>
    <comment ref="CN126" authorId="0" shapeId="0" xr:uid="{B09729E5-8CF8-47B9-BA51-D72F75E0C325}">
      <text>
        <r>
          <rPr>
            <b/>
            <sz val="9"/>
            <color indexed="81"/>
            <rFont val="Tahoma"/>
            <family val="2"/>
          </rPr>
          <t>Gavin Mudd:</t>
        </r>
        <r>
          <rPr>
            <sz val="9"/>
            <color indexed="81"/>
            <rFont val="Tahoma"/>
            <family val="2"/>
          </rPr>
          <t xml:space="preserve">
Pilbara + West Pilbara</t>
        </r>
      </text>
    </comment>
    <comment ref="CP126" authorId="0" shapeId="0" xr:uid="{FD9923F8-5A13-4453-8978-0EA2D8160D6A}">
      <text>
        <r>
          <rPr>
            <b/>
            <sz val="9"/>
            <color indexed="81"/>
            <rFont val="Tahoma"/>
            <family val="2"/>
          </rPr>
          <t>Gavin Mudd:</t>
        </r>
        <r>
          <rPr>
            <sz val="9"/>
            <color indexed="81"/>
            <rFont val="Tahoma"/>
            <family val="2"/>
          </rPr>
          <t xml:space="preserve">
Pilbara + West Pilbara</t>
        </r>
      </text>
    </comment>
    <comment ref="DL126" authorId="0" shapeId="0" xr:uid="{A849BAED-8030-41F1-9CE8-B12E2C5C887B}">
      <text>
        <r>
          <rPr>
            <b/>
            <sz val="9"/>
            <color indexed="81"/>
            <rFont val="Tahoma"/>
            <family val="2"/>
          </rPr>
          <t>Gavin Mudd:</t>
        </r>
        <r>
          <rPr>
            <sz val="9"/>
            <color indexed="81"/>
            <rFont val="Tahoma"/>
            <family val="2"/>
          </rPr>
          <t xml:space="preserve">
assumed</t>
        </r>
      </text>
    </comment>
    <comment ref="DM126" authorId="0" shapeId="0" xr:uid="{6459D550-6F89-4223-9C00-5A03B8A1A763}">
      <text>
        <r>
          <rPr>
            <b/>
            <sz val="9"/>
            <color indexed="81"/>
            <rFont val="Tahoma"/>
            <family val="2"/>
          </rPr>
          <t>Gavin Mudd:</t>
        </r>
        <r>
          <rPr>
            <sz val="9"/>
            <color indexed="81"/>
            <rFont val="Tahoma"/>
            <family val="2"/>
          </rPr>
          <t xml:space="preserve">
assumed</t>
        </r>
      </text>
    </comment>
    <comment ref="CD127" authorId="0" shapeId="0" xr:uid="{2659BE28-8389-48D4-928C-C03F1F20ABC4}">
      <text>
        <r>
          <rPr>
            <b/>
            <sz val="9"/>
            <color indexed="81"/>
            <rFont val="Tahoma"/>
            <family val="2"/>
          </rPr>
          <t>Gavin Mudd:</t>
        </r>
        <r>
          <rPr>
            <sz val="9"/>
            <color indexed="81"/>
            <rFont val="Tahoma"/>
            <family val="2"/>
          </rPr>
          <t xml:space="preserve">
assumed</t>
        </r>
      </text>
    </comment>
    <comment ref="CE127" authorId="0" shapeId="0" xr:uid="{CC0140E9-34B2-4EBA-B54F-D3C74A20F10B}">
      <text>
        <r>
          <rPr>
            <b/>
            <sz val="9"/>
            <color indexed="81"/>
            <rFont val="Tahoma"/>
            <family val="2"/>
          </rPr>
          <t>Gavin Mudd:</t>
        </r>
        <r>
          <rPr>
            <sz val="9"/>
            <color indexed="81"/>
            <rFont val="Tahoma"/>
            <family val="2"/>
          </rPr>
          <t xml:space="preserve">
assumed</t>
        </r>
      </text>
    </comment>
    <comment ref="CN127" authorId="0" shapeId="0" xr:uid="{64E56F2D-4BA9-40F2-9563-A4C44D5B8903}">
      <text>
        <r>
          <rPr>
            <b/>
            <sz val="9"/>
            <color indexed="81"/>
            <rFont val="Tahoma"/>
            <family val="2"/>
          </rPr>
          <t>Gavin Mudd:</t>
        </r>
        <r>
          <rPr>
            <sz val="9"/>
            <color indexed="81"/>
            <rFont val="Tahoma"/>
            <family val="2"/>
          </rPr>
          <t xml:space="preserve">
Pilbara + West Pilbara</t>
        </r>
      </text>
    </comment>
    <comment ref="CP127" authorId="0" shapeId="0" xr:uid="{99B416CE-1F95-497D-8869-4656BA82CA01}">
      <text>
        <r>
          <rPr>
            <b/>
            <sz val="9"/>
            <color indexed="81"/>
            <rFont val="Tahoma"/>
            <family val="2"/>
          </rPr>
          <t>Gavin Mudd:</t>
        </r>
        <r>
          <rPr>
            <sz val="9"/>
            <color indexed="81"/>
            <rFont val="Tahoma"/>
            <family val="2"/>
          </rPr>
          <t xml:space="preserve">
Pilbara + West Pilbara</t>
        </r>
      </text>
    </comment>
    <comment ref="DL127" authorId="0" shapeId="0" xr:uid="{300681B9-2F04-42DE-8A52-BD0F769EE901}">
      <text>
        <r>
          <rPr>
            <b/>
            <sz val="9"/>
            <color indexed="81"/>
            <rFont val="Tahoma"/>
            <family val="2"/>
          </rPr>
          <t>Gavin Mudd:</t>
        </r>
        <r>
          <rPr>
            <sz val="9"/>
            <color indexed="81"/>
            <rFont val="Tahoma"/>
            <family val="2"/>
          </rPr>
          <t xml:space="preserve">
assumed</t>
        </r>
      </text>
    </comment>
    <comment ref="DM127" authorId="0" shapeId="0" xr:uid="{CD9279F2-E040-4BE4-81AE-D8CC3EDF1EBE}">
      <text>
        <r>
          <rPr>
            <b/>
            <sz val="9"/>
            <color indexed="81"/>
            <rFont val="Tahoma"/>
            <family val="2"/>
          </rPr>
          <t>Gavin Mudd:</t>
        </r>
        <r>
          <rPr>
            <sz val="9"/>
            <color indexed="81"/>
            <rFont val="Tahoma"/>
            <family val="2"/>
          </rPr>
          <t xml:space="preserve">
assumed</t>
        </r>
      </text>
    </comment>
    <comment ref="BA128" authorId="0" shapeId="0" xr:uid="{083D05F7-E980-4D36-B534-E55384F2DF0F}">
      <text>
        <r>
          <rPr>
            <b/>
            <sz val="9"/>
            <color indexed="81"/>
            <rFont val="Tahoma"/>
            <family val="2"/>
          </rPr>
          <t>Gavin Mudd:</t>
        </r>
        <r>
          <rPr>
            <sz val="9"/>
            <color indexed="81"/>
            <rFont val="Tahoma"/>
            <family val="2"/>
          </rPr>
          <t xml:space="preserve">
assumed</t>
        </r>
      </text>
    </comment>
    <comment ref="BB128" authorId="0" shapeId="0" xr:uid="{FF3C3889-D186-4892-86CA-8DF6D4AA4942}">
      <text>
        <r>
          <rPr>
            <b/>
            <sz val="9"/>
            <color indexed="81"/>
            <rFont val="Tahoma"/>
            <family val="2"/>
          </rPr>
          <t>Gavin Mudd:</t>
        </r>
        <r>
          <rPr>
            <sz val="9"/>
            <color indexed="81"/>
            <rFont val="Tahoma"/>
            <family val="2"/>
          </rPr>
          <t xml:space="preserve">
assumed</t>
        </r>
      </text>
    </comment>
    <comment ref="CD128" authorId="0" shapeId="0" xr:uid="{5EAAD272-22E8-4B53-A17B-2702E7490FE8}">
      <text>
        <r>
          <rPr>
            <b/>
            <sz val="9"/>
            <color indexed="81"/>
            <rFont val="Tahoma"/>
            <family val="2"/>
          </rPr>
          <t>Gavin Mudd:</t>
        </r>
        <r>
          <rPr>
            <sz val="9"/>
            <color indexed="81"/>
            <rFont val="Tahoma"/>
            <family val="2"/>
          </rPr>
          <t xml:space="preserve">
assumed</t>
        </r>
      </text>
    </comment>
    <comment ref="CE128" authorId="0" shapeId="0" xr:uid="{0CC1E33F-AB7E-468C-A95D-84A85FC15577}">
      <text>
        <r>
          <rPr>
            <b/>
            <sz val="9"/>
            <color indexed="81"/>
            <rFont val="Tahoma"/>
            <family val="2"/>
          </rPr>
          <t>Gavin Mudd:</t>
        </r>
        <r>
          <rPr>
            <sz val="9"/>
            <color indexed="81"/>
            <rFont val="Tahoma"/>
            <family val="2"/>
          </rPr>
          <t xml:space="preserve">
assumed</t>
        </r>
      </text>
    </comment>
    <comment ref="CN128" authorId="0" shapeId="0" xr:uid="{1AD7174C-AD8D-4A5B-8E2A-AB84E3DFB710}">
      <text>
        <r>
          <rPr>
            <b/>
            <sz val="9"/>
            <color indexed="81"/>
            <rFont val="Tahoma"/>
            <family val="2"/>
          </rPr>
          <t>Gavin Mudd:</t>
        </r>
        <r>
          <rPr>
            <sz val="9"/>
            <color indexed="81"/>
            <rFont val="Tahoma"/>
            <family val="2"/>
          </rPr>
          <t xml:space="preserve">
Pilbara + West Pilbara</t>
        </r>
      </text>
    </comment>
    <comment ref="CP128" authorId="0" shapeId="0" xr:uid="{A052CB4F-1568-4BBB-A1BC-FEA95B5C9EBE}">
      <text>
        <r>
          <rPr>
            <b/>
            <sz val="9"/>
            <color indexed="81"/>
            <rFont val="Tahoma"/>
            <family val="2"/>
          </rPr>
          <t>Gavin Mudd:</t>
        </r>
        <r>
          <rPr>
            <sz val="9"/>
            <color indexed="81"/>
            <rFont val="Tahoma"/>
            <family val="2"/>
          </rPr>
          <t xml:space="preserve">
Pilbara + West Pilbara</t>
        </r>
      </text>
    </comment>
    <comment ref="DL128" authorId="0" shapeId="0" xr:uid="{6337791C-5CC8-4FE1-8D51-91BEFABAABBC}">
      <text>
        <r>
          <rPr>
            <b/>
            <sz val="9"/>
            <color indexed="81"/>
            <rFont val="Tahoma"/>
            <family val="2"/>
          </rPr>
          <t>Gavin Mudd:</t>
        </r>
        <r>
          <rPr>
            <sz val="9"/>
            <color indexed="81"/>
            <rFont val="Tahoma"/>
            <family val="2"/>
          </rPr>
          <t xml:space="preserve">
assumed</t>
        </r>
      </text>
    </comment>
    <comment ref="DM128" authorId="0" shapeId="0" xr:uid="{9D5AD355-DEFC-48F7-9F81-736E6CF1E752}">
      <text>
        <r>
          <rPr>
            <b/>
            <sz val="9"/>
            <color indexed="81"/>
            <rFont val="Tahoma"/>
            <family val="2"/>
          </rPr>
          <t>Gavin Mudd:</t>
        </r>
        <r>
          <rPr>
            <sz val="9"/>
            <color indexed="81"/>
            <rFont val="Tahoma"/>
            <family val="2"/>
          </rPr>
          <t xml:space="preserve">
assumed</t>
        </r>
      </text>
    </comment>
    <comment ref="CD129" authorId="0" shapeId="0" xr:uid="{FE6E38B6-6B26-466F-87BB-6E040C613054}">
      <text>
        <r>
          <rPr>
            <b/>
            <sz val="9"/>
            <color indexed="81"/>
            <rFont val="Tahoma"/>
            <family val="2"/>
          </rPr>
          <t>Gavin Mudd:</t>
        </r>
        <r>
          <rPr>
            <sz val="9"/>
            <color indexed="81"/>
            <rFont val="Tahoma"/>
            <family val="2"/>
          </rPr>
          <t xml:space="preserve">
assumed</t>
        </r>
      </text>
    </comment>
    <comment ref="CE129" authorId="0" shapeId="0" xr:uid="{F0682227-8717-4EB6-B175-5F5FD9CF05EF}">
      <text>
        <r>
          <rPr>
            <b/>
            <sz val="9"/>
            <color indexed="81"/>
            <rFont val="Tahoma"/>
            <family val="2"/>
          </rPr>
          <t>Gavin Mudd:</t>
        </r>
        <r>
          <rPr>
            <sz val="9"/>
            <color indexed="81"/>
            <rFont val="Tahoma"/>
            <family val="2"/>
          </rPr>
          <t xml:space="preserve">
assumed</t>
        </r>
      </text>
    </comment>
    <comment ref="DL129" authorId="0" shapeId="0" xr:uid="{390C9305-3305-4232-87EF-E77F82CAB8AD}">
      <text>
        <r>
          <rPr>
            <b/>
            <sz val="9"/>
            <color indexed="81"/>
            <rFont val="Tahoma"/>
            <family val="2"/>
          </rPr>
          <t>Gavin Mudd:</t>
        </r>
        <r>
          <rPr>
            <sz val="9"/>
            <color indexed="81"/>
            <rFont val="Tahoma"/>
            <family val="2"/>
          </rPr>
          <t xml:space="preserve">
assumed</t>
        </r>
      </text>
    </comment>
    <comment ref="DM129" authorId="0" shapeId="0" xr:uid="{E4EC0954-38A5-49FC-B8B0-ED40C6D9BC3A}">
      <text>
        <r>
          <rPr>
            <b/>
            <sz val="9"/>
            <color indexed="81"/>
            <rFont val="Tahoma"/>
            <family val="2"/>
          </rPr>
          <t>Gavin Mudd:</t>
        </r>
        <r>
          <rPr>
            <sz val="9"/>
            <color indexed="81"/>
            <rFont val="Tahoma"/>
            <family val="2"/>
          </rPr>
          <t xml:space="preserve">
assumed</t>
        </r>
      </text>
    </comment>
    <comment ref="BA130" authorId="0" shapeId="0" xr:uid="{F522F039-A989-4F64-AC96-95C07FF9E6E8}">
      <text>
        <r>
          <rPr>
            <b/>
            <sz val="9"/>
            <color indexed="81"/>
            <rFont val="Tahoma"/>
            <family val="2"/>
          </rPr>
          <t>Gavin Mudd:</t>
        </r>
        <r>
          <rPr>
            <sz val="9"/>
            <color indexed="81"/>
            <rFont val="Tahoma"/>
            <family val="2"/>
          </rPr>
          <t xml:space="preserve">
assumed</t>
        </r>
      </text>
    </comment>
    <comment ref="BB130" authorId="0" shapeId="0" xr:uid="{6F287D41-AA1A-402A-94B3-A1F1306F05DF}">
      <text>
        <r>
          <rPr>
            <b/>
            <sz val="9"/>
            <color indexed="81"/>
            <rFont val="Tahoma"/>
            <family val="2"/>
          </rPr>
          <t>Gavin Mudd:</t>
        </r>
        <r>
          <rPr>
            <sz val="9"/>
            <color indexed="81"/>
            <rFont val="Tahoma"/>
            <family val="2"/>
          </rPr>
          <t xml:space="preserve">
assumed</t>
        </r>
      </text>
    </comment>
    <comment ref="CD130" authorId="0" shapeId="0" xr:uid="{F2E99530-6E88-426F-8E1C-A3C29F8D345D}">
      <text>
        <r>
          <rPr>
            <b/>
            <sz val="9"/>
            <color indexed="81"/>
            <rFont val="Tahoma"/>
            <family val="2"/>
          </rPr>
          <t>Gavin Mudd:</t>
        </r>
        <r>
          <rPr>
            <sz val="9"/>
            <color indexed="81"/>
            <rFont val="Tahoma"/>
            <family val="2"/>
          </rPr>
          <t xml:space="preserve">
assumed</t>
        </r>
      </text>
    </comment>
    <comment ref="CE130" authorId="0" shapeId="0" xr:uid="{3787DB4D-A565-4BAE-8622-8AE46832DCA9}">
      <text>
        <r>
          <rPr>
            <b/>
            <sz val="9"/>
            <color indexed="81"/>
            <rFont val="Tahoma"/>
            <family val="2"/>
          </rPr>
          <t>Gavin Mudd:</t>
        </r>
        <r>
          <rPr>
            <sz val="9"/>
            <color indexed="81"/>
            <rFont val="Tahoma"/>
            <family val="2"/>
          </rPr>
          <t xml:space="preserve">
assumed</t>
        </r>
      </text>
    </comment>
    <comment ref="DL130" authorId="0" shapeId="0" xr:uid="{6819FC87-45C0-4C9A-8B48-889135195106}">
      <text>
        <r>
          <rPr>
            <b/>
            <sz val="9"/>
            <color indexed="81"/>
            <rFont val="Tahoma"/>
            <family val="2"/>
          </rPr>
          <t>Gavin Mudd:</t>
        </r>
        <r>
          <rPr>
            <sz val="9"/>
            <color indexed="81"/>
            <rFont val="Tahoma"/>
            <family val="2"/>
          </rPr>
          <t xml:space="preserve">
assumed</t>
        </r>
      </text>
    </comment>
    <comment ref="DM130" authorId="0" shapeId="0" xr:uid="{80184896-1135-4DCC-A482-DCD3DDE0A6C8}">
      <text>
        <r>
          <rPr>
            <b/>
            <sz val="9"/>
            <color indexed="81"/>
            <rFont val="Tahoma"/>
            <family val="2"/>
          </rPr>
          <t>Gavin Mudd:</t>
        </r>
        <r>
          <rPr>
            <sz val="9"/>
            <color indexed="81"/>
            <rFont val="Tahoma"/>
            <family val="2"/>
          </rPr>
          <t xml:space="preserve">
assumed</t>
        </r>
      </text>
    </comment>
    <comment ref="BA131" authorId="0" shapeId="0" xr:uid="{384694D4-0E38-46BB-9BD7-9BAC608B082E}">
      <text>
        <r>
          <rPr>
            <b/>
            <sz val="9"/>
            <color indexed="81"/>
            <rFont val="Tahoma"/>
            <family val="2"/>
          </rPr>
          <t>Gavin Mudd:</t>
        </r>
        <r>
          <rPr>
            <sz val="9"/>
            <color indexed="81"/>
            <rFont val="Tahoma"/>
            <family val="2"/>
          </rPr>
          <t xml:space="preserve">
assumed</t>
        </r>
      </text>
    </comment>
    <comment ref="BB131" authorId="0" shapeId="0" xr:uid="{D74555D6-6BC4-4393-B491-42F70CD46915}">
      <text>
        <r>
          <rPr>
            <b/>
            <sz val="9"/>
            <color indexed="81"/>
            <rFont val="Tahoma"/>
            <family val="2"/>
          </rPr>
          <t>Gavin Mudd:</t>
        </r>
        <r>
          <rPr>
            <sz val="9"/>
            <color indexed="81"/>
            <rFont val="Tahoma"/>
            <family val="2"/>
          </rPr>
          <t xml:space="preserve">
assumed</t>
        </r>
      </text>
    </comment>
    <comment ref="CD131" authorId="0" shapeId="0" xr:uid="{F8A13CD9-D1A3-4EB2-BADD-C4938BE69441}">
      <text>
        <r>
          <rPr>
            <b/>
            <sz val="9"/>
            <color indexed="81"/>
            <rFont val="Tahoma"/>
            <family val="2"/>
          </rPr>
          <t>Gavin Mudd:</t>
        </r>
        <r>
          <rPr>
            <sz val="9"/>
            <color indexed="81"/>
            <rFont val="Tahoma"/>
            <family val="2"/>
          </rPr>
          <t xml:space="preserve">
assumed</t>
        </r>
      </text>
    </comment>
    <comment ref="CE131" authorId="0" shapeId="0" xr:uid="{0812E7C8-56CB-4DA6-9C58-7394491C9D90}">
      <text>
        <r>
          <rPr>
            <b/>
            <sz val="9"/>
            <color indexed="81"/>
            <rFont val="Tahoma"/>
            <family val="2"/>
          </rPr>
          <t>Gavin Mudd:</t>
        </r>
        <r>
          <rPr>
            <sz val="9"/>
            <color indexed="81"/>
            <rFont val="Tahoma"/>
            <family val="2"/>
          </rPr>
          <t xml:space="preserve">
assumed</t>
        </r>
      </text>
    </comment>
    <comment ref="DL131" authorId="0" shapeId="0" xr:uid="{3E49F3FB-813E-49B9-A189-309DFCA9C989}">
      <text>
        <r>
          <rPr>
            <b/>
            <sz val="9"/>
            <color indexed="81"/>
            <rFont val="Tahoma"/>
            <family val="2"/>
          </rPr>
          <t>Gavin Mudd:</t>
        </r>
        <r>
          <rPr>
            <sz val="9"/>
            <color indexed="81"/>
            <rFont val="Tahoma"/>
            <family val="2"/>
          </rPr>
          <t xml:space="preserve">
assumed</t>
        </r>
      </text>
    </comment>
    <comment ref="DM131" authorId="0" shapeId="0" xr:uid="{E85BA1E9-759C-4A7A-9EED-959E8FD6669E}">
      <text>
        <r>
          <rPr>
            <b/>
            <sz val="9"/>
            <color indexed="81"/>
            <rFont val="Tahoma"/>
            <family val="2"/>
          </rPr>
          <t>Gavin Mudd:</t>
        </r>
        <r>
          <rPr>
            <sz val="9"/>
            <color indexed="81"/>
            <rFont val="Tahoma"/>
            <family val="2"/>
          </rPr>
          <t xml:space="preserve">
assumed</t>
        </r>
      </text>
    </comment>
    <comment ref="BA132" authorId="0" shapeId="0" xr:uid="{D013ACF9-CBC6-43A6-BF10-266210B5E45E}">
      <text>
        <r>
          <rPr>
            <b/>
            <sz val="9"/>
            <color indexed="81"/>
            <rFont val="Tahoma"/>
            <family val="2"/>
          </rPr>
          <t>Gavin Mudd:</t>
        </r>
        <r>
          <rPr>
            <sz val="9"/>
            <color indexed="81"/>
            <rFont val="Tahoma"/>
            <family val="2"/>
          </rPr>
          <t xml:space="preserve">
assumed</t>
        </r>
      </text>
    </comment>
    <comment ref="BB132" authorId="0" shapeId="0" xr:uid="{3AB40BC7-0C5B-4B8C-84EF-74F695CD1669}">
      <text>
        <r>
          <rPr>
            <b/>
            <sz val="9"/>
            <color indexed="81"/>
            <rFont val="Tahoma"/>
            <family val="2"/>
          </rPr>
          <t>Gavin Mudd:</t>
        </r>
        <r>
          <rPr>
            <sz val="9"/>
            <color indexed="81"/>
            <rFont val="Tahoma"/>
            <family val="2"/>
          </rPr>
          <t xml:space="preserve">
assumed</t>
        </r>
      </text>
    </comment>
    <comment ref="CD132" authorId="0" shapeId="0" xr:uid="{07734F01-4D78-487D-B6C0-05892A140541}">
      <text>
        <r>
          <rPr>
            <b/>
            <sz val="9"/>
            <color indexed="81"/>
            <rFont val="Tahoma"/>
            <family val="2"/>
          </rPr>
          <t>Gavin Mudd:</t>
        </r>
        <r>
          <rPr>
            <sz val="9"/>
            <color indexed="81"/>
            <rFont val="Tahoma"/>
            <family val="2"/>
          </rPr>
          <t xml:space="preserve">
assumed</t>
        </r>
      </text>
    </comment>
    <comment ref="CE132" authorId="0" shapeId="0" xr:uid="{85E6A912-B3D4-4981-9DFE-37C3A3CB5348}">
      <text>
        <r>
          <rPr>
            <b/>
            <sz val="9"/>
            <color indexed="81"/>
            <rFont val="Tahoma"/>
            <family val="2"/>
          </rPr>
          <t>Gavin Mudd:</t>
        </r>
        <r>
          <rPr>
            <sz val="9"/>
            <color indexed="81"/>
            <rFont val="Tahoma"/>
            <family val="2"/>
          </rPr>
          <t xml:space="preserve">
assumed</t>
        </r>
      </text>
    </comment>
    <comment ref="DL132" authorId="0" shapeId="0" xr:uid="{77636B62-3C29-437C-A2FB-A582CAA02645}">
      <text>
        <r>
          <rPr>
            <b/>
            <sz val="9"/>
            <color indexed="81"/>
            <rFont val="Tahoma"/>
            <family val="2"/>
          </rPr>
          <t>Gavin Mudd:</t>
        </r>
        <r>
          <rPr>
            <sz val="9"/>
            <color indexed="81"/>
            <rFont val="Tahoma"/>
            <family val="2"/>
          </rPr>
          <t xml:space="preserve">
assumed</t>
        </r>
      </text>
    </comment>
    <comment ref="DM132" authorId="0" shapeId="0" xr:uid="{03F514A5-050D-499A-A231-1C8A4D7C5B3C}">
      <text>
        <r>
          <rPr>
            <b/>
            <sz val="9"/>
            <color indexed="81"/>
            <rFont val="Tahoma"/>
            <family val="2"/>
          </rPr>
          <t>Gavin Mudd:</t>
        </r>
        <r>
          <rPr>
            <sz val="9"/>
            <color indexed="81"/>
            <rFont val="Tahoma"/>
            <family val="2"/>
          </rPr>
          <t xml:space="preserve">
assumed</t>
        </r>
      </text>
    </comment>
    <comment ref="CD133" authorId="0" shapeId="0" xr:uid="{5F18DEEB-3C5C-436E-92B3-82CA1367DF90}">
      <text>
        <r>
          <rPr>
            <b/>
            <sz val="9"/>
            <color indexed="81"/>
            <rFont val="Tahoma"/>
            <family val="2"/>
          </rPr>
          <t>Gavin Mudd:</t>
        </r>
        <r>
          <rPr>
            <sz val="9"/>
            <color indexed="81"/>
            <rFont val="Tahoma"/>
            <family val="2"/>
          </rPr>
          <t xml:space="preserve">
assumed</t>
        </r>
      </text>
    </comment>
    <comment ref="CE133" authorId="0" shapeId="0" xr:uid="{B3E586EB-2BAC-485B-9A7F-089E67F3CA76}">
      <text>
        <r>
          <rPr>
            <b/>
            <sz val="9"/>
            <color indexed="81"/>
            <rFont val="Tahoma"/>
            <family val="2"/>
          </rPr>
          <t>Gavin Mudd:</t>
        </r>
        <r>
          <rPr>
            <sz val="9"/>
            <color indexed="81"/>
            <rFont val="Tahoma"/>
            <family val="2"/>
          </rPr>
          <t xml:space="preserve">
assumed</t>
        </r>
      </text>
    </comment>
    <comment ref="CN133" authorId="0" shapeId="0" xr:uid="{4A570DF7-A552-403D-8338-2A5582BE1699}">
      <text>
        <r>
          <rPr>
            <b/>
            <sz val="9"/>
            <color indexed="81"/>
            <rFont val="Tahoma"/>
            <family val="2"/>
          </rPr>
          <t>Gavin Mudd:</t>
        </r>
        <r>
          <rPr>
            <sz val="9"/>
            <color indexed="81"/>
            <rFont val="Tahoma"/>
            <family val="2"/>
          </rPr>
          <t xml:space="preserve">
Pilbara + West Pilbara</t>
        </r>
      </text>
    </comment>
    <comment ref="CP133" authorId="0" shapeId="0" xr:uid="{D348A374-3665-4CD7-B9F4-7223F139845A}">
      <text>
        <r>
          <rPr>
            <b/>
            <sz val="9"/>
            <color indexed="81"/>
            <rFont val="Tahoma"/>
            <family val="2"/>
          </rPr>
          <t>Gavin Mudd:</t>
        </r>
        <r>
          <rPr>
            <sz val="9"/>
            <color indexed="81"/>
            <rFont val="Tahoma"/>
            <family val="2"/>
          </rPr>
          <t xml:space="preserve">
Pilbara + West Pilbara</t>
        </r>
      </text>
    </comment>
    <comment ref="DL133" authorId="0" shapeId="0" xr:uid="{89B0D22E-A6CA-4162-B33D-09EF917612FA}">
      <text>
        <r>
          <rPr>
            <b/>
            <sz val="9"/>
            <color indexed="81"/>
            <rFont val="Tahoma"/>
            <family val="2"/>
          </rPr>
          <t>Gavin Mudd:</t>
        </r>
        <r>
          <rPr>
            <sz val="9"/>
            <color indexed="81"/>
            <rFont val="Tahoma"/>
            <family val="2"/>
          </rPr>
          <t xml:space="preserve">
assumed</t>
        </r>
      </text>
    </comment>
    <comment ref="DM133" authorId="0" shapeId="0" xr:uid="{F66ACC48-D3AD-450B-A8F4-D2006D67C9D4}">
      <text>
        <r>
          <rPr>
            <b/>
            <sz val="9"/>
            <color indexed="81"/>
            <rFont val="Tahoma"/>
            <family val="2"/>
          </rPr>
          <t>Gavin Mudd:</t>
        </r>
        <r>
          <rPr>
            <sz val="9"/>
            <color indexed="81"/>
            <rFont val="Tahoma"/>
            <family val="2"/>
          </rPr>
          <t xml:space="preserve">
assumed</t>
        </r>
      </text>
    </comment>
    <comment ref="CD134" authorId="0" shapeId="0" xr:uid="{93FBF72D-245A-427E-B555-4633CEC74E51}">
      <text>
        <r>
          <rPr>
            <b/>
            <sz val="9"/>
            <color indexed="81"/>
            <rFont val="Tahoma"/>
            <family val="2"/>
          </rPr>
          <t>Gavin Mudd:</t>
        </r>
        <r>
          <rPr>
            <sz val="9"/>
            <color indexed="81"/>
            <rFont val="Tahoma"/>
            <family val="2"/>
          </rPr>
          <t xml:space="preserve">
assumed</t>
        </r>
      </text>
    </comment>
    <comment ref="CE134" authorId="0" shapeId="0" xr:uid="{AD47AB7B-0662-4532-8D7C-D08C8056C2A3}">
      <text>
        <r>
          <rPr>
            <b/>
            <sz val="9"/>
            <color indexed="81"/>
            <rFont val="Tahoma"/>
            <family val="2"/>
          </rPr>
          <t>Gavin Mudd:</t>
        </r>
        <r>
          <rPr>
            <sz val="9"/>
            <color indexed="81"/>
            <rFont val="Tahoma"/>
            <family val="2"/>
          </rPr>
          <t xml:space="preserve">
assumed</t>
        </r>
      </text>
    </comment>
    <comment ref="CN134" authorId="0" shapeId="0" xr:uid="{346BACD4-C26D-4D56-9018-2F2B02D75B67}">
      <text>
        <r>
          <rPr>
            <b/>
            <sz val="9"/>
            <color indexed="81"/>
            <rFont val="Tahoma"/>
            <family val="2"/>
          </rPr>
          <t>Gavin Mudd:</t>
        </r>
        <r>
          <rPr>
            <sz val="9"/>
            <color indexed="81"/>
            <rFont val="Tahoma"/>
            <family val="2"/>
          </rPr>
          <t xml:space="preserve">
Pilbara + West Pilbara</t>
        </r>
      </text>
    </comment>
    <comment ref="CP134" authorId="0" shapeId="0" xr:uid="{5D39AF76-F191-4274-9A52-0D42EB27517A}">
      <text>
        <r>
          <rPr>
            <b/>
            <sz val="9"/>
            <color indexed="81"/>
            <rFont val="Tahoma"/>
            <family val="2"/>
          </rPr>
          <t>Gavin Mudd:</t>
        </r>
        <r>
          <rPr>
            <sz val="9"/>
            <color indexed="81"/>
            <rFont val="Tahoma"/>
            <family val="2"/>
          </rPr>
          <t xml:space="preserve">
Pilbara + West Pilbara</t>
        </r>
      </text>
    </comment>
    <comment ref="DL134" authorId="0" shapeId="0" xr:uid="{A02E7DC5-8D02-4D70-A86B-7DA030F1DB94}">
      <text>
        <r>
          <rPr>
            <b/>
            <sz val="9"/>
            <color indexed="81"/>
            <rFont val="Tahoma"/>
            <family val="2"/>
          </rPr>
          <t>Gavin Mudd:</t>
        </r>
        <r>
          <rPr>
            <sz val="9"/>
            <color indexed="81"/>
            <rFont val="Tahoma"/>
            <family val="2"/>
          </rPr>
          <t xml:space="preserve">
assumed</t>
        </r>
      </text>
    </comment>
    <comment ref="DM134" authorId="0" shapeId="0" xr:uid="{188B6042-BA65-467C-A388-B653A0F1679B}">
      <text>
        <r>
          <rPr>
            <b/>
            <sz val="9"/>
            <color indexed="81"/>
            <rFont val="Tahoma"/>
            <family val="2"/>
          </rPr>
          <t>Gavin Mudd:</t>
        </r>
        <r>
          <rPr>
            <sz val="9"/>
            <color indexed="81"/>
            <rFont val="Tahoma"/>
            <family val="2"/>
          </rPr>
          <t xml:space="preserve">
assumed</t>
        </r>
      </text>
    </comment>
    <comment ref="CC135" authorId="0" shapeId="0" xr:uid="{53A38C40-E0C2-43E1-AAA1-6BE677836166}">
      <text>
        <r>
          <rPr>
            <b/>
            <sz val="9"/>
            <color indexed="81"/>
            <rFont val="Tahoma"/>
            <family val="2"/>
          </rPr>
          <t>Gavin Mudd:</t>
        </r>
        <r>
          <rPr>
            <sz val="9"/>
            <color indexed="81"/>
            <rFont val="Tahoma"/>
            <family val="2"/>
          </rPr>
          <t xml:space="preserve">
assumed</t>
        </r>
      </text>
    </comment>
    <comment ref="CD135" authorId="0" shapeId="0" xr:uid="{3FE577E9-C7F7-4E93-BBFD-6C68D9713A94}">
      <text>
        <r>
          <rPr>
            <b/>
            <sz val="9"/>
            <color indexed="81"/>
            <rFont val="Tahoma"/>
            <family val="2"/>
          </rPr>
          <t>Gavin Mudd:</t>
        </r>
        <r>
          <rPr>
            <sz val="9"/>
            <color indexed="81"/>
            <rFont val="Tahoma"/>
            <family val="2"/>
          </rPr>
          <t xml:space="preserve">
assumed</t>
        </r>
      </text>
    </comment>
    <comment ref="CE135" authorId="0" shapeId="0" xr:uid="{013E320E-6295-4D65-B2F8-1BAA1B67A8C6}">
      <text>
        <r>
          <rPr>
            <b/>
            <sz val="9"/>
            <color indexed="81"/>
            <rFont val="Tahoma"/>
            <family val="2"/>
          </rPr>
          <t>Gavin Mudd:</t>
        </r>
        <r>
          <rPr>
            <sz val="9"/>
            <color indexed="81"/>
            <rFont val="Tahoma"/>
            <family val="2"/>
          </rPr>
          <t xml:space="preserve">
assumed</t>
        </r>
      </text>
    </comment>
    <comment ref="DL135" authorId="0" shapeId="0" xr:uid="{DDC3BC6B-7C07-4CBE-BECD-989027AC501C}">
      <text>
        <r>
          <rPr>
            <b/>
            <sz val="9"/>
            <color indexed="81"/>
            <rFont val="Tahoma"/>
            <family val="2"/>
          </rPr>
          <t>Gavin Mudd:</t>
        </r>
        <r>
          <rPr>
            <sz val="9"/>
            <color indexed="81"/>
            <rFont val="Tahoma"/>
            <family val="2"/>
          </rPr>
          <t xml:space="preserve">
assumed</t>
        </r>
      </text>
    </comment>
    <comment ref="DM135" authorId="0" shapeId="0" xr:uid="{2F280725-ACE0-4266-82B9-815C7E8981A9}">
      <text>
        <r>
          <rPr>
            <b/>
            <sz val="9"/>
            <color indexed="81"/>
            <rFont val="Tahoma"/>
            <family val="2"/>
          </rPr>
          <t>Gavin Mudd:</t>
        </r>
        <r>
          <rPr>
            <sz val="9"/>
            <color indexed="81"/>
            <rFont val="Tahoma"/>
            <family val="2"/>
          </rPr>
          <t xml:space="preserve">
assumed</t>
        </r>
      </text>
    </comment>
    <comment ref="DL136" authorId="0" shapeId="0" xr:uid="{820B1C7E-0AAC-4D40-B466-49317EED25E4}">
      <text>
        <r>
          <rPr>
            <b/>
            <sz val="9"/>
            <color indexed="81"/>
            <rFont val="Tahoma"/>
            <family val="2"/>
          </rPr>
          <t>Gavin Mudd:</t>
        </r>
        <r>
          <rPr>
            <sz val="9"/>
            <color indexed="81"/>
            <rFont val="Tahoma"/>
            <family val="2"/>
          </rPr>
          <t xml:space="preserve">
assumed</t>
        </r>
      </text>
    </comment>
    <comment ref="DM136" authorId="0" shapeId="0" xr:uid="{EDABD1F8-5A7A-42F2-BF6A-FEFBD62AAC17}">
      <text>
        <r>
          <rPr>
            <b/>
            <sz val="9"/>
            <color indexed="81"/>
            <rFont val="Tahoma"/>
            <family val="2"/>
          </rPr>
          <t>Gavin Mudd:</t>
        </r>
        <r>
          <rPr>
            <sz val="9"/>
            <color indexed="81"/>
            <rFont val="Tahoma"/>
            <family val="2"/>
          </rPr>
          <t xml:space="preserve">
assumed</t>
        </r>
      </text>
    </comment>
    <comment ref="DL137" authorId="0" shapeId="0" xr:uid="{B98C5E90-D404-4376-9BDC-B71A4CF000E3}">
      <text>
        <r>
          <rPr>
            <b/>
            <sz val="9"/>
            <color indexed="81"/>
            <rFont val="Tahoma"/>
            <family val="2"/>
          </rPr>
          <t>Gavin Mudd:</t>
        </r>
        <r>
          <rPr>
            <sz val="9"/>
            <color indexed="81"/>
            <rFont val="Tahoma"/>
            <family val="2"/>
          </rPr>
          <t xml:space="preserve">
assumed</t>
        </r>
      </text>
    </comment>
    <comment ref="DM137" authorId="0" shapeId="0" xr:uid="{8F021428-6FC2-4CBA-AF09-E920C9928B2D}">
      <text>
        <r>
          <rPr>
            <b/>
            <sz val="9"/>
            <color indexed="81"/>
            <rFont val="Tahoma"/>
            <family val="2"/>
          </rPr>
          <t>Gavin Mudd:</t>
        </r>
        <r>
          <rPr>
            <sz val="9"/>
            <color indexed="81"/>
            <rFont val="Tahoma"/>
            <family val="2"/>
          </rPr>
          <t xml:space="preserve">
assumed</t>
        </r>
      </text>
    </comment>
    <comment ref="DL138" authorId="0" shapeId="0" xr:uid="{E33F2114-4142-4636-BE6B-124BD19D80BE}">
      <text>
        <r>
          <rPr>
            <b/>
            <sz val="9"/>
            <color indexed="81"/>
            <rFont val="Tahoma"/>
            <family val="2"/>
          </rPr>
          <t>Gavin Mudd:</t>
        </r>
        <r>
          <rPr>
            <sz val="9"/>
            <color indexed="81"/>
            <rFont val="Tahoma"/>
            <family val="2"/>
          </rPr>
          <t xml:space="preserve">
assumed</t>
        </r>
      </text>
    </comment>
    <comment ref="DM138" authorId="0" shapeId="0" xr:uid="{D9866A18-2E71-4905-B799-E6E0C05901F1}">
      <text>
        <r>
          <rPr>
            <b/>
            <sz val="9"/>
            <color indexed="81"/>
            <rFont val="Tahoma"/>
            <family val="2"/>
          </rPr>
          <t>Gavin Mudd:</t>
        </r>
        <r>
          <rPr>
            <sz val="9"/>
            <color indexed="81"/>
            <rFont val="Tahoma"/>
            <family val="2"/>
          </rPr>
          <t xml:space="preserve">
assumed</t>
        </r>
      </text>
    </comment>
    <comment ref="DL139" authorId="0" shapeId="0" xr:uid="{FA7043EA-8FD1-48DE-AFB6-733E458AEC8D}">
      <text>
        <r>
          <rPr>
            <b/>
            <sz val="9"/>
            <color indexed="81"/>
            <rFont val="Tahoma"/>
            <family val="2"/>
          </rPr>
          <t>Gavin Mudd:</t>
        </r>
        <r>
          <rPr>
            <sz val="9"/>
            <color indexed="81"/>
            <rFont val="Tahoma"/>
            <family val="2"/>
          </rPr>
          <t xml:space="preserve">
assumed</t>
        </r>
      </text>
    </comment>
    <comment ref="DM139" authorId="0" shapeId="0" xr:uid="{99A55EF1-91B8-4CAD-B79A-17D0DFD7C642}">
      <text>
        <r>
          <rPr>
            <b/>
            <sz val="9"/>
            <color indexed="81"/>
            <rFont val="Tahoma"/>
            <family val="2"/>
          </rPr>
          <t>Gavin Mudd:</t>
        </r>
        <r>
          <rPr>
            <sz val="9"/>
            <color indexed="81"/>
            <rFont val="Tahoma"/>
            <family val="2"/>
          </rPr>
          <t xml:space="preserve">
assumed</t>
        </r>
      </text>
    </comment>
    <comment ref="DL140" authorId="0" shapeId="0" xr:uid="{2BC4CA94-CEC9-4AD8-B62C-CB9593188A7B}">
      <text>
        <r>
          <rPr>
            <b/>
            <sz val="9"/>
            <color indexed="81"/>
            <rFont val="Tahoma"/>
            <family val="2"/>
          </rPr>
          <t>Gavin Mudd:</t>
        </r>
        <r>
          <rPr>
            <sz val="9"/>
            <color indexed="81"/>
            <rFont val="Tahoma"/>
            <family val="2"/>
          </rPr>
          <t xml:space="preserve">
assumed</t>
        </r>
      </text>
    </comment>
    <comment ref="DM140" authorId="0" shapeId="0" xr:uid="{6A988D46-A101-4107-888B-E29110297FB9}">
      <text>
        <r>
          <rPr>
            <b/>
            <sz val="9"/>
            <color indexed="81"/>
            <rFont val="Tahoma"/>
            <family val="2"/>
          </rPr>
          <t>Gavin Mudd:</t>
        </r>
        <r>
          <rPr>
            <sz val="9"/>
            <color indexed="81"/>
            <rFont val="Tahoma"/>
            <family val="2"/>
          </rPr>
          <t xml:space="preserve">
assumed</t>
        </r>
      </text>
    </comment>
    <comment ref="DL141" authorId="0" shapeId="0" xr:uid="{8930403D-791B-4505-89FD-A0CA903E0B04}">
      <text>
        <r>
          <rPr>
            <b/>
            <sz val="9"/>
            <color indexed="81"/>
            <rFont val="Tahoma"/>
            <family val="2"/>
          </rPr>
          <t>Gavin Mudd:</t>
        </r>
        <r>
          <rPr>
            <sz val="9"/>
            <color indexed="81"/>
            <rFont val="Tahoma"/>
            <family val="2"/>
          </rPr>
          <t xml:space="preserve">
assumed</t>
        </r>
      </text>
    </comment>
    <comment ref="DM141" authorId="0" shapeId="0" xr:uid="{5752E6F2-6C43-4061-B513-A15153200CEC}">
      <text>
        <r>
          <rPr>
            <b/>
            <sz val="9"/>
            <color indexed="81"/>
            <rFont val="Tahoma"/>
            <family val="2"/>
          </rPr>
          <t>Gavin Mudd:</t>
        </r>
        <r>
          <rPr>
            <sz val="9"/>
            <color indexed="81"/>
            <rFont val="Tahoma"/>
            <family val="2"/>
          </rPr>
          <t xml:space="preserve">
assumed</t>
        </r>
      </text>
    </comment>
    <comment ref="CN142" authorId="0" shapeId="0" xr:uid="{03B6544E-8FA4-4DC4-B403-186F832A48AB}">
      <text>
        <r>
          <rPr>
            <b/>
            <sz val="9"/>
            <color indexed="81"/>
            <rFont val="Tahoma"/>
            <family val="2"/>
          </rPr>
          <t>Gavin Mudd:</t>
        </r>
        <r>
          <rPr>
            <sz val="9"/>
            <color indexed="81"/>
            <rFont val="Tahoma"/>
            <family val="2"/>
          </rPr>
          <t xml:space="preserve">
assumed</t>
        </r>
      </text>
    </comment>
    <comment ref="CO142" authorId="0" shapeId="0" xr:uid="{6EF6CAC4-F230-4F04-89DF-6026E2577710}">
      <text>
        <r>
          <rPr>
            <b/>
            <sz val="9"/>
            <color indexed="81"/>
            <rFont val="Tahoma"/>
            <family val="2"/>
          </rPr>
          <t>Gavin Mudd:</t>
        </r>
        <r>
          <rPr>
            <sz val="9"/>
            <color indexed="81"/>
            <rFont val="Tahoma"/>
            <family val="2"/>
          </rPr>
          <t xml:space="preserve">
assumed</t>
        </r>
      </text>
    </comment>
    <comment ref="DL142" authorId="0" shapeId="0" xr:uid="{CDDD1F3E-58D1-4C45-BE93-7E6D65823F64}">
      <text>
        <r>
          <rPr>
            <b/>
            <sz val="9"/>
            <color indexed="81"/>
            <rFont val="Tahoma"/>
            <family val="2"/>
          </rPr>
          <t>Gavin Mudd:</t>
        </r>
        <r>
          <rPr>
            <sz val="9"/>
            <color indexed="81"/>
            <rFont val="Tahoma"/>
            <family val="2"/>
          </rPr>
          <t xml:space="preserve">
assumed</t>
        </r>
      </text>
    </comment>
    <comment ref="DM142" authorId="0" shapeId="0" xr:uid="{0014A4BC-91CD-4592-A1BD-0C6E04A66EBA}">
      <text>
        <r>
          <rPr>
            <b/>
            <sz val="9"/>
            <color indexed="81"/>
            <rFont val="Tahoma"/>
            <family val="2"/>
          </rPr>
          <t>Gavin Mudd:</t>
        </r>
        <r>
          <rPr>
            <sz val="9"/>
            <color indexed="81"/>
            <rFont val="Tahoma"/>
            <family val="2"/>
          </rPr>
          <t xml:space="preserve">
assumed</t>
        </r>
      </text>
    </comment>
    <comment ref="CC143" authorId="0" shapeId="0" xr:uid="{71402A44-BDAC-409F-9096-A47111484326}">
      <text>
        <r>
          <rPr>
            <b/>
            <sz val="9"/>
            <color indexed="81"/>
            <rFont val="Tahoma"/>
            <family val="2"/>
          </rPr>
          <t>Gavin Mudd:</t>
        </r>
        <r>
          <rPr>
            <sz val="9"/>
            <color indexed="81"/>
            <rFont val="Tahoma"/>
            <family val="2"/>
          </rPr>
          <t xml:space="preserve">
assumed</t>
        </r>
      </text>
    </comment>
    <comment ref="CD143" authorId="0" shapeId="0" xr:uid="{73B0243C-6062-4236-81C8-32531AB5A69D}">
      <text>
        <r>
          <rPr>
            <b/>
            <sz val="9"/>
            <color indexed="81"/>
            <rFont val="Tahoma"/>
            <family val="2"/>
          </rPr>
          <t>Gavin Mudd:</t>
        </r>
        <r>
          <rPr>
            <sz val="9"/>
            <color indexed="81"/>
            <rFont val="Tahoma"/>
            <family val="2"/>
          </rPr>
          <t xml:space="preserve">
assumed</t>
        </r>
      </text>
    </comment>
    <comment ref="DL143" authorId="0" shapeId="0" xr:uid="{859E2416-138C-4A92-8299-2CD0F233C985}">
      <text>
        <r>
          <rPr>
            <b/>
            <sz val="9"/>
            <color indexed="81"/>
            <rFont val="Tahoma"/>
            <family val="2"/>
          </rPr>
          <t>Gavin Mudd:</t>
        </r>
        <r>
          <rPr>
            <sz val="9"/>
            <color indexed="81"/>
            <rFont val="Tahoma"/>
            <family val="2"/>
          </rPr>
          <t xml:space="preserve">
assumed</t>
        </r>
      </text>
    </comment>
    <comment ref="DM143" authorId="0" shapeId="0" xr:uid="{66C57366-0324-44AA-9377-7076FC6112FE}">
      <text>
        <r>
          <rPr>
            <b/>
            <sz val="9"/>
            <color indexed="81"/>
            <rFont val="Tahoma"/>
            <family val="2"/>
          </rPr>
          <t>Gavin Mudd:</t>
        </r>
        <r>
          <rPr>
            <sz val="9"/>
            <color indexed="81"/>
            <rFont val="Tahoma"/>
            <family val="2"/>
          </rPr>
          <t xml:space="preserve">
assumed</t>
        </r>
      </text>
    </comment>
    <comment ref="CC144" authorId="0" shapeId="0" xr:uid="{F9F0910A-2703-4A2E-9DAE-EFC88F31F9B1}">
      <text>
        <r>
          <rPr>
            <b/>
            <sz val="9"/>
            <color indexed="81"/>
            <rFont val="Tahoma"/>
            <family val="2"/>
          </rPr>
          <t>Gavin Mudd:</t>
        </r>
        <r>
          <rPr>
            <sz val="9"/>
            <color indexed="81"/>
            <rFont val="Tahoma"/>
            <family val="2"/>
          </rPr>
          <t xml:space="preserve">
assumed</t>
        </r>
      </text>
    </comment>
    <comment ref="CD144" authorId="0" shapeId="0" xr:uid="{7AB50BB6-55D5-4FE9-95C2-B5FBD41EBEFF}">
      <text>
        <r>
          <rPr>
            <b/>
            <sz val="9"/>
            <color indexed="81"/>
            <rFont val="Tahoma"/>
            <family val="2"/>
          </rPr>
          <t>Gavin Mudd:</t>
        </r>
        <r>
          <rPr>
            <sz val="9"/>
            <color indexed="81"/>
            <rFont val="Tahoma"/>
            <family val="2"/>
          </rPr>
          <t xml:space="preserve">
assumed</t>
        </r>
      </text>
    </comment>
    <comment ref="CN144" authorId="0" shapeId="0" xr:uid="{7B9CF17D-5183-4D25-A3A6-0DCC65D95537}">
      <text>
        <r>
          <rPr>
            <b/>
            <sz val="9"/>
            <color indexed="81"/>
            <rFont val="Tahoma"/>
            <family val="2"/>
          </rPr>
          <t>Gavin Mudd:</t>
        </r>
        <r>
          <rPr>
            <sz val="9"/>
            <color indexed="81"/>
            <rFont val="Tahoma"/>
            <family val="2"/>
          </rPr>
          <t xml:space="preserve">
assumed</t>
        </r>
      </text>
    </comment>
    <comment ref="CO144" authorId="0" shapeId="0" xr:uid="{9748E759-8C2D-4382-AB58-6DE6EDB82744}">
      <text>
        <r>
          <rPr>
            <b/>
            <sz val="9"/>
            <color indexed="81"/>
            <rFont val="Tahoma"/>
            <family val="2"/>
          </rPr>
          <t>Gavin Mudd:</t>
        </r>
        <r>
          <rPr>
            <sz val="9"/>
            <color indexed="81"/>
            <rFont val="Tahoma"/>
            <family val="2"/>
          </rPr>
          <t xml:space="preserve">
assumed</t>
        </r>
      </text>
    </comment>
    <comment ref="CC145" authorId="0" shapeId="0" xr:uid="{C54E26F0-910B-48A7-A30C-584D501E27C8}">
      <text>
        <r>
          <rPr>
            <b/>
            <sz val="9"/>
            <color indexed="81"/>
            <rFont val="Tahoma"/>
            <family val="2"/>
          </rPr>
          <t>Gavin Mudd:</t>
        </r>
        <r>
          <rPr>
            <sz val="9"/>
            <color indexed="81"/>
            <rFont val="Tahoma"/>
            <family val="2"/>
          </rPr>
          <t xml:space="preserve">
assumed</t>
        </r>
      </text>
    </comment>
    <comment ref="CD145" authorId="0" shapeId="0" xr:uid="{BA5FFB04-D46E-4DE7-A2D1-3449414DC4EE}">
      <text>
        <r>
          <rPr>
            <b/>
            <sz val="9"/>
            <color indexed="81"/>
            <rFont val="Tahoma"/>
            <family val="2"/>
          </rPr>
          <t>Gavin Mudd:</t>
        </r>
        <r>
          <rPr>
            <sz val="9"/>
            <color indexed="81"/>
            <rFont val="Tahoma"/>
            <family val="2"/>
          </rPr>
          <t xml:space="preserve">
assumed</t>
        </r>
      </text>
    </comment>
    <comment ref="CN145" authorId="0" shapeId="0" xr:uid="{D0FB5E79-5672-4722-9F18-2DBFD0A623B9}">
      <text>
        <r>
          <rPr>
            <b/>
            <sz val="9"/>
            <color indexed="81"/>
            <rFont val="Tahoma"/>
            <family val="2"/>
          </rPr>
          <t>Gavin Mudd:</t>
        </r>
        <r>
          <rPr>
            <sz val="9"/>
            <color indexed="81"/>
            <rFont val="Tahoma"/>
            <family val="2"/>
          </rPr>
          <t xml:space="preserve">
assumed</t>
        </r>
      </text>
    </comment>
    <comment ref="CO145" authorId="0" shapeId="0" xr:uid="{DE3EE0B8-DCB3-4509-AE4A-D1B9C823C38D}">
      <text>
        <r>
          <rPr>
            <b/>
            <sz val="9"/>
            <color indexed="81"/>
            <rFont val="Tahoma"/>
            <family val="2"/>
          </rPr>
          <t>Gavin Mudd:</t>
        </r>
        <r>
          <rPr>
            <sz val="9"/>
            <color indexed="81"/>
            <rFont val="Tahoma"/>
            <family val="2"/>
          </rPr>
          <t xml:space="preserve">
assumed</t>
        </r>
      </text>
    </comment>
    <comment ref="CC146" authorId="0" shapeId="0" xr:uid="{93EC76B1-9745-4F94-9C6C-16783893F11F}">
      <text>
        <r>
          <rPr>
            <b/>
            <sz val="9"/>
            <color indexed="81"/>
            <rFont val="Tahoma"/>
            <family val="2"/>
          </rPr>
          <t>Gavin Mudd:</t>
        </r>
        <r>
          <rPr>
            <sz val="9"/>
            <color indexed="81"/>
            <rFont val="Tahoma"/>
            <family val="2"/>
          </rPr>
          <t xml:space="preserve">
assumed</t>
        </r>
      </text>
    </comment>
    <comment ref="CD146" authorId="0" shapeId="0" xr:uid="{C81E0005-1360-4E29-8D81-6B5569AC9744}">
      <text>
        <r>
          <rPr>
            <b/>
            <sz val="9"/>
            <color indexed="81"/>
            <rFont val="Tahoma"/>
            <family val="2"/>
          </rPr>
          <t>Gavin Mudd:</t>
        </r>
        <r>
          <rPr>
            <sz val="9"/>
            <color indexed="81"/>
            <rFont val="Tahoma"/>
            <family val="2"/>
          </rPr>
          <t xml:space="preserve">
assumed</t>
        </r>
      </text>
    </comment>
    <comment ref="CI146" authorId="0" shapeId="0" xr:uid="{2A522C31-E281-457A-A0D8-70AC6944F31D}">
      <text>
        <r>
          <rPr>
            <b/>
            <sz val="9"/>
            <color indexed="81"/>
            <rFont val="Tahoma"/>
            <family val="2"/>
          </rPr>
          <t>Gavin Mudd:</t>
        </r>
        <r>
          <rPr>
            <sz val="9"/>
            <color indexed="81"/>
            <rFont val="Tahoma"/>
            <family val="2"/>
          </rPr>
          <t xml:space="preserve">
assumed</t>
        </r>
      </text>
    </comment>
    <comment ref="CJ146" authorId="0" shapeId="0" xr:uid="{02D4AD99-C444-4B2E-AD05-9F95887A3DA4}">
      <text>
        <r>
          <rPr>
            <b/>
            <sz val="9"/>
            <color indexed="81"/>
            <rFont val="Tahoma"/>
            <family val="2"/>
          </rPr>
          <t>Gavin Mudd:</t>
        </r>
        <r>
          <rPr>
            <sz val="9"/>
            <color indexed="81"/>
            <rFont val="Tahoma"/>
            <family val="2"/>
          </rPr>
          <t xml:space="preserve">
assumed</t>
        </r>
      </text>
    </comment>
    <comment ref="CN146" authorId="0" shapeId="0" xr:uid="{8769D435-600A-45A8-A1F3-D72F59FC808F}">
      <text>
        <r>
          <rPr>
            <b/>
            <sz val="9"/>
            <color indexed="81"/>
            <rFont val="Tahoma"/>
            <family val="2"/>
          </rPr>
          <t>Gavin Mudd:</t>
        </r>
        <r>
          <rPr>
            <sz val="9"/>
            <color indexed="81"/>
            <rFont val="Tahoma"/>
            <family val="2"/>
          </rPr>
          <t xml:space="preserve">
assumed</t>
        </r>
      </text>
    </comment>
    <comment ref="CO146" authorId="0" shapeId="0" xr:uid="{0B0B697D-BA60-4447-AD06-54D28B21688F}">
      <text>
        <r>
          <rPr>
            <b/>
            <sz val="9"/>
            <color indexed="81"/>
            <rFont val="Tahoma"/>
            <family val="2"/>
          </rPr>
          <t>Gavin Mudd:</t>
        </r>
        <r>
          <rPr>
            <sz val="9"/>
            <color indexed="81"/>
            <rFont val="Tahoma"/>
            <family val="2"/>
          </rPr>
          <t xml:space="preserve">
assumed</t>
        </r>
      </text>
    </comment>
    <comment ref="CC147" authorId="0" shapeId="0" xr:uid="{26CB3067-BD17-454A-834A-0C8C78AB405D}">
      <text>
        <r>
          <rPr>
            <b/>
            <sz val="9"/>
            <color indexed="81"/>
            <rFont val="Tahoma"/>
            <family val="2"/>
          </rPr>
          <t>Gavin Mudd:</t>
        </r>
        <r>
          <rPr>
            <sz val="9"/>
            <color indexed="81"/>
            <rFont val="Tahoma"/>
            <family val="2"/>
          </rPr>
          <t xml:space="preserve">
assumed</t>
        </r>
      </text>
    </comment>
    <comment ref="CD147" authorId="0" shapeId="0" xr:uid="{D279057F-2491-4FEB-B550-43D0CA479EBB}">
      <text>
        <r>
          <rPr>
            <b/>
            <sz val="9"/>
            <color indexed="81"/>
            <rFont val="Tahoma"/>
            <family val="2"/>
          </rPr>
          <t>Gavin Mudd:</t>
        </r>
        <r>
          <rPr>
            <sz val="9"/>
            <color indexed="81"/>
            <rFont val="Tahoma"/>
            <family val="2"/>
          </rPr>
          <t xml:space="preserve">
assumed</t>
        </r>
      </text>
    </comment>
    <comment ref="CI147" authorId="0" shapeId="0" xr:uid="{CEE6DE0A-CA26-4E76-9DA8-B0E23BA20FC9}">
      <text>
        <r>
          <rPr>
            <b/>
            <sz val="9"/>
            <color indexed="81"/>
            <rFont val="Tahoma"/>
            <family val="2"/>
          </rPr>
          <t>Gavin Mudd:</t>
        </r>
        <r>
          <rPr>
            <sz val="9"/>
            <color indexed="81"/>
            <rFont val="Tahoma"/>
            <family val="2"/>
          </rPr>
          <t xml:space="preserve">
assumed</t>
        </r>
      </text>
    </comment>
    <comment ref="CJ147" authorId="0" shapeId="0" xr:uid="{0FEDF290-A29F-4F9A-A776-16BEAA0F68CC}">
      <text>
        <r>
          <rPr>
            <b/>
            <sz val="9"/>
            <color indexed="81"/>
            <rFont val="Tahoma"/>
            <family val="2"/>
          </rPr>
          <t>Gavin Mudd:</t>
        </r>
        <r>
          <rPr>
            <sz val="9"/>
            <color indexed="81"/>
            <rFont val="Tahoma"/>
            <family val="2"/>
          </rPr>
          <t xml:space="preserve">
assumed</t>
        </r>
      </text>
    </comment>
    <comment ref="CN147" authorId="0" shapeId="0" xr:uid="{A96C5B02-894A-4070-8E7D-567001633D39}">
      <text>
        <r>
          <rPr>
            <b/>
            <sz val="9"/>
            <color indexed="81"/>
            <rFont val="Tahoma"/>
            <family val="2"/>
          </rPr>
          <t>Gavin Mudd:</t>
        </r>
        <r>
          <rPr>
            <sz val="9"/>
            <color indexed="81"/>
            <rFont val="Tahoma"/>
            <family val="2"/>
          </rPr>
          <t xml:space="preserve">
assumed</t>
        </r>
      </text>
    </comment>
    <comment ref="CO147" authorId="0" shapeId="0" xr:uid="{27D3D5EE-2711-4861-A148-6104C2E6AEF1}">
      <text>
        <r>
          <rPr>
            <b/>
            <sz val="9"/>
            <color indexed="81"/>
            <rFont val="Tahoma"/>
            <family val="2"/>
          </rPr>
          <t>Gavin Mudd:</t>
        </r>
        <r>
          <rPr>
            <sz val="9"/>
            <color indexed="81"/>
            <rFont val="Tahoma"/>
            <family val="2"/>
          </rPr>
          <t xml:space="preserve">
assumed</t>
        </r>
      </text>
    </comment>
    <comment ref="CC148" authorId="0" shapeId="0" xr:uid="{DE5449D9-C5B6-44AB-893C-C10EBAC06F97}">
      <text>
        <r>
          <rPr>
            <b/>
            <sz val="9"/>
            <color indexed="81"/>
            <rFont val="Tahoma"/>
            <family val="2"/>
          </rPr>
          <t>Gavin Mudd:</t>
        </r>
        <r>
          <rPr>
            <sz val="9"/>
            <color indexed="81"/>
            <rFont val="Tahoma"/>
            <family val="2"/>
          </rPr>
          <t xml:space="preserve">
assumed</t>
        </r>
      </text>
    </comment>
    <comment ref="CD148" authorId="0" shapeId="0" xr:uid="{AE25A9CC-330D-4265-A842-B0E2CEA1F93E}">
      <text>
        <r>
          <rPr>
            <b/>
            <sz val="9"/>
            <color indexed="81"/>
            <rFont val="Tahoma"/>
            <family val="2"/>
          </rPr>
          <t>Gavin Mudd:</t>
        </r>
        <r>
          <rPr>
            <sz val="9"/>
            <color indexed="81"/>
            <rFont val="Tahoma"/>
            <family val="2"/>
          </rPr>
          <t xml:space="preserve">
assumed</t>
        </r>
      </text>
    </comment>
    <comment ref="CI148" authorId="0" shapeId="0" xr:uid="{AD61EADF-9E0C-47FA-86CB-EDBAC44EE945}">
      <text>
        <r>
          <rPr>
            <b/>
            <sz val="9"/>
            <color indexed="81"/>
            <rFont val="Tahoma"/>
            <family val="2"/>
          </rPr>
          <t>Gavin Mudd:</t>
        </r>
        <r>
          <rPr>
            <sz val="9"/>
            <color indexed="81"/>
            <rFont val="Tahoma"/>
            <family val="2"/>
          </rPr>
          <t xml:space="preserve">
assumed</t>
        </r>
      </text>
    </comment>
    <comment ref="CJ148" authorId="0" shapeId="0" xr:uid="{49F499B8-9356-46CE-9FE1-DDB50333D076}">
      <text>
        <r>
          <rPr>
            <b/>
            <sz val="9"/>
            <color indexed="81"/>
            <rFont val="Tahoma"/>
            <family val="2"/>
          </rPr>
          <t>Gavin Mudd:</t>
        </r>
        <r>
          <rPr>
            <sz val="9"/>
            <color indexed="81"/>
            <rFont val="Tahoma"/>
            <family val="2"/>
          </rPr>
          <t xml:space="preserve">
assumed</t>
        </r>
      </text>
    </comment>
    <comment ref="CN148" authorId="0" shapeId="0" xr:uid="{1144A72B-5C74-4B3D-B424-AC560390CCD0}">
      <text>
        <r>
          <rPr>
            <b/>
            <sz val="9"/>
            <color indexed="81"/>
            <rFont val="Tahoma"/>
            <family val="2"/>
          </rPr>
          <t>Gavin Mudd:</t>
        </r>
        <r>
          <rPr>
            <sz val="9"/>
            <color indexed="81"/>
            <rFont val="Tahoma"/>
            <family val="2"/>
          </rPr>
          <t xml:space="preserve">
assumed</t>
        </r>
      </text>
    </comment>
    <comment ref="CO148" authorId="0" shapeId="0" xr:uid="{B7D11BD1-FA4E-44E8-8452-A211C36D8A39}">
      <text>
        <r>
          <rPr>
            <b/>
            <sz val="9"/>
            <color indexed="81"/>
            <rFont val="Tahoma"/>
            <family val="2"/>
          </rPr>
          <t>Gavin Mudd:</t>
        </r>
        <r>
          <rPr>
            <sz val="9"/>
            <color indexed="81"/>
            <rFont val="Tahoma"/>
            <family val="2"/>
          </rPr>
          <t xml:space="preserve">
assumed</t>
        </r>
      </text>
    </comment>
    <comment ref="DL148" authorId="0" shapeId="0" xr:uid="{F8913D6D-C5E3-473C-8EA0-AC7AFEB5ACA0}">
      <text>
        <r>
          <rPr>
            <b/>
            <sz val="9"/>
            <color indexed="81"/>
            <rFont val="Tahoma"/>
            <family val="2"/>
          </rPr>
          <t>Gavin Mudd:</t>
        </r>
        <r>
          <rPr>
            <sz val="9"/>
            <color indexed="81"/>
            <rFont val="Tahoma"/>
            <family val="2"/>
          </rPr>
          <t xml:space="preserve">
assumed</t>
        </r>
      </text>
    </comment>
    <comment ref="DM148" authorId="0" shapeId="0" xr:uid="{46DF62D9-143D-4954-913F-7417660E8433}">
      <text>
        <r>
          <rPr>
            <b/>
            <sz val="9"/>
            <color indexed="81"/>
            <rFont val="Tahoma"/>
            <family val="2"/>
          </rPr>
          <t>Gavin Mudd:</t>
        </r>
        <r>
          <rPr>
            <sz val="9"/>
            <color indexed="81"/>
            <rFont val="Tahoma"/>
            <family val="2"/>
          </rPr>
          <t xml:space="preserve">
assumed</t>
        </r>
      </text>
    </comment>
    <comment ref="CC149" authorId="0" shapeId="0" xr:uid="{DACDA27E-8A33-478E-8017-CC617AA7F1D9}">
      <text>
        <r>
          <rPr>
            <b/>
            <sz val="9"/>
            <color indexed="81"/>
            <rFont val="Tahoma"/>
            <family val="2"/>
          </rPr>
          <t>Gavin Mudd:</t>
        </r>
        <r>
          <rPr>
            <sz val="9"/>
            <color indexed="81"/>
            <rFont val="Tahoma"/>
            <family val="2"/>
          </rPr>
          <t xml:space="preserve">
assumed</t>
        </r>
      </text>
    </comment>
    <comment ref="CD149" authorId="0" shapeId="0" xr:uid="{C2426221-6D29-4436-A23A-A5B570E172AC}">
      <text>
        <r>
          <rPr>
            <b/>
            <sz val="9"/>
            <color indexed="81"/>
            <rFont val="Tahoma"/>
            <family val="2"/>
          </rPr>
          <t>Gavin Mudd:</t>
        </r>
        <r>
          <rPr>
            <sz val="9"/>
            <color indexed="81"/>
            <rFont val="Tahoma"/>
            <family val="2"/>
          </rPr>
          <t xml:space="preserve">
assumed</t>
        </r>
      </text>
    </comment>
    <comment ref="CN149" authorId="0" shapeId="0" xr:uid="{FF20B181-A883-44D1-9842-298D4090C71D}">
      <text>
        <r>
          <rPr>
            <b/>
            <sz val="9"/>
            <color indexed="81"/>
            <rFont val="Tahoma"/>
            <family val="2"/>
          </rPr>
          <t>Gavin Mudd:</t>
        </r>
        <r>
          <rPr>
            <sz val="9"/>
            <color indexed="81"/>
            <rFont val="Tahoma"/>
            <family val="2"/>
          </rPr>
          <t xml:space="preserve">
assumed</t>
        </r>
      </text>
    </comment>
    <comment ref="CO149" authorId="0" shapeId="0" xr:uid="{6432AC6D-8937-4EBB-A660-76583278A0CD}">
      <text>
        <r>
          <rPr>
            <b/>
            <sz val="9"/>
            <color indexed="81"/>
            <rFont val="Tahoma"/>
            <family val="2"/>
          </rPr>
          <t>Gavin Mudd:</t>
        </r>
        <r>
          <rPr>
            <sz val="9"/>
            <color indexed="81"/>
            <rFont val="Tahoma"/>
            <family val="2"/>
          </rPr>
          <t xml:space="preserve">
assumed</t>
        </r>
      </text>
    </comment>
    <comment ref="DL149" authorId="0" shapeId="0" xr:uid="{EA5AD3A8-3954-4375-A45F-AEAA0CD80F33}">
      <text>
        <r>
          <rPr>
            <b/>
            <sz val="9"/>
            <color indexed="81"/>
            <rFont val="Tahoma"/>
            <family val="2"/>
          </rPr>
          <t>Gavin Mudd:</t>
        </r>
        <r>
          <rPr>
            <sz val="9"/>
            <color indexed="81"/>
            <rFont val="Tahoma"/>
            <family val="2"/>
          </rPr>
          <t xml:space="preserve">
assumed</t>
        </r>
      </text>
    </comment>
    <comment ref="DM149" authorId="0" shapeId="0" xr:uid="{3CA5B677-6646-4B9B-8DC4-A8390AB79FCB}">
      <text>
        <r>
          <rPr>
            <b/>
            <sz val="9"/>
            <color indexed="81"/>
            <rFont val="Tahoma"/>
            <family val="2"/>
          </rPr>
          <t>Gavin Mudd:</t>
        </r>
        <r>
          <rPr>
            <sz val="9"/>
            <color indexed="81"/>
            <rFont val="Tahoma"/>
            <family val="2"/>
          </rPr>
          <t xml:space="preserve">
assumed</t>
        </r>
      </text>
    </comment>
    <comment ref="CC150" authorId="0" shapeId="0" xr:uid="{1DB8CD36-D58C-418F-950E-53A3F9BA8EB2}">
      <text>
        <r>
          <rPr>
            <b/>
            <sz val="9"/>
            <color indexed="81"/>
            <rFont val="Tahoma"/>
            <family val="2"/>
          </rPr>
          <t>Gavin Mudd:</t>
        </r>
        <r>
          <rPr>
            <sz val="9"/>
            <color indexed="81"/>
            <rFont val="Tahoma"/>
            <family val="2"/>
          </rPr>
          <t xml:space="preserve">
assumed</t>
        </r>
      </text>
    </comment>
    <comment ref="CD150" authorId="0" shapeId="0" xr:uid="{73A07C98-348E-4947-89A5-7D10FC869C44}">
      <text>
        <r>
          <rPr>
            <b/>
            <sz val="9"/>
            <color indexed="81"/>
            <rFont val="Tahoma"/>
            <family val="2"/>
          </rPr>
          <t>Gavin Mudd:</t>
        </r>
        <r>
          <rPr>
            <sz val="9"/>
            <color indexed="81"/>
            <rFont val="Tahoma"/>
            <family val="2"/>
          </rPr>
          <t xml:space="preserve">
assumed</t>
        </r>
      </text>
    </comment>
    <comment ref="CI150" authorId="0" shapeId="0" xr:uid="{B57CBE42-6300-4A3C-96A0-D2C300DD120C}">
      <text>
        <r>
          <rPr>
            <b/>
            <sz val="9"/>
            <color indexed="81"/>
            <rFont val="Tahoma"/>
            <family val="2"/>
          </rPr>
          <t>Gavin Mudd:</t>
        </r>
        <r>
          <rPr>
            <sz val="9"/>
            <color indexed="81"/>
            <rFont val="Tahoma"/>
            <family val="2"/>
          </rPr>
          <t xml:space="preserve">
assumed</t>
        </r>
      </text>
    </comment>
    <comment ref="CJ150" authorId="0" shapeId="0" xr:uid="{5070815C-430D-4EEC-8D5E-A6DBDB623C17}">
      <text>
        <r>
          <rPr>
            <b/>
            <sz val="9"/>
            <color indexed="81"/>
            <rFont val="Tahoma"/>
            <family val="2"/>
          </rPr>
          <t>Gavin Mudd:</t>
        </r>
        <r>
          <rPr>
            <sz val="9"/>
            <color indexed="81"/>
            <rFont val="Tahoma"/>
            <family val="2"/>
          </rPr>
          <t xml:space="preserve">
assumed</t>
        </r>
      </text>
    </comment>
    <comment ref="DL150" authorId="0" shapeId="0" xr:uid="{D0C8E315-B080-469B-8247-0C1613FE3B08}">
      <text>
        <r>
          <rPr>
            <b/>
            <sz val="9"/>
            <color indexed="81"/>
            <rFont val="Tahoma"/>
            <family val="2"/>
          </rPr>
          <t>Gavin Mudd:</t>
        </r>
        <r>
          <rPr>
            <sz val="9"/>
            <color indexed="81"/>
            <rFont val="Tahoma"/>
            <family val="2"/>
          </rPr>
          <t xml:space="preserve">
assumed</t>
        </r>
      </text>
    </comment>
    <comment ref="DM150" authorId="0" shapeId="0" xr:uid="{0C7423EF-01C2-453E-BC02-5166173C72F7}">
      <text>
        <r>
          <rPr>
            <b/>
            <sz val="9"/>
            <color indexed="81"/>
            <rFont val="Tahoma"/>
            <family val="2"/>
          </rPr>
          <t>Gavin Mudd:</t>
        </r>
        <r>
          <rPr>
            <sz val="9"/>
            <color indexed="81"/>
            <rFont val="Tahoma"/>
            <family val="2"/>
          </rPr>
          <t xml:space="preserve">
assumed</t>
        </r>
      </text>
    </comment>
    <comment ref="CC151" authorId="0" shapeId="0" xr:uid="{B0507B15-3742-49CA-9900-7DB51D8B95FF}">
      <text>
        <r>
          <rPr>
            <b/>
            <sz val="9"/>
            <color indexed="81"/>
            <rFont val="Tahoma"/>
            <family val="2"/>
          </rPr>
          <t>Gavin Mudd:</t>
        </r>
        <r>
          <rPr>
            <sz val="9"/>
            <color indexed="81"/>
            <rFont val="Tahoma"/>
            <family val="2"/>
          </rPr>
          <t xml:space="preserve">
assumed</t>
        </r>
      </text>
    </comment>
    <comment ref="CD151" authorId="0" shapeId="0" xr:uid="{673D7338-117B-44B4-A252-36F68ACFD90F}">
      <text>
        <r>
          <rPr>
            <b/>
            <sz val="9"/>
            <color indexed="81"/>
            <rFont val="Tahoma"/>
            <family val="2"/>
          </rPr>
          <t>Gavin Mudd:</t>
        </r>
        <r>
          <rPr>
            <sz val="9"/>
            <color indexed="81"/>
            <rFont val="Tahoma"/>
            <family val="2"/>
          </rPr>
          <t xml:space="preserve">
assumed</t>
        </r>
      </text>
    </comment>
    <comment ref="CI151" authorId="0" shapeId="0" xr:uid="{68FD41C3-9E8C-4AE2-95DC-A18D9AB3EF7B}">
      <text>
        <r>
          <rPr>
            <b/>
            <sz val="9"/>
            <color indexed="81"/>
            <rFont val="Tahoma"/>
            <family val="2"/>
          </rPr>
          <t>Gavin Mudd:</t>
        </r>
        <r>
          <rPr>
            <sz val="9"/>
            <color indexed="81"/>
            <rFont val="Tahoma"/>
            <family val="2"/>
          </rPr>
          <t xml:space="preserve">
assumed</t>
        </r>
      </text>
    </comment>
    <comment ref="CJ151" authorId="0" shapeId="0" xr:uid="{D5C107DC-2B8F-4EF9-8FC2-30C2D139DEE7}">
      <text>
        <r>
          <rPr>
            <b/>
            <sz val="9"/>
            <color indexed="81"/>
            <rFont val="Tahoma"/>
            <family val="2"/>
          </rPr>
          <t>Gavin Mudd:</t>
        </r>
        <r>
          <rPr>
            <sz val="9"/>
            <color indexed="81"/>
            <rFont val="Tahoma"/>
            <family val="2"/>
          </rPr>
          <t xml:space="preserve">
assumed</t>
        </r>
      </text>
    </comment>
    <comment ref="DL151" authorId="0" shapeId="0" xr:uid="{17E5EF5F-0ED8-432A-A226-703F8E78ACEB}">
      <text>
        <r>
          <rPr>
            <b/>
            <sz val="9"/>
            <color indexed="81"/>
            <rFont val="Tahoma"/>
            <family val="2"/>
          </rPr>
          <t>Gavin Mudd:</t>
        </r>
        <r>
          <rPr>
            <sz val="9"/>
            <color indexed="81"/>
            <rFont val="Tahoma"/>
            <family val="2"/>
          </rPr>
          <t xml:space="preserve">
assumed</t>
        </r>
      </text>
    </comment>
    <comment ref="DM151" authorId="0" shapeId="0" xr:uid="{C0448E92-A032-4EC6-9034-56DC89E0EC0A}">
      <text>
        <r>
          <rPr>
            <b/>
            <sz val="9"/>
            <color indexed="81"/>
            <rFont val="Tahoma"/>
            <family val="2"/>
          </rPr>
          <t>Gavin Mudd:</t>
        </r>
        <r>
          <rPr>
            <sz val="9"/>
            <color indexed="81"/>
            <rFont val="Tahoma"/>
            <family val="2"/>
          </rPr>
          <t xml:space="preserve">
assumed</t>
        </r>
      </text>
    </comment>
    <comment ref="AV152" authorId="0" shapeId="0" xr:uid="{6FA415ED-6C4F-4E93-BEE0-7B245211B353}">
      <text>
        <r>
          <rPr>
            <b/>
            <sz val="9"/>
            <color indexed="81"/>
            <rFont val="Tahoma"/>
            <family val="2"/>
          </rPr>
          <t>Gavin Mudd:</t>
        </r>
        <r>
          <rPr>
            <sz val="9"/>
            <color indexed="81"/>
            <rFont val="Tahoma"/>
            <family val="2"/>
          </rPr>
          <t xml:space="preserve">
assumed</t>
        </r>
      </text>
    </comment>
    <comment ref="AW152" authorId="0" shapeId="0" xr:uid="{B970B3D2-7347-4B20-BDCB-E310288E17EB}">
      <text>
        <r>
          <rPr>
            <b/>
            <sz val="9"/>
            <color indexed="81"/>
            <rFont val="Tahoma"/>
            <family val="2"/>
          </rPr>
          <t>Gavin Mudd:</t>
        </r>
        <r>
          <rPr>
            <sz val="9"/>
            <color indexed="81"/>
            <rFont val="Tahoma"/>
            <family val="2"/>
          </rPr>
          <t xml:space="preserve">
assumed</t>
        </r>
      </text>
    </comment>
    <comment ref="CC152" authorId="0" shapeId="0" xr:uid="{2F7E4BB9-C849-4CCA-9FAB-A546AE2E6115}">
      <text>
        <r>
          <rPr>
            <b/>
            <sz val="9"/>
            <color indexed="81"/>
            <rFont val="Tahoma"/>
            <family val="2"/>
          </rPr>
          <t>Gavin Mudd:</t>
        </r>
        <r>
          <rPr>
            <sz val="9"/>
            <color indexed="81"/>
            <rFont val="Tahoma"/>
            <family val="2"/>
          </rPr>
          <t xml:space="preserve">
assumed</t>
        </r>
      </text>
    </comment>
    <comment ref="CD152" authorId="0" shapeId="0" xr:uid="{E4F225CB-F638-45FE-A59F-5EB5ECF1E6A8}">
      <text>
        <r>
          <rPr>
            <b/>
            <sz val="9"/>
            <color indexed="81"/>
            <rFont val="Tahoma"/>
            <family val="2"/>
          </rPr>
          <t>Gavin Mudd:</t>
        </r>
        <r>
          <rPr>
            <sz val="9"/>
            <color indexed="81"/>
            <rFont val="Tahoma"/>
            <family val="2"/>
          </rPr>
          <t xml:space="preserve">
assumed</t>
        </r>
      </text>
    </comment>
    <comment ref="CI152" authorId="0" shapeId="0" xr:uid="{318506DB-0F17-4C69-8E34-064413300CAD}">
      <text>
        <r>
          <rPr>
            <b/>
            <sz val="9"/>
            <color indexed="81"/>
            <rFont val="Tahoma"/>
            <family val="2"/>
          </rPr>
          <t>Gavin Mudd:</t>
        </r>
        <r>
          <rPr>
            <sz val="9"/>
            <color indexed="81"/>
            <rFont val="Tahoma"/>
            <family val="2"/>
          </rPr>
          <t xml:space="preserve">
assumed</t>
        </r>
      </text>
    </comment>
    <comment ref="CJ152" authorId="0" shapeId="0" xr:uid="{C8FB2A0E-C61C-4939-A288-F496300FD777}">
      <text>
        <r>
          <rPr>
            <b/>
            <sz val="9"/>
            <color indexed="81"/>
            <rFont val="Tahoma"/>
            <family val="2"/>
          </rPr>
          <t>Gavin Mudd:</t>
        </r>
        <r>
          <rPr>
            <sz val="9"/>
            <color indexed="81"/>
            <rFont val="Tahoma"/>
            <family val="2"/>
          </rPr>
          <t xml:space="preserve">
assumed</t>
        </r>
      </text>
    </comment>
    <comment ref="DL152" authorId="0" shapeId="0" xr:uid="{6C92F667-B79F-453A-B490-F1D0C6C3FF58}">
      <text>
        <r>
          <rPr>
            <b/>
            <sz val="9"/>
            <color indexed="81"/>
            <rFont val="Tahoma"/>
            <family val="2"/>
          </rPr>
          <t>Gavin Mudd:</t>
        </r>
        <r>
          <rPr>
            <sz val="9"/>
            <color indexed="81"/>
            <rFont val="Tahoma"/>
            <family val="2"/>
          </rPr>
          <t xml:space="preserve">
assumed</t>
        </r>
      </text>
    </comment>
    <comment ref="DM152" authorId="0" shapeId="0" xr:uid="{680669B8-2821-4B82-A416-0EE9F499FF5E}">
      <text>
        <r>
          <rPr>
            <b/>
            <sz val="9"/>
            <color indexed="81"/>
            <rFont val="Tahoma"/>
            <family val="2"/>
          </rPr>
          <t>Gavin Mudd:</t>
        </r>
        <r>
          <rPr>
            <sz val="9"/>
            <color indexed="81"/>
            <rFont val="Tahoma"/>
            <family val="2"/>
          </rPr>
          <t xml:space="preserve">
assumed</t>
        </r>
      </text>
    </comment>
    <comment ref="CI153" authorId="0" shapeId="0" xr:uid="{BA26308B-272B-4895-8709-2018903D9984}">
      <text>
        <r>
          <rPr>
            <b/>
            <sz val="9"/>
            <color indexed="81"/>
            <rFont val="Tahoma"/>
            <family val="2"/>
          </rPr>
          <t>Gavin Mudd:</t>
        </r>
        <r>
          <rPr>
            <sz val="9"/>
            <color indexed="81"/>
            <rFont val="Tahoma"/>
            <family val="2"/>
          </rPr>
          <t xml:space="preserve">
assumed</t>
        </r>
      </text>
    </comment>
    <comment ref="CJ153" authorId="0" shapeId="0" xr:uid="{2D0796A2-0F1B-43E0-97C4-234876E30225}">
      <text>
        <r>
          <rPr>
            <b/>
            <sz val="9"/>
            <color indexed="81"/>
            <rFont val="Tahoma"/>
            <family val="2"/>
          </rPr>
          <t>Gavin Mudd:</t>
        </r>
        <r>
          <rPr>
            <sz val="9"/>
            <color indexed="81"/>
            <rFont val="Tahoma"/>
            <family val="2"/>
          </rPr>
          <t xml:space="preserve">
assumed</t>
        </r>
      </text>
    </comment>
    <comment ref="CI154" authorId="0" shapeId="0" xr:uid="{54296B89-4370-423B-AC5C-C574B4DBD7D0}">
      <text>
        <r>
          <rPr>
            <b/>
            <sz val="9"/>
            <color indexed="81"/>
            <rFont val="Tahoma"/>
            <family val="2"/>
          </rPr>
          <t>Gavin Mudd:</t>
        </r>
        <r>
          <rPr>
            <sz val="9"/>
            <color indexed="81"/>
            <rFont val="Tahoma"/>
            <family val="2"/>
          </rPr>
          <t xml:space="preserve">
assumed</t>
        </r>
      </text>
    </comment>
    <comment ref="CJ154" authorId="0" shapeId="0" xr:uid="{07F41F30-9B66-48FD-B759-BB19C01533CC}">
      <text>
        <r>
          <rPr>
            <b/>
            <sz val="9"/>
            <color indexed="81"/>
            <rFont val="Tahoma"/>
            <family val="2"/>
          </rPr>
          <t>Gavin Mudd:</t>
        </r>
        <r>
          <rPr>
            <sz val="9"/>
            <color indexed="81"/>
            <rFont val="Tahoma"/>
            <family val="2"/>
          </rPr>
          <t xml:space="preserve">
assumed</t>
        </r>
      </text>
    </comment>
    <comment ref="AV155" authorId="0" shapeId="0" xr:uid="{0B11C273-A8F9-46AD-8789-E0C942D61613}">
      <text>
        <r>
          <rPr>
            <b/>
            <sz val="9"/>
            <color indexed="81"/>
            <rFont val="Tahoma"/>
            <family val="2"/>
          </rPr>
          <t>Gavin Mudd:</t>
        </r>
        <r>
          <rPr>
            <sz val="9"/>
            <color indexed="81"/>
            <rFont val="Tahoma"/>
            <family val="2"/>
          </rPr>
          <t xml:space="preserve">
assumed</t>
        </r>
      </text>
    </comment>
    <comment ref="AW155" authorId="0" shapeId="0" xr:uid="{87CC2C2E-F310-4394-8C3C-21996442792B}">
      <text>
        <r>
          <rPr>
            <b/>
            <sz val="9"/>
            <color indexed="81"/>
            <rFont val="Tahoma"/>
            <family val="2"/>
          </rPr>
          <t>Gavin Mudd:</t>
        </r>
        <r>
          <rPr>
            <sz val="9"/>
            <color indexed="81"/>
            <rFont val="Tahoma"/>
            <family val="2"/>
          </rPr>
          <t xml:space="preserve">
assumed</t>
        </r>
      </text>
    </comment>
    <comment ref="CI155" authorId="0" shapeId="0" xr:uid="{754D7E14-0950-4069-AF94-9AA0798390BA}">
      <text>
        <r>
          <rPr>
            <b/>
            <sz val="9"/>
            <color indexed="81"/>
            <rFont val="Tahoma"/>
            <family val="2"/>
          </rPr>
          <t>Gavin Mudd:</t>
        </r>
        <r>
          <rPr>
            <sz val="9"/>
            <color indexed="81"/>
            <rFont val="Tahoma"/>
            <family val="2"/>
          </rPr>
          <t xml:space="preserve">
assumed</t>
        </r>
      </text>
    </comment>
    <comment ref="CJ155" authorId="0" shapeId="0" xr:uid="{CF766902-9664-4241-90BE-60CFB7F1E436}">
      <text>
        <r>
          <rPr>
            <b/>
            <sz val="9"/>
            <color indexed="81"/>
            <rFont val="Tahoma"/>
            <family val="2"/>
          </rPr>
          <t>Gavin Mudd:</t>
        </r>
        <r>
          <rPr>
            <sz val="9"/>
            <color indexed="81"/>
            <rFont val="Tahoma"/>
            <family val="2"/>
          </rPr>
          <t xml:space="preserve">
assumed</t>
        </r>
      </text>
    </comment>
    <comment ref="AV156" authorId="0" shapeId="0" xr:uid="{6764E0DB-D02D-4F33-B8B1-095EAB1FC72F}">
      <text>
        <r>
          <rPr>
            <b/>
            <sz val="9"/>
            <color indexed="81"/>
            <rFont val="Tahoma"/>
            <family val="2"/>
          </rPr>
          <t>Gavin Mudd:</t>
        </r>
        <r>
          <rPr>
            <sz val="9"/>
            <color indexed="81"/>
            <rFont val="Tahoma"/>
            <family val="2"/>
          </rPr>
          <t xml:space="preserve">
assumed</t>
        </r>
      </text>
    </comment>
    <comment ref="AW156" authorId="0" shapeId="0" xr:uid="{D3C6BFE8-565A-4E65-835A-507058717336}">
      <text>
        <r>
          <rPr>
            <b/>
            <sz val="9"/>
            <color indexed="81"/>
            <rFont val="Tahoma"/>
            <family val="2"/>
          </rPr>
          <t>Gavin Mudd:</t>
        </r>
        <r>
          <rPr>
            <sz val="9"/>
            <color indexed="81"/>
            <rFont val="Tahoma"/>
            <family val="2"/>
          </rPr>
          <t xml:space="preserve">
assumed</t>
        </r>
      </text>
    </comment>
    <comment ref="CI156" authorId="0" shapeId="0" xr:uid="{08250FA4-E72F-4373-91E8-A8267D424DB5}">
      <text>
        <r>
          <rPr>
            <b/>
            <sz val="9"/>
            <color indexed="81"/>
            <rFont val="Tahoma"/>
            <family val="2"/>
          </rPr>
          <t>Gavin Mudd:</t>
        </r>
        <r>
          <rPr>
            <sz val="9"/>
            <color indexed="81"/>
            <rFont val="Tahoma"/>
            <family val="2"/>
          </rPr>
          <t xml:space="preserve">
assumed</t>
        </r>
      </text>
    </comment>
    <comment ref="CJ156" authorId="0" shapeId="0" xr:uid="{172ADD7E-7CCE-48E7-9442-EF8CDB395EE3}">
      <text>
        <r>
          <rPr>
            <b/>
            <sz val="9"/>
            <color indexed="81"/>
            <rFont val="Tahoma"/>
            <family val="2"/>
          </rPr>
          <t>Gavin Mudd:</t>
        </r>
        <r>
          <rPr>
            <sz val="9"/>
            <color indexed="81"/>
            <rFont val="Tahoma"/>
            <family val="2"/>
          </rPr>
          <t xml:space="preserve">
assumed</t>
        </r>
      </text>
    </comment>
    <comment ref="AV157" authorId="0" shapeId="0" xr:uid="{45F83BCA-853F-4B8F-8793-8100386F1C4D}">
      <text>
        <r>
          <rPr>
            <b/>
            <sz val="9"/>
            <color indexed="81"/>
            <rFont val="Tahoma"/>
            <family val="2"/>
          </rPr>
          <t>Gavin Mudd:</t>
        </r>
        <r>
          <rPr>
            <sz val="9"/>
            <color indexed="81"/>
            <rFont val="Tahoma"/>
            <family val="2"/>
          </rPr>
          <t xml:space="preserve">
assumed</t>
        </r>
      </text>
    </comment>
    <comment ref="AW157" authorId="0" shapeId="0" xr:uid="{F76A6C16-CCED-42B3-B4B9-3F249F9032DD}">
      <text>
        <r>
          <rPr>
            <b/>
            <sz val="9"/>
            <color indexed="81"/>
            <rFont val="Tahoma"/>
            <family val="2"/>
          </rPr>
          <t>Gavin Mudd:</t>
        </r>
        <r>
          <rPr>
            <sz val="9"/>
            <color indexed="81"/>
            <rFont val="Tahoma"/>
            <family val="2"/>
          </rPr>
          <t xml:space="preserve">
assumed</t>
        </r>
      </text>
    </comment>
    <comment ref="CI157" authorId="0" shapeId="0" xr:uid="{8F8DA737-E861-48DB-A452-6B763A9FF242}">
      <text>
        <r>
          <rPr>
            <b/>
            <sz val="9"/>
            <color indexed="81"/>
            <rFont val="Tahoma"/>
            <family val="2"/>
          </rPr>
          <t>Gavin Mudd:</t>
        </r>
        <r>
          <rPr>
            <sz val="9"/>
            <color indexed="81"/>
            <rFont val="Tahoma"/>
            <family val="2"/>
          </rPr>
          <t xml:space="preserve">
assumed</t>
        </r>
      </text>
    </comment>
    <comment ref="CJ157" authorId="0" shapeId="0" xr:uid="{526742B6-FB4B-4E3E-A575-980EE8332563}">
      <text>
        <r>
          <rPr>
            <b/>
            <sz val="9"/>
            <color indexed="81"/>
            <rFont val="Tahoma"/>
            <family val="2"/>
          </rPr>
          <t>Gavin Mudd:</t>
        </r>
        <r>
          <rPr>
            <sz val="9"/>
            <color indexed="81"/>
            <rFont val="Tahoma"/>
            <family val="2"/>
          </rPr>
          <t xml:space="preserve">
assumed</t>
        </r>
      </text>
    </comment>
    <comment ref="CI158" authorId="0" shapeId="0" xr:uid="{F6481843-0E38-4007-9C38-1C81E79A05C2}">
      <text>
        <r>
          <rPr>
            <b/>
            <sz val="9"/>
            <color indexed="81"/>
            <rFont val="Tahoma"/>
            <family val="2"/>
          </rPr>
          <t>Gavin Mudd:</t>
        </r>
        <r>
          <rPr>
            <sz val="9"/>
            <color indexed="81"/>
            <rFont val="Tahoma"/>
            <family val="2"/>
          </rPr>
          <t xml:space="preserve">
assumed</t>
        </r>
      </text>
    </comment>
    <comment ref="CJ158" authorId="0" shapeId="0" xr:uid="{467F081A-C3A8-4E21-9FD7-3CA563E8A56F}">
      <text>
        <r>
          <rPr>
            <b/>
            <sz val="9"/>
            <color indexed="81"/>
            <rFont val="Tahoma"/>
            <family val="2"/>
          </rPr>
          <t>Gavin Mudd:</t>
        </r>
        <r>
          <rPr>
            <sz val="9"/>
            <color indexed="81"/>
            <rFont val="Tahoma"/>
            <family val="2"/>
          </rPr>
          <t xml:space="preserve">
assumed</t>
        </r>
      </text>
    </comment>
    <comment ref="CD159" authorId="0" shapeId="0" xr:uid="{C641F147-1B0E-48D0-91A8-85D490C0DEA8}">
      <text>
        <r>
          <rPr>
            <b/>
            <sz val="9"/>
            <color indexed="81"/>
            <rFont val="Tahoma"/>
            <family val="2"/>
          </rPr>
          <t>Gavin Mudd:</t>
        </r>
        <r>
          <rPr>
            <sz val="9"/>
            <color indexed="81"/>
            <rFont val="Tahoma"/>
            <family val="2"/>
          </rPr>
          <t xml:space="preserve">
assumed</t>
        </r>
      </text>
    </comment>
    <comment ref="CE159" authorId="0" shapeId="0" xr:uid="{16C3A466-6415-4B65-BD9C-DD775D1B1959}">
      <text>
        <r>
          <rPr>
            <b/>
            <sz val="9"/>
            <color indexed="81"/>
            <rFont val="Tahoma"/>
            <family val="2"/>
          </rPr>
          <t>Gavin Mudd:</t>
        </r>
        <r>
          <rPr>
            <sz val="9"/>
            <color indexed="81"/>
            <rFont val="Tahoma"/>
            <family val="2"/>
          </rPr>
          <t xml:space="preserve">
assumed</t>
        </r>
      </text>
    </comment>
    <comment ref="CI159" authorId="0" shapeId="0" xr:uid="{2AD24FB8-4641-4921-A2E9-9D0A0EBF1287}">
      <text>
        <r>
          <rPr>
            <b/>
            <sz val="9"/>
            <color indexed="81"/>
            <rFont val="Tahoma"/>
            <family val="2"/>
          </rPr>
          <t>Gavin Mudd:</t>
        </r>
        <r>
          <rPr>
            <sz val="9"/>
            <color indexed="81"/>
            <rFont val="Tahoma"/>
            <family val="2"/>
          </rPr>
          <t xml:space="preserve">
assumed</t>
        </r>
      </text>
    </comment>
    <comment ref="CJ159" authorId="0" shapeId="0" xr:uid="{76165139-0984-4012-8ADE-B098E569CF50}">
      <text>
        <r>
          <rPr>
            <b/>
            <sz val="9"/>
            <color indexed="81"/>
            <rFont val="Tahoma"/>
            <family val="2"/>
          </rPr>
          <t>Gavin Mudd:</t>
        </r>
        <r>
          <rPr>
            <sz val="9"/>
            <color indexed="81"/>
            <rFont val="Tahoma"/>
            <family val="2"/>
          </rPr>
          <t xml:space="preserve">
assumed</t>
        </r>
      </text>
    </comment>
    <comment ref="CI160" authorId="0" shapeId="0" xr:uid="{C3514C2D-FFC1-453F-B2BD-D2940FC9E5C9}">
      <text>
        <r>
          <rPr>
            <b/>
            <sz val="9"/>
            <color indexed="81"/>
            <rFont val="Tahoma"/>
            <family val="2"/>
          </rPr>
          <t>Gavin Mudd:</t>
        </r>
        <r>
          <rPr>
            <sz val="9"/>
            <color indexed="81"/>
            <rFont val="Tahoma"/>
            <family val="2"/>
          </rPr>
          <t xml:space="preserve">
assumed</t>
        </r>
      </text>
    </comment>
    <comment ref="CJ160" authorId="0" shapeId="0" xr:uid="{6096A5CA-F28B-47C0-AAE2-14DF2423512B}">
      <text>
        <r>
          <rPr>
            <b/>
            <sz val="9"/>
            <color indexed="81"/>
            <rFont val="Tahoma"/>
            <family val="2"/>
          </rPr>
          <t>Gavin Mudd:</t>
        </r>
        <r>
          <rPr>
            <sz val="9"/>
            <color indexed="81"/>
            <rFont val="Tahoma"/>
            <family val="2"/>
          </rPr>
          <t xml:space="preserve">
assumed</t>
        </r>
      </text>
    </comment>
    <comment ref="CI161" authorId="0" shapeId="0" xr:uid="{391DAC9E-3902-47AF-A7D9-626DD592E76D}">
      <text>
        <r>
          <rPr>
            <b/>
            <sz val="9"/>
            <color indexed="81"/>
            <rFont val="Tahoma"/>
            <family val="2"/>
          </rPr>
          <t>Gavin Mudd:</t>
        </r>
        <r>
          <rPr>
            <sz val="9"/>
            <color indexed="81"/>
            <rFont val="Tahoma"/>
            <family val="2"/>
          </rPr>
          <t xml:space="preserve">
assumed</t>
        </r>
      </text>
    </comment>
    <comment ref="CJ161" authorId="0" shapeId="0" xr:uid="{F658AB35-E3BB-4BBF-A29D-3FBC6F2074E5}">
      <text>
        <r>
          <rPr>
            <b/>
            <sz val="9"/>
            <color indexed="81"/>
            <rFont val="Tahoma"/>
            <family val="2"/>
          </rPr>
          <t>Gavin Mudd:</t>
        </r>
        <r>
          <rPr>
            <sz val="9"/>
            <color indexed="81"/>
            <rFont val="Tahoma"/>
            <family val="2"/>
          </rPr>
          <t xml:space="preserve">
assumed</t>
        </r>
      </text>
    </comment>
    <comment ref="CD163" authorId="0" shapeId="0" xr:uid="{24F1CE77-ED50-4A22-997B-206B31E54646}">
      <text>
        <r>
          <rPr>
            <b/>
            <sz val="9"/>
            <color indexed="81"/>
            <rFont val="Tahoma"/>
            <family val="2"/>
          </rPr>
          <t>Gavin Mudd:</t>
        </r>
        <r>
          <rPr>
            <sz val="9"/>
            <color indexed="81"/>
            <rFont val="Tahoma"/>
            <family val="2"/>
          </rPr>
          <t xml:space="preserve">
assumed</t>
        </r>
      </text>
    </comment>
    <comment ref="CE163" authorId="0" shapeId="0" xr:uid="{91D17984-10ED-49A3-AD66-EC17DAFA0941}">
      <text>
        <r>
          <rPr>
            <b/>
            <sz val="9"/>
            <color indexed="81"/>
            <rFont val="Tahoma"/>
            <family val="2"/>
          </rPr>
          <t>Gavin Mudd:</t>
        </r>
        <r>
          <rPr>
            <sz val="9"/>
            <color indexed="81"/>
            <rFont val="Tahoma"/>
            <family val="2"/>
          </rPr>
          <t xml:space="preserve">
assumed</t>
        </r>
      </text>
    </comment>
    <comment ref="CD167" authorId="0" shapeId="0" xr:uid="{59D2C5D7-405A-44E0-9DD4-439DEC76FEED}">
      <text>
        <r>
          <rPr>
            <b/>
            <sz val="9"/>
            <color indexed="81"/>
            <rFont val="Tahoma"/>
            <family val="2"/>
          </rPr>
          <t>Gavin Mudd:</t>
        </r>
        <r>
          <rPr>
            <sz val="9"/>
            <color indexed="81"/>
            <rFont val="Tahoma"/>
            <family val="2"/>
          </rPr>
          <t xml:space="preserve">
assumed</t>
        </r>
      </text>
    </comment>
    <comment ref="CE167" authorId="0" shapeId="0" xr:uid="{5F1003E2-13C5-4BB5-9216-2274B177E95F}">
      <text>
        <r>
          <rPr>
            <b/>
            <sz val="9"/>
            <color indexed="81"/>
            <rFont val="Tahoma"/>
            <family val="2"/>
          </rPr>
          <t>Gavin Mudd:</t>
        </r>
        <r>
          <rPr>
            <sz val="9"/>
            <color indexed="81"/>
            <rFont val="Tahoma"/>
            <family val="2"/>
          </rPr>
          <t xml:space="preserve">
assumed</t>
        </r>
      </text>
    </comment>
    <comment ref="CW167" authorId="0" shapeId="0" xr:uid="{D3773534-1DF0-4C65-BECA-F4A635407FCA}">
      <text>
        <r>
          <rPr>
            <b/>
            <sz val="9"/>
            <color indexed="81"/>
            <rFont val="Tahoma"/>
            <family val="2"/>
          </rPr>
          <t>Gavin Mudd:</t>
        </r>
        <r>
          <rPr>
            <sz val="9"/>
            <color indexed="81"/>
            <rFont val="Tahoma"/>
            <family val="2"/>
          </rPr>
          <t xml:space="preserve">
assumed</t>
        </r>
      </text>
    </comment>
    <comment ref="CX167" authorId="0" shapeId="0" xr:uid="{883710FA-45A5-4F6F-BEEF-118B91912447}">
      <text>
        <r>
          <rPr>
            <b/>
            <sz val="9"/>
            <color indexed="81"/>
            <rFont val="Tahoma"/>
            <family val="2"/>
          </rPr>
          <t>Gavin Mudd:</t>
        </r>
        <r>
          <rPr>
            <sz val="9"/>
            <color indexed="81"/>
            <rFont val="Tahoma"/>
            <family val="2"/>
          </rPr>
          <t xml:space="preserve">
assumed</t>
        </r>
      </text>
    </comment>
    <comment ref="CD168" authorId="0" shapeId="0" xr:uid="{AA2668FB-5E6D-44F3-AFA3-F1CD294573C8}">
      <text>
        <r>
          <rPr>
            <b/>
            <sz val="9"/>
            <color indexed="81"/>
            <rFont val="Tahoma"/>
            <family val="2"/>
          </rPr>
          <t>Gavin Mudd:</t>
        </r>
        <r>
          <rPr>
            <sz val="9"/>
            <color indexed="81"/>
            <rFont val="Tahoma"/>
            <family val="2"/>
          </rPr>
          <t xml:space="preserve">
assumed</t>
        </r>
      </text>
    </comment>
    <comment ref="CE168" authorId="0" shapeId="0" xr:uid="{F2214F1D-E255-443D-88BB-C2DA6289B062}">
      <text>
        <r>
          <rPr>
            <b/>
            <sz val="9"/>
            <color indexed="81"/>
            <rFont val="Tahoma"/>
            <family val="2"/>
          </rPr>
          <t>Gavin Mudd:</t>
        </r>
        <r>
          <rPr>
            <sz val="9"/>
            <color indexed="81"/>
            <rFont val="Tahoma"/>
            <family val="2"/>
          </rPr>
          <t xml:space="preserve">
assumed</t>
        </r>
      </text>
    </comment>
    <comment ref="CW168" authorId="0" shapeId="0" xr:uid="{EE69AD80-71BB-4175-9529-D70805B2820D}">
      <text>
        <r>
          <rPr>
            <b/>
            <sz val="9"/>
            <color indexed="81"/>
            <rFont val="Tahoma"/>
            <family val="2"/>
          </rPr>
          <t>Gavin Mudd:</t>
        </r>
        <r>
          <rPr>
            <sz val="9"/>
            <color indexed="81"/>
            <rFont val="Tahoma"/>
            <family val="2"/>
          </rPr>
          <t xml:space="preserve">
assumed</t>
        </r>
      </text>
    </comment>
    <comment ref="CX168" authorId="0" shapeId="0" xr:uid="{FD8FC3CE-411D-4E47-BB70-A49F8A57F58F}">
      <text>
        <r>
          <rPr>
            <b/>
            <sz val="9"/>
            <color indexed="81"/>
            <rFont val="Tahoma"/>
            <family val="2"/>
          </rPr>
          <t>Gavin Mudd:</t>
        </r>
        <r>
          <rPr>
            <sz val="9"/>
            <color indexed="81"/>
            <rFont val="Tahoma"/>
            <family val="2"/>
          </rPr>
          <t xml:space="preserve">
assumed</t>
        </r>
      </text>
    </comment>
    <comment ref="CD169" authorId="0" shapeId="0" xr:uid="{7459D3D9-CE59-490F-B709-A08456B69F57}">
      <text>
        <r>
          <rPr>
            <b/>
            <sz val="9"/>
            <color indexed="81"/>
            <rFont val="Tahoma"/>
            <family val="2"/>
          </rPr>
          <t>Gavin Mudd:</t>
        </r>
        <r>
          <rPr>
            <sz val="9"/>
            <color indexed="81"/>
            <rFont val="Tahoma"/>
            <family val="2"/>
          </rPr>
          <t xml:space="preserve">
assumed</t>
        </r>
      </text>
    </comment>
    <comment ref="CE169" authorId="0" shapeId="0" xr:uid="{439252D5-BBB9-4427-9B21-CAF99FD745CF}">
      <text>
        <r>
          <rPr>
            <b/>
            <sz val="9"/>
            <color indexed="81"/>
            <rFont val="Tahoma"/>
            <family val="2"/>
          </rPr>
          <t>Gavin Mudd:</t>
        </r>
        <r>
          <rPr>
            <sz val="9"/>
            <color indexed="81"/>
            <rFont val="Tahoma"/>
            <family val="2"/>
          </rPr>
          <t xml:space="preserve">
assumed</t>
        </r>
      </text>
    </comment>
    <comment ref="CW169" authorId="0" shapeId="0" xr:uid="{13BBAE8A-9EE5-4776-965A-1D3C6476D607}">
      <text>
        <r>
          <rPr>
            <b/>
            <sz val="9"/>
            <color indexed="81"/>
            <rFont val="Tahoma"/>
            <family val="2"/>
          </rPr>
          <t>Gavin Mudd:</t>
        </r>
        <r>
          <rPr>
            <sz val="9"/>
            <color indexed="81"/>
            <rFont val="Tahoma"/>
            <family val="2"/>
          </rPr>
          <t xml:space="preserve">
assumed</t>
        </r>
      </text>
    </comment>
    <comment ref="CX169" authorId="0" shapeId="0" xr:uid="{0F72ED32-C6FA-4620-B0AB-8CFBB4D8717C}">
      <text>
        <r>
          <rPr>
            <b/>
            <sz val="9"/>
            <color indexed="81"/>
            <rFont val="Tahoma"/>
            <family val="2"/>
          </rPr>
          <t>Gavin Mudd:</t>
        </r>
        <r>
          <rPr>
            <sz val="9"/>
            <color indexed="81"/>
            <rFont val="Tahoma"/>
            <family val="2"/>
          </rPr>
          <t xml:space="preserve">
assumed</t>
        </r>
      </text>
    </comment>
    <comment ref="CD170" authorId="0" shapeId="0" xr:uid="{4EC20057-BCE0-4E7C-87F2-5140AB06EF63}">
      <text>
        <r>
          <rPr>
            <b/>
            <sz val="9"/>
            <color indexed="81"/>
            <rFont val="Tahoma"/>
            <family val="2"/>
          </rPr>
          <t>Gavin Mudd:</t>
        </r>
        <r>
          <rPr>
            <sz val="9"/>
            <color indexed="81"/>
            <rFont val="Tahoma"/>
            <family val="2"/>
          </rPr>
          <t xml:space="preserve">
assumed</t>
        </r>
      </text>
    </comment>
    <comment ref="CE170" authorId="0" shapeId="0" xr:uid="{7DA66BDE-3844-4FC2-B81A-49D27D3FF21E}">
      <text>
        <r>
          <rPr>
            <b/>
            <sz val="9"/>
            <color indexed="81"/>
            <rFont val="Tahoma"/>
            <family val="2"/>
          </rPr>
          <t>Gavin Mudd:</t>
        </r>
        <r>
          <rPr>
            <sz val="9"/>
            <color indexed="81"/>
            <rFont val="Tahoma"/>
            <family val="2"/>
          </rPr>
          <t xml:space="preserve">
assumed</t>
        </r>
      </text>
    </comment>
    <comment ref="CW170" authorId="0" shapeId="0" xr:uid="{6D4D9317-AA8C-479D-ADB3-8979D4880F3F}">
      <text>
        <r>
          <rPr>
            <b/>
            <sz val="9"/>
            <color indexed="81"/>
            <rFont val="Tahoma"/>
            <family val="2"/>
          </rPr>
          <t>Gavin Mudd:</t>
        </r>
        <r>
          <rPr>
            <sz val="9"/>
            <color indexed="81"/>
            <rFont val="Tahoma"/>
            <family val="2"/>
          </rPr>
          <t xml:space="preserve">
assumed</t>
        </r>
      </text>
    </comment>
    <comment ref="CX170" authorId="0" shapeId="0" xr:uid="{5B75BDA3-0117-4C4D-9AA5-5A745A3ECA11}">
      <text>
        <r>
          <rPr>
            <b/>
            <sz val="9"/>
            <color indexed="81"/>
            <rFont val="Tahoma"/>
            <family val="2"/>
          </rPr>
          <t>Gavin Mudd:</t>
        </r>
        <r>
          <rPr>
            <sz val="9"/>
            <color indexed="81"/>
            <rFont val="Tahoma"/>
            <family val="2"/>
          </rPr>
          <t xml:space="preserve">
assumed</t>
        </r>
      </text>
    </comment>
    <comment ref="CD171" authorId="0" shapeId="0" xr:uid="{F3692534-DD69-4F89-9F87-A7553C389BA1}">
      <text>
        <r>
          <rPr>
            <b/>
            <sz val="9"/>
            <color indexed="81"/>
            <rFont val="Tahoma"/>
            <family val="2"/>
          </rPr>
          <t>Gavin Mudd:</t>
        </r>
        <r>
          <rPr>
            <sz val="9"/>
            <color indexed="81"/>
            <rFont val="Tahoma"/>
            <family val="2"/>
          </rPr>
          <t xml:space="preserve">
assumed</t>
        </r>
      </text>
    </comment>
    <comment ref="CE171" authorId="0" shapeId="0" xr:uid="{D777DA7A-7A96-4255-A80E-BCD379E2D417}">
      <text>
        <r>
          <rPr>
            <b/>
            <sz val="9"/>
            <color indexed="81"/>
            <rFont val="Tahoma"/>
            <family val="2"/>
          </rPr>
          <t>Gavin Mudd:</t>
        </r>
        <r>
          <rPr>
            <sz val="9"/>
            <color indexed="81"/>
            <rFont val="Tahoma"/>
            <family val="2"/>
          </rPr>
          <t xml:space="preserve">
assumed</t>
        </r>
      </text>
    </comment>
    <comment ref="CW171" authorId="0" shapeId="0" xr:uid="{67A6D9CB-3B32-4FEC-90C1-44E8A2D9C774}">
      <text>
        <r>
          <rPr>
            <b/>
            <sz val="9"/>
            <color indexed="81"/>
            <rFont val="Tahoma"/>
            <family val="2"/>
          </rPr>
          <t>Gavin Mudd:</t>
        </r>
        <r>
          <rPr>
            <sz val="9"/>
            <color indexed="81"/>
            <rFont val="Tahoma"/>
            <family val="2"/>
          </rPr>
          <t xml:space="preserve">
assumed</t>
        </r>
      </text>
    </comment>
    <comment ref="CX171" authorId="0" shapeId="0" xr:uid="{89DD31AA-F89E-4975-A986-32A85B61A2D8}">
      <text>
        <r>
          <rPr>
            <b/>
            <sz val="9"/>
            <color indexed="81"/>
            <rFont val="Tahoma"/>
            <family val="2"/>
          </rPr>
          <t>Gavin Mudd:</t>
        </r>
        <r>
          <rPr>
            <sz val="9"/>
            <color indexed="81"/>
            <rFont val="Tahoma"/>
            <family val="2"/>
          </rPr>
          <t xml:space="preserve">
assumed</t>
        </r>
      </text>
    </comment>
    <comment ref="CD172" authorId="0" shapeId="0" xr:uid="{4FAD8CD7-F4F2-46CC-9099-FC9E66958BA0}">
      <text>
        <r>
          <rPr>
            <b/>
            <sz val="9"/>
            <color indexed="81"/>
            <rFont val="Tahoma"/>
            <family val="2"/>
          </rPr>
          <t>Gavin Mudd:</t>
        </r>
        <r>
          <rPr>
            <sz val="9"/>
            <color indexed="81"/>
            <rFont val="Tahoma"/>
            <family val="2"/>
          </rPr>
          <t xml:space="preserve">
assumed</t>
        </r>
      </text>
    </comment>
    <comment ref="CE172" authorId="0" shapeId="0" xr:uid="{07CAF98D-64CC-48D7-A46A-88B3C36E4538}">
      <text>
        <r>
          <rPr>
            <b/>
            <sz val="9"/>
            <color indexed="81"/>
            <rFont val="Tahoma"/>
            <family val="2"/>
          </rPr>
          <t>Gavin Mudd:</t>
        </r>
        <r>
          <rPr>
            <sz val="9"/>
            <color indexed="81"/>
            <rFont val="Tahoma"/>
            <family val="2"/>
          </rPr>
          <t xml:space="preserve">
assumed</t>
        </r>
      </text>
    </comment>
    <comment ref="CW172" authorId="0" shapeId="0" xr:uid="{703FEAA7-25C1-4257-B2C7-9A6F1C602018}">
      <text>
        <r>
          <rPr>
            <b/>
            <sz val="9"/>
            <color indexed="81"/>
            <rFont val="Tahoma"/>
            <family val="2"/>
          </rPr>
          <t>Gavin Mudd:</t>
        </r>
        <r>
          <rPr>
            <sz val="9"/>
            <color indexed="81"/>
            <rFont val="Tahoma"/>
            <family val="2"/>
          </rPr>
          <t xml:space="preserve">
assumed</t>
        </r>
      </text>
    </comment>
    <comment ref="CX172" authorId="0" shapeId="0" xr:uid="{AF0B09CA-01DF-43EB-B33C-EA252AC23400}">
      <text>
        <r>
          <rPr>
            <b/>
            <sz val="9"/>
            <color indexed="81"/>
            <rFont val="Tahoma"/>
            <family val="2"/>
          </rPr>
          <t>Gavin Mudd:</t>
        </r>
        <r>
          <rPr>
            <sz val="9"/>
            <color indexed="81"/>
            <rFont val="Tahoma"/>
            <family val="2"/>
          </rPr>
          <t xml:space="preserve">
assumed</t>
        </r>
      </text>
    </comment>
    <comment ref="CD173" authorId="0" shapeId="0" xr:uid="{FB170899-DF0C-4F7E-B4A8-B9B890ABC812}">
      <text>
        <r>
          <rPr>
            <b/>
            <sz val="9"/>
            <color indexed="81"/>
            <rFont val="Tahoma"/>
            <family val="2"/>
          </rPr>
          <t>Gavin Mudd:</t>
        </r>
        <r>
          <rPr>
            <sz val="9"/>
            <color indexed="81"/>
            <rFont val="Tahoma"/>
            <family val="2"/>
          </rPr>
          <t xml:space="preserve">
assumed</t>
        </r>
      </text>
    </comment>
    <comment ref="CE173" authorId="0" shapeId="0" xr:uid="{54474A17-7253-4AEF-8BCF-A4EE3D61105F}">
      <text>
        <r>
          <rPr>
            <b/>
            <sz val="9"/>
            <color indexed="81"/>
            <rFont val="Tahoma"/>
            <family val="2"/>
          </rPr>
          <t>Gavin Mudd:</t>
        </r>
        <r>
          <rPr>
            <sz val="9"/>
            <color indexed="81"/>
            <rFont val="Tahoma"/>
            <family val="2"/>
          </rPr>
          <t xml:space="preserve">
assumed</t>
        </r>
      </text>
    </comment>
    <comment ref="CW173" authorId="0" shapeId="0" xr:uid="{E7103DCA-F3BF-4FC6-9DBE-A51544E68BB1}">
      <text>
        <r>
          <rPr>
            <b/>
            <sz val="9"/>
            <color indexed="81"/>
            <rFont val="Tahoma"/>
            <family val="2"/>
          </rPr>
          <t>Gavin Mudd:</t>
        </r>
        <r>
          <rPr>
            <sz val="9"/>
            <color indexed="81"/>
            <rFont val="Tahoma"/>
            <family val="2"/>
          </rPr>
          <t xml:space="preserve">
assumed</t>
        </r>
      </text>
    </comment>
    <comment ref="CX173" authorId="0" shapeId="0" xr:uid="{047D4ABA-5474-48CD-8936-0C2804E4CB83}">
      <text>
        <r>
          <rPr>
            <b/>
            <sz val="9"/>
            <color indexed="81"/>
            <rFont val="Tahoma"/>
            <family val="2"/>
          </rPr>
          <t>Gavin Mudd:</t>
        </r>
        <r>
          <rPr>
            <sz val="9"/>
            <color indexed="81"/>
            <rFont val="Tahoma"/>
            <family val="2"/>
          </rPr>
          <t xml:space="preserve">
assumed</t>
        </r>
      </text>
    </comment>
    <comment ref="CD174" authorId="0" shapeId="0" xr:uid="{3C440600-51BF-4705-9701-9E957A284D68}">
      <text>
        <r>
          <rPr>
            <b/>
            <sz val="9"/>
            <color indexed="81"/>
            <rFont val="Tahoma"/>
            <family val="2"/>
          </rPr>
          <t>Gavin Mudd:</t>
        </r>
        <r>
          <rPr>
            <sz val="9"/>
            <color indexed="81"/>
            <rFont val="Tahoma"/>
            <family val="2"/>
          </rPr>
          <t xml:space="preserve">
assumed</t>
        </r>
      </text>
    </comment>
    <comment ref="CE174" authorId="0" shapeId="0" xr:uid="{32BC761F-75E6-49E1-A216-4FDE984A6DD8}">
      <text>
        <r>
          <rPr>
            <b/>
            <sz val="9"/>
            <color indexed="81"/>
            <rFont val="Tahoma"/>
            <family val="2"/>
          </rPr>
          <t>Gavin Mudd:</t>
        </r>
        <r>
          <rPr>
            <sz val="9"/>
            <color indexed="81"/>
            <rFont val="Tahoma"/>
            <family val="2"/>
          </rPr>
          <t xml:space="preserve">
assumed</t>
        </r>
      </text>
    </comment>
    <comment ref="CW174" authorId="0" shapeId="0" xr:uid="{0570B6F4-6FB4-4E03-83FB-1E0FA0838D80}">
      <text>
        <r>
          <rPr>
            <b/>
            <sz val="9"/>
            <color indexed="81"/>
            <rFont val="Tahoma"/>
            <family val="2"/>
          </rPr>
          <t>Gavin Mudd:</t>
        </r>
        <r>
          <rPr>
            <sz val="9"/>
            <color indexed="81"/>
            <rFont val="Tahoma"/>
            <family val="2"/>
          </rPr>
          <t xml:space="preserve">
assumed</t>
        </r>
      </text>
    </comment>
    <comment ref="CX174" authorId="0" shapeId="0" xr:uid="{569F722E-CC2D-4495-8213-EE3F298873E2}">
      <text>
        <r>
          <rPr>
            <b/>
            <sz val="9"/>
            <color indexed="81"/>
            <rFont val="Tahoma"/>
            <family val="2"/>
          </rPr>
          <t>Gavin Mudd:</t>
        </r>
        <r>
          <rPr>
            <sz val="9"/>
            <color indexed="81"/>
            <rFont val="Tahoma"/>
            <family val="2"/>
          </rPr>
          <t xml:space="preserve">
assumed</t>
        </r>
      </text>
    </comment>
  </commentList>
</comments>
</file>

<file path=xl/sharedStrings.xml><?xml version="1.0" encoding="utf-8"?>
<sst xmlns="http://schemas.openxmlformats.org/spreadsheetml/2006/main" count="6966" uniqueCount="2197">
  <si>
    <t>SuperPit</t>
  </si>
  <si>
    <t>g/t Au</t>
  </si>
  <si>
    <t>g/t Ag</t>
  </si>
  <si>
    <t>%Cu</t>
  </si>
  <si>
    <t>%Pb</t>
  </si>
  <si>
    <t>%Zn</t>
  </si>
  <si>
    <t>%Ni</t>
  </si>
  <si>
    <t>%Co</t>
  </si>
  <si>
    <t>Other</t>
  </si>
  <si>
    <t>Operating</t>
  </si>
  <si>
    <t>Period</t>
  </si>
  <si>
    <t>Mt ore</t>
  </si>
  <si>
    <t>t conc</t>
  </si>
  <si>
    <t>kg Au</t>
  </si>
  <si>
    <t>kt Cu</t>
  </si>
  <si>
    <t>kt Pb</t>
  </si>
  <si>
    <t>kt Zn</t>
  </si>
  <si>
    <t>kt Ni</t>
  </si>
  <si>
    <t>kt Co</t>
  </si>
  <si>
    <t>Waste Rock</t>
  </si>
  <si>
    <t>Mt</t>
  </si>
  <si>
    <t>Copper Concentrate</t>
  </si>
  <si>
    <t>Lead Concentrate</t>
  </si>
  <si>
    <t>Zinc Concentrate</t>
  </si>
  <si>
    <t>Nickel Concentrate</t>
  </si>
  <si>
    <t>Boddington</t>
  </si>
  <si>
    <t>1988-2001</t>
  </si>
  <si>
    <t>t Au</t>
  </si>
  <si>
    <t>Ore Processed</t>
  </si>
  <si>
    <t>Bronzewing</t>
  </si>
  <si>
    <r>
      <t>1989-2021</t>
    </r>
    <r>
      <rPr>
        <vertAlign val="superscript"/>
        <sz val="10"/>
        <color theme="1"/>
        <rFont val="Arial"/>
        <family val="2"/>
      </rPr>
      <t>#</t>
    </r>
  </si>
  <si>
    <r>
      <t>2009-2021</t>
    </r>
    <r>
      <rPr>
        <vertAlign val="superscript"/>
        <sz val="10"/>
        <color theme="1"/>
        <rFont val="Arial"/>
        <family val="2"/>
      </rPr>
      <t>#</t>
    </r>
  </si>
  <si>
    <r>
      <t>1994-2013</t>
    </r>
    <r>
      <rPr>
        <vertAlign val="superscript"/>
        <sz val="10"/>
        <color theme="1"/>
        <rFont val="Arial"/>
        <family val="2"/>
      </rPr>
      <t>@</t>
    </r>
  </si>
  <si>
    <t>Labouchere</t>
  </si>
  <si>
    <t>1989-1994</t>
  </si>
  <si>
    <t>ND</t>
  </si>
  <si>
    <t>Phillips Find trial mining</t>
  </si>
  <si>
    <t>2013-2015</t>
  </si>
  <si>
    <t>Coolgardie</t>
  </si>
  <si>
    <t>Coolgardie-Three Mile Hill</t>
  </si>
  <si>
    <r>
      <t>1990-2013</t>
    </r>
    <r>
      <rPr>
        <vertAlign val="superscript"/>
        <sz val="10"/>
        <color theme="1"/>
        <rFont val="Arial"/>
        <family val="2"/>
      </rPr>
      <t>@</t>
    </r>
  </si>
  <si>
    <r>
      <t>1995-2021</t>
    </r>
    <r>
      <rPr>
        <vertAlign val="superscript"/>
        <sz val="10"/>
        <color theme="1"/>
        <rFont val="Arial"/>
        <family val="2"/>
      </rPr>
      <t>#</t>
    </r>
  </si>
  <si>
    <t>Jundee</t>
  </si>
  <si>
    <t>Wiluna</t>
  </si>
  <si>
    <t>Sunrise Dam</t>
  </si>
  <si>
    <r>
      <t>1997-2021</t>
    </r>
    <r>
      <rPr>
        <vertAlign val="superscript"/>
        <sz val="10"/>
        <color theme="1"/>
        <rFont val="Arial"/>
        <family val="2"/>
      </rPr>
      <t>#</t>
    </r>
  </si>
  <si>
    <t>Kalgoorlie-East Coolgardie</t>
  </si>
  <si>
    <t>1893-1987</t>
  </si>
  <si>
    <t>Kunanalling</t>
  </si>
  <si>
    <t>Southern Cross</t>
  </si>
  <si>
    <t>Dundas-Norseman</t>
  </si>
  <si>
    <t>Lawlers-Great Eastern</t>
  </si>
  <si>
    <t>Black Range</t>
  </si>
  <si>
    <t>Mount Magnet</t>
  </si>
  <si>
    <t>Day Dawn</t>
  </si>
  <si>
    <t>Cue</t>
  </si>
  <si>
    <t>Meekatharra</t>
  </si>
  <si>
    <t>Halls Creek</t>
  </si>
  <si>
    <t>Nullagine</t>
  </si>
  <si>
    <t>West Pilbara</t>
  </si>
  <si>
    <t>Ashburton</t>
  </si>
  <si>
    <t>Gascoyne</t>
  </si>
  <si>
    <t>Peak Hill</t>
  </si>
  <si>
    <t>Yalgoo</t>
  </si>
  <si>
    <t>Mount Malcolm</t>
  </si>
  <si>
    <t>Mount Margaret</t>
  </si>
  <si>
    <t>Mount Morgans</t>
  </si>
  <si>
    <t>Menzies-North Coolgardie</t>
  </si>
  <si>
    <t>Menzies-Ularring</t>
  </si>
  <si>
    <t>Niagara</t>
  </si>
  <si>
    <t>Yerilla</t>
  </si>
  <si>
    <t>Broad Arrow</t>
  </si>
  <si>
    <t>Kanowna</t>
  </si>
  <si>
    <t>Bulong</t>
  </si>
  <si>
    <t>Kurnalpi</t>
  </si>
  <si>
    <t>Donnybrook</t>
  </si>
  <si>
    <t>Phillips River</t>
  </si>
  <si>
    <t>South-West</t>
  </si>
  <si>
    <t>State Generally</t>
  </si>
  <si>
    <t>1887-1987</t>
  </si>
  <si>
    <t>1892-1987</t>
  </si>
  <si>
    <t>1896-1987</t>
  </si>
  <si>
    <t>1904-1987</t>
  </si>
  <si>
    <t>1910-1987</t>
  </si>
  <si>
    <t>1891-1987</t>
  </si>
  <si>
    <t>1886-1987</t>
  </si>
  <si>
    <t>1897-1987</t>
  </si>
  <si>
    <t>1902-1987</t>
  </si>
  <si>
    <t>1894-1987</t>
  </si>
  <si>
    <t>1895-1987</t>
  </si>
  <si>
    <t>1898-1903</t>
  </si>
  <si>
    <t>1901-1987</t>
  </si>
  <si>
    <t>1962-1986</t>
  </si>
  <si>
    <t>1907-1987</t>
  </si>
  <si>
    <t>Metals Extracted</t>
  </si>
  <si>
    <t>Tailings</t>
  </si>
  <si>
    <t>Dollied</t>
  </si>
  <si>
    <t>Alluvial</t>
  </si>
  <si>
    <t>t Ag</t>
  </si>
  <si>
    <r>
      <t>1988-2021</t>
    </r>
    <r>
      <rPr>
        <vertAlign val="superscript"/>
        <sz val="10"/>
        <color theme="1"/>
        <rFont val="Arial"/>
        <family val="2"/>
      </rPr>
      <t>@,#</t>
    </r>
  </si>
  <si>
    <t>1988-1995</t>
  </si>
  <si>
    <t>Andy Well</t>
  </si>
  <si>
    <t>2013-2016</t>
  </si>
  <si>
    <t>Deflector</t>
  </si>
  <si>
    <r>
      <t>2016-2021</t>
    </r>
    <r>
      <rPr>
        <vertAlign val="superscript"/>
        <sz val="10"/>
        <color theme="1"/>
        <rFont val="Arial"/>
        <family val="2"/>
      </rPr>
      <t>#</t>
    </r>
  </si>
  <si>
    <t>Mount Percy</t>
  </si>
  <si>
    <t>1988-1997</t>
  </si>
  <si>
    <t>2010-2012</t>
  </si>
  <si>
    <t>Brightstar</t>
  </si>
  <si>
    <t>Big Bell</t>
  </si>
  <si>
    <t>South Kagloorlie</t>
  </si>
  <si>
    <r>
      <t>2002-2021</t>
    </r>
    <r>
      <rPr>
        <vertAlign val="superscript"/>
        <sz val="10"/>
        <color theme="1"/>
        <rFont val="Arial"/>
        <family val="2"/>
      </rPr>
      <t>#</t>
    </r>
  </si>
  <si>
    <t>Jubilee</t>
  </si>
  <si>
    <r>
      <t>2012-2021</t>
    </r>
    <r>
      <rPr>
        <vertAlign val="superscript"/>
        <sz val="10"/>
        <color theme="1"/>
        <rFont val="Arial"/>
        <family val="2"/>
      </rPr>
      <t>@</t>
    </r>
  </si>
  <si>
    <t>Gruyere</t>
  </si>
  <si>
    <t>Karonie</t>
  </si>
  <si>
    <t>1988-1993</t>
  </si>
  <si>
    <t>Golden Crown</t>
  </si>
  <si>
    <t>White Foil</t>
  </si>
  <si>
    <t>2010-2011</t>
  </si>
  <si>
    <t>1991-1994</t>
  </si>
  <si>
    <t>Granny Smith</t>
  </si>
  <si>
    <r>
      <t>1990-2021</t>
    </r>
    <r>
      <rPr>
        <vertAlign val="superscript"/>
        <sz val="10"/>
        <color theme="1"/>
        <rFont val="Arial"/>
        <family val="2"/>
      </rPr>
      <t>#</t>
    </r>
  </si>
  <si>
    <t>Paddington Group</t>
  </si>
  <si>
    <t>Kundana</t>
  </si>
  <si>
    <r>
      <t>1990-2015</t>
    </r>
    <r>
      <rPr>
        <vertAlign val="superscript"/>
        <sz val="10"/>
        <color theme="1"/>
        <rFont val="Arial"/>
        <family val="2"/>
      </rPr>
      <t>@,#</t>
    </r>
  </si>
  <si>
    <t>Sandstone</t>
  </si>
  <si>
    <t>1994-2010</t>
  </si>
  <si>
    <t>New Celebration</t>
  </si>
  <si>
    <t>1988-2002</t>
  </si>
  <si>
    <t>Comet Vale</t>
  </si>
  <si>
    <r>
      <t>2006-2020</t>
    </r>
    <r>
      <rPr>
        <vertAlign val="superscript"/>
        <sz val="10"/>
        <color theme="1"/>
        <rFont val="Arial"/>
        <family val="2"/>
      </rPr>
      <t>@</t>
    </r>
  </si>
  <si>
    <t>1988-1998</t>
  </si>
  <si>
    <t>Telfer</t>
  </si>
  <si>
    <r>
      <t>1977-2021</t>
    </r>
    <r>
      <rPr>
        <vertAlign val="superscript"/>
        <sz val="10"/>
        <color theme="1"/>
        <rFont val="Arial"/>
        <family val="2"/>
      </rPr>
      <t>#</t>
    </r>
  </si>
  <si>
    <t>kt conc</t>
  </si>
  <si>
    <t>St Ives Group</t>
  </si>
  <si>
    <r>
      <t>1980-2021</t>
    </r>
    <r>
      <rPr>
        <vertAlign val="superscript"/>
        <sz val="10"/>
        <color theme="1"/>
        <rFont val="Arial"/>
        <family val="2"/>
      </rPr>
      <t>#</t>
    </r>
  </si>
  <si>
    <t>Central Norseman</t>
  </si>
  <si>
    <t>1937-2014</t>
  </si>
  <si>
    <t>Lancefield</t>
  </si>
  <si>
    <t>Coyote</t>
  </si>
  <si>
    <t>2006-2013</t>
  </si>
  <si>
    <t>Trouser Legs</t>
  </si>
  <si>
    <t>2013-2014</t>
  </si>
  <si>
    <r>
      <t>1988-1995</t>
    </r>
    <r>
      <rPr>
        <vertAlign val="superscript"/>
        <sz val="10"/>
        <color theme="1"/>
        <rFont val="Arial"/>
        <family val="2"/>
      </rPr>
      <t>$</t>
    </r>
  </si>
  <si>
    <t>Hill 50</t>
  </si>
  <si>
    <r>
      <t>1988-1997</t>
    </r>
    <r>
      <rPr>
        <vertAlign val="superscript"/>
        <sz val="10"/>
        <color theme="1"/>
        <rFont val="Arial"/>
        <family val="2"/>
      </rPr>
      <t>$</t>
    </r>
  </si>
  <si>
    <r>
      <t>1988-2021</t>
    </r>
    <r>
      <rPr>
        <vertAlign val="superscript"/>
        <sz val="10"/>
        <color theme="1"/>
        <rFont val="Arial"/>
        <family val="2"/>
      </rPr>
      <t>#</t>
    </r>
  </si>
  <si>
    <t>Agnew</t>
  </si>
  <si>
    <t>Kanowna Belle</t>
  </si>
  <si>
    <t>Mount York-Lynas Find</t>
  </si>
  <si>
    <t>Tower Hill</t>
  </si>
  <si>
    <t>1989-1992</t>
  </si>
  <si>
    <t>1995-1998</t>
  </si>
  <si>
    <t>Bannockburn</t>
  </si>
  <si>
    <t>1991-1998</t>
  </si>
  <si>
    <t>2017-2018</t>
  </si>
  <si>
    <t>Red October</t>
  </si>
  <si>
    <t>Fortitude-Red Dog</t>
  </si>
  <si>
    <r>
      <t>2019-2021</t>
    </r>
    <r>
      <rPr>
        <vertAlign val="superscript"/>
        <sz val="10"/>
        <color theme="1"/>
        <rFont val="Arial"/>
        <family val="2"/>
      </rPr>
      <t>#</t>
    </r>
  </si>
  <si>
    <r>
      <t>1989-2021</t>
    </r>
    <r>
      <rPr>
        <vertAlign val="superscript"/>
        <sz val="10"/>
        <color theme="1"/>
        <rFont val="Arial"/>
        <family val="2"/>
      </rPr>
      <t>@,#</t>
    </r>
  </si>
  <si>
    <t>1989-1995</t>
  </si>
  <si>
    <t>Mount Fisher</t>
  </si>
  <si>
    <t>Plutonic</t>
  </si>
  <si>
    <t>Darlot</t>
  </si>
  <si>
    <t>Lawlers</t>
  </si>
  <si>
    <t>1986-2013</t>
  </si>
  <si>
    <t>Bellevue</t>
  </si>
  <si>
    <t>1986-1997</t>
  </si>
  <si>
    <t>Mount Gibson</t>
  </si>
  <si>
    <t>1986-1998</t>
  </si>
  <si>
    <t>1988-1999</t>
  </si>
  <si>
    <t>Peak Hill (WA)</t>
  </si>
  <si>
    <t>Widgiemooltha</t>
  </si>
  <si>
    <t>2018-2019</t>
  </si>
  <si>
    <t>QED</t>
  </si>
  <si>
    <t>1989-1993</t>
  </si>
  <si>
    <t>Cork Tree Well</t>
  </si>
  <si>
    <t>1988-1994</t>
  </si>
  <si>
    <t>Laverton (Crescent Gold)</t>
  </si>
  <si>
    <t>2007-2013</t>
  </si>
  <si>
    <t>Mertondale</t>
  </si>
  <si>
    <t>1986-1988</t>
  </si>
  <si>
    <t>Harbour Lights</t>
  </si>
  <si>
    <t>1985-1994</t>
  </si>
  <si>
    <t>Mount Ida</t>
  </si>
  <si>
    <t>2007-2008</t>
  </si>
  <si>
    <t>Bardoc-Davyhurst</t>
  </si>
  <si>
    <r>
      <t>1984-2021</t>
    </r>
    <r>
      <rPr>
        <vertAlign val="superscript"/>
        <sz val="10"/>
        <color theme="1"/>
        <rFont val="Arial"/>
        <family val="2"/>
      </rPr>
      <t>@,#</t>
    </r>
  </si>
  <si>
    <t>Sons of Gwalia</t>
  </si>
  <si>
    <r>
      <t>1897-2021</t>
    </r>
    <r>
      <rPr>
        <vertAlign val="superscript"/>
        <sz val="10"/>
        <color theme="1"/>
        <rFont val="Arial"/>
        <family val="2"/>
      </rPr>
      <t>@,#</t>
    </r>
  </si>
  <si>
    <t>King of the Hills</t>
  </si>
  <si>
    <t>Marvel Loch</t>
  </si>
  <si>
    <t>1981-2013</t>
  </si>
  <si>
    <t>Bullfinch</t>
  </si>
  <si>
    <t>1987-2001</t>
  </si>
  <si>
    <t>Great Victoria</t>
  </si>
  <si>
    <t>1988-1989</t>
  </si>
  <si>
    <t>1991-2001</t>
  </si>
  <si>
    <t>Yilgarn Star</t>
  </si>
  <si>
    <t>Nevoria</t>
  </si>
  <si>
    <t>1987-1998</t>
  </si>
  <si>
    <t>Fimiston-Paringa</t>
  </si>
  <si>
    <t>1984-1990</t>
  </si>
  <si>
    <t>Fortnum</t>
  </si>
  <si>
    <r>
      <t>1985-2015</t>
    </r>
    <r>
      <rPr>
        <vertAlign val="superscript"/>
        <sz val="10"/>
        <color theme="1"/>
        <rFont val="Arial"/>
        <family val="2"/>
      </rPr>
      <t>@</t>
    </r>
  </si>
  <si>
    <r>
      <t>1986-2016</t>
    </r>
    <r>
      <rPr>
        <vertAlign val="superscript"/>
        <sz val="10"/>
        <color theme="1"/>
        <rFont val="Arial"/>
        <family val="2"/>
      </rPr>
      <t>@</t>
    </r>
  </si>
  <si>
    <t>Normay Tailings</t>
  </si>
  <si>
    <r>
      <t>2001-2008</t>
    </r>
    <r>
      <rPr>
        <vertAlign val="superscript"/>
        <sz val="10"/>
        <color theme="1"/>
        <rFont val="Arial"/>
        <family val="2"/>
      </rPr>
      <t>@</t>
    </r>
  </si>
  <si>
    <t>1989-2004</t>
  </si>
  <si>
    <t>Binduli</t>
  </si>
  <si>
    <t>Bluebird</t>
  </si>
  <si>
    <t>1990-2004</t>
  </si>
  <si>
    <r>
      <t>2018-2021</t>
    </r>
    <r>
      <rPr>
        <vertAlign val="superscript"/>
        <sz val="10"/>
        <color theme="1"/>
        <rFont val="Arial"/>
        <family val="2"/>
      </rPr>
      <t>#</t>
    </r>
  </si>
  <si>
    <t>Bounty</t>
  </si>
  <si>
    <t>1989-2000</t>
  </si>
  <si>
    <t>Mount McClure</t>
  </si>
  <si>
    <t>1992-1999</t>
  </si>
  <si>
    <t>North Shaw</t>
  </si>
  <si>
    <t>Gidgee</t>
  </si>
  <si>
    <t>1992-1998</t>
  </si>
  <si>
    <t>Beta Hunt</t>
  </si>
  <si>
    <t>Bullabulling</t>
  </si>
  <si>
    <t>1989-1998</t>
  </si>
  <si>
    <t>Central Murchison</t>
  </si>
  <si>
    <t>2015-2018</t>
  </si>
  <si>
    <t>Tuckabianna</t>
  </si>
  <si>
    <t>Goongarrie</t>
  </si>
  <si>
    <t>1987-1989</t>
  </si>
  <si>
    <t>Marymia</t>
  </si>
  <si>
    <t>Higginsville</t>
  </si>
  <si>
    <t>Golden Kilometre</t>
  </si>
  <si>
    <t>1987-1990</t>
  </si>
  <si>
    <t>Cannon</t>
  </si>
  <si>
    <t>2016-2017</t>
  </si>
  <si>
    <t>Chalice</t>
  </si>
  <si>
    <t>1995-2000</t>
  </si>
  <si>
    <t>Boorara</t>
  </si>
  <si>
    <r>
      <t>2020-2021</t>
    </r>
    <r>
      <rPr>
        <vertAlign val="superscript"/>
        <sz val="10"/>
        <color theme="1"/>
        <rFont val="Arial"/>
        <family val="2"/>
      </rPr>
      <t>#</t>
    </r>
  </si>
  <si>
    <t>Mount Martin</t>
  </si>
  <si>
    <t>1989-1999</t>
  </si>
  <si>
    <t>Tarmoola-Celtic</t>
  </si>
  <si>
    <t>1993-1994</t>
  </si>
  <si>
    <t>Butcher Well</t>
  </si>
  <si>
    <t>Golden Feather</t>
  </si>
  <si>
    <t>1998-2001</t>
  </si>
  <si>
    <t>Gullewa</t>
  </si>
  <si>
    <t>1994-1996</t>
  </si>
  <si>
    <t>Hedges</t>
  </si>
  <si>
    <t>Hopes Hill</t>
  </si>
  <si>
    <t>Ora Banda-Lady Bountiful-Great Lady</t>
  </si>
  <si>
    <t>Jasper Queen</t>
  </si>
  <si>
    <t>1988-1990</t>
  </si>
  <si>
    <t>Bottle Creek</t>
  </si>
  <si>
    <r>
      <t>2015-2021</t>
    </r>
    <r>
      <rPr>
        <vertAlign val="superscript"/>
        <sz val="10"/>
        <color theme="1"/>
        <rFont val="Arial"/>
        <family val="2"/>
      </rPr>
      <t>#</t>
    </r>
  </si>
  <si>
    <t>Nicholsons</t>
  </si>
  <si>
    <t>Kirkalocka</t>
  </si>
  <si>
    <t>2002-2008</t>
  </si>
  <si>
    <t>Dalgaranga</t>
  </si>
  <si>
    <t>Vivien</t>
  </si>
  <si>
    <r>
      <t>1996-2021</t>
    </r>
    <r>
      <rPr>
        <vertAlign val="superscript"/>
        <sz val="10"/>
        <color theme="1"/>
        <rFont val="Arial"/>
        <family val="2"/>
      </rPr>
      <t>@,#</t>
    </r>
  </si>
  <si>
    <t>1990-1991</t>
  </si>
  <si>
    <t>Kathleen Valley</t>
  </si>
  <si>
    <t>2015-2016</t>
  </si>
  <si>
    <t>Burbanks</t>
  </si>
  <si>
    <t>Gabanintha</t>
  </si>
  <si>
    <t>1989-1991</t>
  </si>
  <si>
    <t>2006-2016</t>
  </si>
  <si>
    <t>Carosue Dam</t>
  </si>
  <si>
    <r>
      <t>2000-2021</t>
    </r>
    <r>
      <rPr>
        <vertAlign val="superscript"/>
        <sz val="10"/>
        <color theme="1"/>
        <rFont val="Arial"/>
        <family val="2"/>
      </rPr>
      <t>@,#</t>
    </r>
  </si>
  <si>
    <t>Kaltails</t>
  </si>
  <si>
    <t>Thunderbox</t>
  </si>
  <si>
    <t>Teutonic Bore</t>
  </si>
  <si>
    <t>Golden Grove</t>
  </si>
  <si>
    <t>Jaurdi</t>
  </si>
  <si>
    <t>Barnicoat-Laverton</t>
  </si>
  <si>
    <t>Frog's Leg</t>
  </si>
  <si>
    <t>2008-2010</t>
  </si>
  <si>
    <t>Grant's Patch</t>
  </si>
  <si>
    <t>Paulsens</t>
  </si>
  <si>
    <t>2005-2017</t>
  </si>
  <si>
    <t>1984-1991</t>
  </si>
  <si>
    <t>Direct Shipping Ore</t>
  </si>
  <si>
    <t>Horseshoe Lights (Au)</t>
  </si>
  <si>
    <t>Horseshoe Lights (CuAuAg)</t>
  </si>
  <si>
    <r>
      <t>2012-2021</t>
    </r>
    <r>
      <rPr>
        <vertAlign val="superscript"/>
        <sz val="10"/>
        <color theme="1"/>
        <rFont val="Arial"/>
        <family val="2"/>
      </rPr>
      <t>#</t>
    </r>
  </si>
  <si>
    <t>Youanmi</t>
  </si>
  <si>
    <t>Evanston</t>
  </si>
  <si>
    <t>1998-2000</t>
  </si>
  <si>
    <t>Wattle Dam</t>
  </si>
  <si>
    <t>Rothsay</t>
  </si>
  <si>
    <r>
      <t>2010-2021</t>
    </r>
    <r>
      <rPr>
        <vertAlign val="superscript"/>
        <sz val="10"/>
        <color theme="1"/>
        <rFont val="Arial"/>
        <family val="2"/>
      </rPr>
      <t>#</t>
    </r>
  </si>
  <si>
    <t>Duketon-Northern Operations</t>
  </si>
  <si>
    <t>DeGrussa (CuAu)</t>
  </si>
  <si>
    <t>DeGrussa (Au only)</t>
  </si>
  <si>
    <t>2012-2013</t>
  </si>
  <si>
    <t>Reedy</t>
  </si>
  <si>
    <t>1984-1993</t>
  </si>
  <si>
    <t>Rosemont</t>
  </si>
  <si>
    <r>
      <t>1990-2005</t>
    </r>
    <r>
      <rPr>
        <vertAlign val="superscript"/>
        <sz val="10"/>
        <color theme="1"/>
        <rFont val="Arial"/>
        <family val="2"/>
      </rPr>
      <t>@</t>
    </r>
  </si>
  <si>
    <r>
      <t>2010-2021</t>
    </r>
    <r>
      <rPr>
        <vertAlign val="superscript"/>
        <sz val="10"/>
        <color theme="1"/>
        <rFont val="Arial"/>
        <family val="2"/>
      </rPr>
      <t>@</t>
    </r>
  </si>
  <si>
    <t>Edna May</t>
  </si>
  <si>
    <t>Montague</t>
  </si>
  <si>
    <t>Mount Monger-Randalls Group</t>
  </si>
  <si>
    <r>
      <t>1992-2021</t>
    </r>
    <r>
      <rPr>
        <vertAlign val="superscript"/>
        <sz val="10"/>
        <color theme="1"/>
        <rFont val="Arial"/>
        <family val="2"/>
      </rPr>
      <t>#</t>
    </r>
  </si>
  <si>
    <t>Raleigh</t>
  </si>
  <si>
    <t>Garden Well</t>
  </si>
  <si>
    <r>
      <t>2011-2021</t>
    </r>
    <r>
      <rPr>
        <vertAlign val="superscript"/>
        <sz val="10"/>
        <color theme="1"/>
        <rFont val="Arial"/>
        <family val="2"/>
      </rPr>
      <t>#</t>
    </r>
  </si>
  <si>
    <t>Hampton</t>
  </si>
  <si>
    <t>1989-1990</t>
  </si>
  <si>
    <t>Tropicana</t>
  </si>
  <si>
    <r>
      <t>2013-2021</t>
    </r>
    <r>
      <rPr>
        <vertAlign val="superscript"/>
        <sz val="10"/>
        <color theme="1"/>
        <rFont val="Arial"/>
        <family val="2"/>
      </rPr>
      <t>#</t>
    </r>
  </si>
  <si>
    <r>
      <t>1991-2021</t>
    </r>
    <r>
      <rPr>
        <vertAlign val="superscript"/>
        <sz val="10"/>
        <color theme="1"/>
        <rFont val="Arial"/>
        <family val="2"/>
      </rPr>
      <t>#</t>
    </r>
  </si>
  <si>
    <t>Other Concentrate</t>
  </si>
  <si>
    <t>1981-1985</t>
  </si>
  <si>
    <t>Jaguar-Bentley</t>
  </si>
  <si>
    <r>
      <t>2007-2018</t>
    </r>
    <r>
      <rPr>
        <vertAlign val="superscript"/>
        <sz val="10"/>
        <color theme="1"/>
        <rFont val="Arial"/>
        <family val="2"/>
      </rPr>
      <t>#</t>
    </r>
  </si>
  <si>
    <t>Challenger</t>
  </si>
  <si>
    <t>Prominent Hill</t>
  </si>
  <si>
    <t>Olympic Dam</t>
  </si>
  <si>
    <t>White Dam</t>
  </si>
  <si>
    <t>Carrapateena</t>
  </si>
  <si>
    <t>Angas</t>
  </si>
  <si>
    <t>Beaconsfield</t>
  </si>
  <si>
    <t>2000-2013</t>
  </si>
  <si>
    <t>Henty</t>
  </si>
  <si>
    <t>1996-2020</t>
  </si>
  <si>
    <t>Linton</t>
  </si>
  <si>
    <t>1998-1999</t>
  </si>
  <si>
    <t>1988-1996</t>
  </si>
  <si>
    <t>Browns Creek</t>
  </si>
  <si>
    <r>
      <t>1987-1999</t>
    </r>
    <r>
      <rPr>
        <vertAlign val="superscript"/>
        <sz val="10"/>
        <color theme="1"/>
        <rFont val="Arial"/>
        <family val="2"/>
      </rPr>
      <t>@</t>
    </r>
  </si>
  <si>
    <t>Hill End</t>
  </si>
  <si>
    <t>Hera</t>
  </si>
  <si>
    <t>Cadia-Cadia Hill</t>
  </si>
  <si>
    <t>Cadia-Ridgeway</t>
  </si>
  <si>
    <t>Cadia-Cadia East</t>
  </si>
  <si>
    <t>Dargues</t>
  </si>
  <si>
    <t>Cowarra-Bredbo</t>
  </si>
  <si>
    <t>Peak Hill (NSW)</t>
  </si>
  <si>
    <t>Peak</t>
  </si>
  <si>
    <t>Cowal</t>
  </si>
  <si>
    <t>May Day</t>
  </si>
  <si>
    <t>Comet</t>
  </si>
  <si>
    <t>Mount Boppy</t>
  </si>
  <si>
    <t>Sheahan-Grants / Junction Reefs</t>
  </si>
  <si>
    <t>Temora-Gidginbung</t>
  </si>
  <si>
    <t>1987-1997</t>
  </si>
  <si>
    <t>1996-2004</t>
  </si>
  <si>
    <t>Tomingley</t>
  </si>
  <si>
    <r>
      <t>2014-2021</t>
    </r>
    <r>
      <rPr>
        <vertAlign val="superscript"/>
        <sz val="10"/>
        <color theme="1"/>
        <rFont val="Arial"/>
        <family val="2"/>
      </rPr>
      <t>#</t>
    </r>
  </si>
  <si>
    <t>McKinnons</t>
  </si>
  <si>
    <t>Lucky Draw</t>
  </si>
  <si>
    <t>Woodlawn</t>
  </si>
  <si>
    <t>Broken Hill Field</t>
  </si>
  <si>
    <r>
      <t>1998-2017</t>
    </r>
    <r>
      <rPr>
        <vertAlign val="superscript"/>
        <sz val="10"/>
        <color theme="1"/>
        <rFont val="Arial"/>
        <family val="2"/>
      </rPr>
      <t>@</t>
    </r>
  </si>
  <si>
    <t>2000-2017</t>
  </si>
  <si>
    <t>%Fe</t>
  </si>
  <si>
    <t>Cairn Hill</t>
  </si>
  <si>
    <t>2010-2013</t>
  </si>
  <si>
    <t>2011-2020</t>
  </si>
  <si>
    <r>
      <t>%U</t>
    </r>
    <r>
      <rPr>
        <vertAlign val="subscript"/>
        <sz val="10"/>
        <color theme="1"/>
        <rFont val="Arial"/>
        <family val="2"/>
      </rPr>
      <t>3</t>
    </r>
    <r>
      <rPr>
        <sz val="10"/>
        <color theme="1"/>
        <rFont val="Arial"/>
        <family val="2"/>
      </rPr>
      <t>O</t>
    </r>
    <r>
      <rPr>
        <vertAlign val="subscript"/>
        <sz val="10"/>
        <color theme="1"/>
        <rFont val="Arial"/>
        <family val="2"/>
      </rPr>
      <t>8</t>
    </r>
  </si>
  <si>
    <r>
      <t>kt U</t>
    </r>
    <r>
      <rPr>
        <vertAlign val="subscript"/>
        <sz val="10"/>
        <color theme="1"/>
        <rFont val="Arial"/>
        <family val="2"/>
      </rPr>
      <t>3</t>
    </r>
    <r>
      <rPr>
        <sz val="10"/>
        <color theme="1"/>
        <rFont val="Arial"/>
        <family val="2"/>
      </rPr>
      <t>O</t>
    </r>
    <r>
      <rPr>
        <vertAlign val="subscript"/>
        <sz val="10"/>
        <color theme="1"/>
        <rFont val="Arial"/>
        <family val="2"/>
      </rPr>
      <t>8</t>
    </r>
  </si>
  <si>
    <t>Ranger</t>
  </si>
  <si>
    <t>1981-2021</t>
  </si>
  <si>
    <t>Nabarlek (mill)</t>
  </si>
  <si>
    <t>Nabarlek (HL)</t>
  </si>
  <si>
    <t>1980-1988</t>
  </si>
  <si>
    <t>Rockhole</t>
  </si>
  <si>
    <t>Port Pirie</t>
  </si>
  <si>
    <t>Trial Mines</t>
  </si>
  <si>
    <t>Mary Kathleen</t>
  </si>
  <si>
    <r>
      <t>1958-1982</t>
    </r>
    <r>
      <rPr>
        <vertAlign val="superscript"/>
        <sz val="10"/>
        <color theme="1"/>
        <rFont val="Arial"/>
        <family val="2"/>
      </rPr>
      <t>@</t>
    </r>
  </si>
  <si>
    <t>1956-1964</t>
  </si>
  <si>
    <t>1960-1962</t>
  </si>
  <si>
    <t>Radium Hill (Ra years)</t>
  </si>
  <si>
    <t>Mt Painter (Ra years)</t>
  </si>
  <si>
    <r>
      <t>1910-1934</t>
    </r>
    <r>
      <rPr>
        <vertAlign val="superscript"/>
        <sz val="10"/>
        <color theme="1"/>
        <rFont val="Arial"/>
        <family val="2"/>
      </rPr>
      <t>@</t>
    </r>
  </si>
  <si>
    <r>
      <t>1911-1926</t>
    </r>
    <r>
      <rPr>
        <vertAlign val="superscript"/>
        <sz val="10"/>
        <color theme="1"/>
        <rFont val="Arial"/>
        <family val="2"/>
      </rPr>
      <t>@</t>
    </r>
  </si>
  <si>
    <t>1954-1971</t>
  </si>
  <si>
    <t>1955-1962</t>
  </si>
  <si>
    <t>Radium Hill (U)</t>
  </si>
  <si>
    <t>1954-1961</t>
  </si>
  <si>
    <r>
      <t>1885-2021</t>
    </r>
    <r>
      <rPr>
        <vertAlign val="superscript"/>
        <sz val="10"/>
        <color theme="1"/>
        <rFont val="Arial"/>
        <family val="2"/>
      </rPr>
      <t>#</t>
    </r>
  </si>
  <si>
    <t>Kanmantoo (2010s)</t>
  </si>
  <si>
    <t>Kanmantoo (1860s)</t>
  </si>
  <si>
    <t>1857-1874</t>
  </si>
  <si>
    <t>Kanmantoo (1970s)</t>
  </si>
  <si>
    <t>1972-1976</t>
  </si>
  <si>
    <t>Burra (1970s)</t>
  </si>
  <si>
    <t>1972-1983</t>
  </si>
  <si>
    <t>Mount Gunson</t>
  </si>
  <si>
    <t>1974-1989</t>
  </si>
  <si>
    <t>Mountain of Light</t>
  </si>
  <si>
    <t>Ballarat</t>
  </si>
  <si>
    <t>Beechworth</t>
  </si>
  <si>
    <t>Sandhurst-Bendigo</t>
  </si>
  <si>
    <t>Maryborough</t>
  </si>
  <si>
    <t>Castlemaine</t>
  </si>
  <si>
    <t>Ararat-Stawell</t>
  </si>
  <si>
    <t>Gippsland</t>
  </si>
  <si>
    <t>1851-1891</t>
  </si>
  <si>
    <t>Miscellaneous (whole state)</t>
  </si>
  <si>
    <t>1892-1898</t>
  </si>
  <si>
    <t>Dredging (whole state)</t>
  </si>
  <si>
    <t>Heathcote-Hirds</t>
  </si>
  <si>
    <t>Fosterville</t>
  </si>
  <si>
    <r>
      <t>1991-2021</t>
    </r>
    <r>
      <rPr>
        <vertAlign val="superscript"/>
        <sz val="10"/>
        <color theme="1"/>
        <rFont val="Arial"/>
        <family val="2"/>
      </rPr>
      <t>@,#</t>
    </r>
  </si>
  <si>
    <t>Stawell</t>
  </si>
  <si>
    <r>
      <t>1983-2021</t>
    </r>
    <r>
      <rPr>
        <vertAlign val="superscript"/>
        <sz val="10"/>
        <color theme="1"/>
        <rFont val="Arial"/>
        <family val="2"/>
      </rPr>
      <t>@,#</t>
    </r>
  </si>
  <si>
    <t>New Bendigo</t>
  </si>
  <si>
    <t>2006-2011</t>
  </si>
  <si>
    <r>
      <t>2006-2021</t>
    </r>
    <r>
      <rPr>
        <vertAlign val="superscript"/>
        <sz val="10"/>
        <color theme="1"/>
        <rFont val="Arial"/>
        <family val="2"/>
      </rPr>
      <t>@,#</t>
    </r>
  </si>
  <si>
    <r>
      <t>1983-1993</t>
    </r>
    <r>
      <rPr>
        <vertAlign val="superscript"/>
        <sz val="10"/>
        <color theme="1"/>
        <rFont val="Arial"/>
        <family val="2"/>
      </rPr>
      <t>@</t>
    </r>
  </si>
  <si>
    <t>Sambas</t>
  </si>
  <si>
    <t>A1</t>
  </si>
  <si>
    <r>
      <t>1983-2012</t>
    </r>
    <r>
      <rPr>
        <vertAlign val="superscript"/>
        <sz val="10"/>
        <color theme="1"/>
        <rFont val="Arial"/>
        <family val="2"/>
      </rPr>
      <t>@</t>
    </r>
  </si>
  <si>
    <t>St Arnaud</t>
  </si>
  <si>
    <t>1992-1995</t>
  </si>
  <si>
    <t>1988-1991</t>
  </si>
  <si>
    <t>Costerfield</t>
  </si>
  <si>
    <r>
      <t>1995-2021</t>
    </r>
    <r>
      <rPr>
        <vertAlign val="superscript"/>
        <sz val="10"/>
        <color theme="1"/>
        <rFont val="Arial"/>
        <family val="2"/>
      </rPr>
      <t>@,#</t>
    </r>
  </si>
  <si>
    <t>%Sb</t>
  </si>
  <si>
    <t>kt Sb</t>
  </si>
  <si>
    <t>Maldon-Union Hill</t>
  </si>
  <si>
    <t>1989-1997</t>
  </si>
  <si>
    <t>1996-1999</t>
  </si>
  <si>
    <t>Amphitheatre (alluvial)</t>
  </si>
  <si>
    <r>
      <t>1995-2000</t>
    </r>
    <r>
      <rPr>
        <vertAlign val="superscript"/>
        <sz val="10"/>
        <color theme="1"/>
        <rFont val="Arial"/>
        <family val="2"/>
      </rPr>
      <t>E</t>
    </r>
  </si>
  <si>
    <r>
      <t>1992-2000</t>
    </r>
    <r>
      <rPr>
        <vertAlign val="superscript"/>
        <sz val="10"/>
        <color theme="1"/>
        <rFont val="Arial"/>
        <family val="2"/>
      </rPr>
      <t>@</t>
    </r>
  </si>
  <si>
    <t>Tarnagulla</t>
  </si>
  <si>
    <t>Inglewood</t>
  </si>
  <si>
    <r>
      <t>2006-2021</t>
    </r>
    <r>
      <rPr>
        <vertAlign val="superscript"/>
        <sz val="10"/>
        <color theme="1"/>
        <rFont val="Arial"/>
        <family val="2"/>
      </rPr>
      <t>#</t>
    </r>
  </si>
  <si>
    <t>Charters Towers</t>
  </si>
  <si>
    <t>1932-1976</t>
  </si>
  <si>
    <t>Cracow (1900s)</t>
  </si>
  <si>
    <t>Cracow (2000s)</t>
  </si>
  <si>
    <r>
      <t>2004-2021</t>
    </r>
    <r>
      <rPr>
        <vertAlign val="superscript"/>
        <sz val="10"/>
        <color theme="1"/>
        <rFont val="Arial"/>
        <family val="2"/>
      </rPr>
      <t>#</t>
    </r>
  </si>
  <si>
    <r>
      <t>1997-2000</t>
    </r>
    <r>
      <rPr>
        <vertAlign val="superscript"/>
        <sz val="10"/>
        <color theme="1"/>
        <rFont val="Arial"/>
        <family val="2"/>
      </rPr>
      <t>@</t>
    </r>
  </si>
  <si>
    <t>Kidston</t>
  </si>
  <si>
    <t>1985-2001</t>
  </si>
  <si>
    <t>Yandan</t>
  </si>
  <si>
    <t>1995-1999</t>
  </si>
  <si>
    <t>Twin Hills</t>
  </si>
  <si>
    <t>Mount Leyshon</t>
  </si>
  <si>
    <t>1987-2002</t>
  </si>
  <si>
    <t>Pajingo</t>
  </si>
  <si>
    <r>
      <t>1986-2021</t>
    </r>
    <r>
      <rPr>
        <vertAlign val="superscript"/>
        <sz val="10"/>
        <color theme="1"/>
        <rFont val="Arial"/>
        <family val="2"/>
      </rPr>
      <t>#</t>
    </r>
  </si>
  <si>
    <t>Ravenswood-Sarsfield</t>
  </si>
  <si>
    <t>Warroo</t>
  </si>
  <si>
    <t>1990-1992</t>
  </si>
  <si>
    <t>Sandy Creek</t>
  </si>
  <si>
    <t>1995-1996</t>
  </si>
  <si>
    <t>Tick Hill</t>
  </si>
  <si>
    <t>Belyando</t>
  </si>
  <si>
    <t>Selwyn</t>
  </si>
  <si>
    <t>Croydon</t>
  </si>
  <si>
    <t>Rishton</t>
  </si>
  <si>
    <r>
      <t>1989-2007</t>
    </r>
    <r>
      <rPr>
        <vertAlign val="superscript"/>
        <sz val="10"/>
        <color theme="1"/>
        <rFont val="Arial"/>
        <family val="2"/>
      </rPr>
      <t>@</t>
    </r>
  </si>
  <si>
    <t>Gympie</t>
  </si>
  <si>
    <t>1994-2008</t>
  </si>
  <si>
    <t>Shamrock-Manumbah</t>
  </si>
  <si>
    <t>1993-1999</t>
  </si>
  <si>
    <t>Wirralie</t>
  </si>
  <si>
    <r>
      <t>1988-2001</t>
    </r>
    <r>
      <rPr>
        <vertAlign val="superscript"/>
        <sz val="10"/>
        <color theme="1"/>
        <rFont val="Arial"/>
        <family val="2"/>
      </rPr>
      <t>@</t>
    </r>
  </si>
  <si>
    <t>Quamby</t>
  </si>
  <si>
    <t>Barrambah</t>
  </si>
  <si>
    <t>1992-1993</t>
  </si>
  <si>
    <t>Georgetown</t>
  </si>
  <si>
    <t>1994-1997</t>
  </si>
  <si>
    <t>Mount Hogan</t>
  </si>
  <si>
    <t>Ernest Henry</t>
  </si>
  <si>
    <t>Osborne</t>
  </si>
  <si>
    <t>Eloise</t>
  </si>
  <si>
    <t>Mount Rawdon</t>
  </si>
  <si>
    <r>
      <t>2001-2021</t>
    </r>
    <r>
      <rPr>
        <vertAlign val="superscript"/>
        <sz val="10"/>
        <color theme="1"/>
        <rFont val="Arial"/>
        <family val="2"/>
      </rPr>
      <t>#</t>
    </r>
  </si>
  <si>
    <t>Red Dome (Au HL)</t>
  </si>
  <si>
    <t>Red Dome (AuCu)</t>
  </si>
  <si>
    <t>Northparkes (Au)</t>
  </si>
  <si>
    <t>Northparkes (AuCu)</t>
  </si>
  <si>
    <t>1994-1995</t>
  </si>
  <si>
    <r>
      <t>1996-2021</t>
    </r>
    <r>
      <rPr>
        <vertAlign val="superscript"/>
        <sz val="10"/>
        <color theme="1"/>
        <rFont val="Arial"/>
        <family val="2"/>
      </rPr>
      <t>#</t>
    </r>
  </si>
  <si>
    <t>Mount Morgan (Au)</t>
  </si>
  <si>
    <t>Mount Chalmers</t>
  </si>
  <si>
    <t>Many Peaks</t>
  </si>
  <si>
    <t>1910-1928</t>
  </si>
  <si>
    <t>1979-1982</t>
  </si>
  <si>
    <t>Mount Morgan (AuCu smelted)</t>
  </si>
  <si>
    <t>Mount Morgan (AuCu milled)</t>
  </si>
  <si>
    <t>Charters Towers-Cape River</t>
  </si>
  <si>
    <t>Gympie-Kilkivan</t>
  </si>
  <si>
    <r>
      <t>1876-1981</t>
    </r>
    <r>
      <rPr>
        <vertAlign val="superscript"/>
        <sz val="10"/>
        <color theme="1"/>
        <rFont val="Arial"/>
        <family val="2"/>
      </rPr>
      <t>@</t>
    </r>
  </si>
  <si>
    <r>
      <t>1872-1981</t>
    </r>
    <r>
      <rPr>
        <vertAlign val="superscript"/>
        <sz val="10"/>
        <color theme="1"/>
        <rFont val="Arial"/>
        <family val="2"/>
      </rPr>
      <t>@</t>
    </r>
  </si>
  <si>
    <t>Hodgkinson / Batavia River (1911-81)</t>
  </si>
  <si>
    <r>
      <t>1876-1965</t>
    </r>
    <r>
      <rPr>
        <vertAlign val="superscript"/>
        <sz val="10"/>
        <color theme="1"/>
        <rFont val="Arial"/>
        <family val="2"/>
      </rPr>
      <t>@</t>
    </r>
  </si>
  <si>
    <t>Ravenswood</t>
  </si>
  <si>
    <r>
      <t>1876-1972</t>
    </r>
    <r>
      <rPr>
        <vertAlign val="superscript"/>
        <sz val="10"/>
        <color theme="1"/>
        <rFont val="Arial"/>
        <family val="2"/>
      </rPr>
      <t>@</t>
    </r>
  </si>
  <si>
    <t>Palmer</t>
  </si>
  <si>
    <t>Etheridge-Woolgar</t>
  </si>
  <si>
    <r>
      <t>1876-1957</t>
    </r>
    <r>
      <rPr>
        <vertAlign val="superscript"/>
        <sz val="10"/>
        <color theme="1"/>
        <rFont val="Arial"/>
        <family val="2"/>
      </rPr>
      <t>@</t>
    </r>
  </si>
  <si>
    <r>
      <t>1876-1963</t>
    </r>
    <r>
      <rPr>
        <vertAlign val="superscript"/>
        <sz val="10"/>
        <color theme="1"/>
        <rFont val="Arial"/>
        <family val="2"/>
      </rPr>
      <t>@</t>
    </r>
  </si>
  <si>
    <t>Clonclurry</t>
  </si>
  <si>
    <r>
      <t>1877-1942</t>
    </r>
    <r>
      <rPr>
        <vertAlign val="superscript"/>
        <sz val="10"/>
        <color theme="1"/>
        <rFont val="Arial"/>
        <family val="2"/>
      </rPr>
      <t>@</t>
    </r>
  </si>
  <si>
    <r>
      <t>1890-1981</t>
    </r>
    <r>
      <rPr>
        <vertAlign val="superscript"/>
        <sz val="10"/>
        <color theme="1"/>
        <rFont val="Arial"/>
        <family val="2"/>
      </rPr>
      <t>@</t>
    </r>
  </si>
  <si>
    <t>Bowen-Normanby</t>
  </si>
  <si>
    <t>Clermont-Peak Downs</t>
  </si>
  <si>
    <r>
      <t>1878-1954</t>
    </r>
    <r>
      <rPr>
        <vertAlign val="superscript"/>
        <sz val="10"/>
        <color theme="1"/>
        <rFont val="Arial"/>
        <family val="2"/>
      </rPr>
      <t>@</t>
    </r>
  </si>
  <si>
    <t>Rockhampton-Port Curtis</t>
  </si>
  <si>
    <r>
      <t>1878-1951</t>
    </r>
    <r>
      <rPr>
        <vertAlign val="superscript"/>
        <sz val="10"/>
        <color theme="1"/>
        <rFont val="Arial"/>
        <family val="2"/>
      </rPr>
      <t>@</t>
    </r>
  </si>
  <si>
    <t>Gladstone</t>
  </si>
  <si>
    <t>Hamilton</t>
  </si>
  <si>
    <r>
      <t>1877-1955</t>
    </r>
    <r>
      <rPr>
        <vertAlign val="superscript"/>
        <sz val="10"/>
        <color theme="1"/>
        <rFont val="Arial"/>
        <family val="2"/>
      </rPr>
      <t>@</t>
    </r>
  </si>
  <si>
    <r>
      <t>1900-1941</t>
    </r>
    <r>
      <rPr>
        <vertAlign val="superscript"/>
        <sz val="10"/>
        <color theme="1"/>
        <rFont val="Arial"/>
        <family val="2"/>
      </rPr>
      <t>@</t>
    </r>
  </si>
  <si>
    <t>Miscellaneous Minor Fields</t>
  </si>
  <si>
    <r>
      <t>1878-1972</t>
    </r>
    <r>
      <rPr>
        <vertAlign val="superscript"/>
        <sz val="10"/>
        <color theme="1"/>
        <rFont val="Arial"/>
        <family val="2"/>
      </rPr>
      <t>@</t>
    </r>
  </si>
  <si>
    <t>Mulgrave-Barron Rivers</t>
  </si>
  <si>
    <r>
      <t>1882-1921</t>
    </r>
    <r>
      <rPr>
        <vertAlign val="superscript"/>
        <sz val="10"/>
        <color theme="1"/>
        <rFont val="Arial"/>
        <family val="2"/>
      </rPr>
      <t>@</t>
    </r>
  </si>
  <si>
    <t>Alice River</t>
  </si>
  <si>
    <r>
      <t>1900-1947</t>
    </r>
    <r>
      <rPr>
        <vertAlign val="superscript"/>
        <sz val="10"/>
        <color theme="1"/>
        <rFont val="Arial"/>
        <family val="2"/>
      </rPr>
      <t>@</t>
    </r>
  </si>
  <si>
    <r>
      <t>1887-1958</t>
    </r>
    <r>
      <rPr>
        <vertAlign val="superscript"/>
        <sz val="10"/>
        <color theme="1"/>
        <rFont val="Arial"/>
        <family val="2"/>
      </rPr>
      <t>@</t>
    </r>
  </si>
  <si>
    <t>Gayndah-Bundaberg</t>
  </si>
  <si>
    <r>
      <t>1886-1952</t>
    </r>
    <r>
      <rPr>
        <vertAlign val="superscript"/>
        <sz val="10"/>
        <color theme="1"/>
        <rFont val="Arial"/>
        <family val="2"/>
      </rPr>
      <t>@</t>
    </r>
  </si>
  <si>
    <t>Eidsvold</t>
  </si>
  <si>
    <r>
      <t>1887-1950</t>
    </r>
    <r>
      <rPr>
        <vertAlign val="superscript"/>
        <sz val="10"/>
        <color theme="1"/>
        <rFont val="Arial"/>
        <family val="2"/>
      </rPr>
      <t>@</t>
    </r>
  </si>
  <si>
    <t>Russell-Russell Extended</t>
  </si>
  <si>
    <r>
      <t>1893-1943</t>
    </r>
    <r>
      <rPr>
        <vertAlign val="superscript"/>
        <sz val="10"/>
        <color theme="1"/>
        <rFont val="Arial"/>
        <family val="2"/>
      </rPr>
      <t>@</t>
    </r>
  </si>
  <si>
    <r>
      <t>1892-1948</t>
    </r>
    <r>
      <rPr>
        <vertAlign val="superscript"/>
        <sz val="10"/>
        <color theme="1"/>
        <rFont val="Arial"/>
        <family val="2"/>
      </rPr>
      <t>@</t>
    </r>
  </si>
  <si>
    <t>Mackay-Nebo</t>
  </si>
  <si>
    <r>
      <t>1882-1968</t>
    </r>
    <r>
      <rPr>
        <vertAlign val="superscript"/>
        <sz val="10"/>
        <color theme="1"/>
        <rFont val="Arial"/>
        <family val="2"/>
      </rPr>
      <t>@</t>
    </r>
  </si>
  <si>
    <t>Paradise</t>
  </si>
  <si>
    <r>
      <t>1891-1971</t>
    </r>
    <r>
      <rPr>
        <vertAlign val="superscript"/>
        <sz val="10"/>
        <color theme="1"/>
        <rFont val="Arial"/>
        <family val="2"/>
      </rPr>
      <t>@</t>
    </r>
  </si>
  <si>
    <t>Coen</t>
  </si>
  <si>
    <r>
      <t>1893-1961</t>
    </r>
    <r>
      <rPr>
        <vertAlign val="superscript"/>
        <sz val="10"/>
        <color theme="1"/>
        <rFont val="Arial"/>
        <family val="2"/>
      </rPr>
      <t>@</t>
    </r>
  </si>
  <si>
    <t>Mareeba-Clohesy</t>
  </si>
  <si>
    <r>
      <t>1893-1970</t>
    </r>
    <r>
      <rPr>
        <vertAlign val="superscript"/>
        <sz val="10"/>
        <color theme="1"/>
        <rFont val="Arial"/>
        <family val="2"/>
      </rPr>
      <t>@</t>
    </r>
  </si>
  <si>
    <t>Horn Islands</t>
  </si>
  <si>
    <r>
      <t>1895-1941</t>
    </r>
    <r>
      <rPr>
        <vertAlign val="superscript"/>
        <sz val="10"/>
        <color theme="1"/>
        <rFont val="Arial"/>
        <family val="2"/>
      </rPr>
      <t>@</t>
    </r>
  </si>
  <si>
    <t>Balcooma-Lucky Creek</t>
  </si>
  <si>
    <r>
      <t>1896-1938</t>
    </r>
    <r>
      <rPr>
        <vertAlign val="superscript"/>
        <sz val="10"/>
        <color theme="1"/>
        <rFont val="Arial"/>
        <family val="2"/>
      </rPr>
      <t>@</t>
    </r>
  </si>
  <si>
    <t>Jordan-Innisfail</t>
  </si>
  <si>
    <r>
      <t>1900-1980</t>
    </r>
    <r>
      <rPr>
        <vertAlign val="superscript"/>
        <sz val="10"/>
        <color theme="1"/>
        <rFont val="Arial"/>
        <family val="2"/>
      </rPr>
      <t>@</t>
    </r>
  </si>
  <si>
    <t>Chillagoe Smelters-Hodgkinson</t>
  </si>
  <si>
    <r>
      <t>1909-1948</t>
    </r>
    <r>
      <rPr>
        <vertAlign val="superscript"/>
        <sz val="10"/>
        <color theme="1"/>
        <rFont val="Arial"/>
        <family val="2"/>
      </rPr>
      <t>@</t>
    </r>
  </si>
  <si>
    <t>Mount Perry</t>
  </si>
  <si>
    <r>
      <t>1904-1953</t>
    </r>
    <r>
      <rPr>
        <vertAlign val="superscript"/>
        <sz val="10"/>
        <color theme="1"/>
        <rFont val="Arial"/>
        <family val="2"/>
      </rPr>
      <t>@</t>
    </r>
  </si>
  <si>
    <r>
      <t>1902-1942</t>
    </r>
    <r>
      <rPr>
        <vertAlign val="superscript"/>
        <sz val="10"/>
        <color theme="1"/>
        <rFont val="Arial"/>
        <family val="2"/>
      </rPr>
      <t>@</t>
    </r>
  </si>
  <si>
    <t>Mount Coolon</t>
  </si>
  <si>
    <r>
      <t>1920-1941</t>
    </r>
    <r>
      <rPr>
        <vertAlign val="superscript"/>
        <sz val="10"/>
        <color theme="1"/>
        <rFont val="Arial"/>
        <family val="2"/>
      </rPr>
      <t>@</t>
    </r>
  </si>
  <si>
    <t>Hayes Creek</t>
  </si>
  <si>
    <r>
      <t>1911-1960</t>
    </r>
    <r>
      <rPr>
        <vertAlign val="superscript"/>
        <sz val="10"/>
        <color theme="1"/>
        <rFont val="Arial"/>
        <family val="2"/>
      </rPr>
      <t>@</t>
    </r>
  </si>
  <si>
    <t>Tarcoola</t>
  </si>
  <si>
    <t>Mount Torrens</t>
  </si>
  <si>
    <t>Peterborough</t>
  </si>
  <si>
    <r>
      <t>1897-1980</t>
    </r>
    <r>
      <rPr>
        <vertAlign val="superscript"/>
        <sz val="10"/>
        <color theme="1"/>
        <rFont val="Arial"/>
        <family val="2"/>
      </rPr>
      <t>@</t>
    </r>
  </si>
  <si>
    <t>Kings Bluff</t>
  </si>
  <si>
    <t>1907-1910</t>
  </si>
  <si>
    <t>Glenloth</t>
  </si>
  <si>
    <t>Mongolata</t>
  </si>
  <si>
    <t>Kirkeeks Treasure</t>
  </si>
  <si>
    <t>Commonwealth-Wheal Ellen</t>
  </si>
  <si>
    <t>1904-1953</t>
  </si>
  <si>
    <t>1933-1950</t>
  </si>
  <si>
    <r>
      <t>1906-1916</t>
    </r>
    <r>
      <rPr>
        <vertAlign val="superscript"/>
        <sz val="10"/>
        <color theme="1"/>
        <rFont val="Arial"/>
        <family val="2"/>
      </rPr>
      <t>@</t>
    </r>
  </si>
  <si>
    <t>1909-1911</t>
  </si>
  <si>
    <t>Homeward Bound</t>
  </si>
  <si>
    <t>Waukaringa-Ajax</t>
  </si>
  <si>
    <t>1907-1908</t>
  </si>
  <si>
    <r>
      <t>1909-1913</t>
    </r>
    <r>
      <rPr>
        <vertAlign val="superscript"/>
        <sz val="10"/>
        <color theme="1"/>
        <rFont val="Arial"/>
        <family val="2"/>
      </rPr>
      <t>@</t>
    </r>
  </si>
  <si>
    <t>1911-1913</t>
  </si>
  <si>
    <t>Mount Grainger</t>
  </si>
  <si>
    <t>Kitticoola-Reedy Creek</t>
  </si>
  <si>
    <t>Deloraine</t>
  </si>
  <si>
    <r>
      <t>1910-1918</t>
    </r>
    <r>
      <rPr>
        <vertAlign val="superscript"/>
        <sz val="10"/>
        <color theme="1"/>
        <rFont val="Arial"/>
        <family val="2"/>
      </rPr>
      <t>@</t>
    </r>
  </si>
  <si>
    <t>1912-1920</t>
  </si>
  <si>
    <t>Wadnaminga</t>
  </si>
  <si>
    <t>1913-1917</t>
  </si>
  <si>
    <t>Lux-Queen Bee</t>
  </si>
  <si>
    <t>Tasmania-Beaconsfield</t>
  </si>
  <si>
    <t>Mathinna</t>
  </si>
  <si>
    <t>Mangana</t>
  </si>
  <si>
    <t>Mount Cameron-Warrentinna</t>
  </si>
  <si>
    <t>Lefroy</t>
  </si>
  <si>
    <t>Lisle-Golconda</t>
  </si>
  <si>
    <t>West Coast</t>
  </si>
  <si>
    <t>Bathurst</t>
  </si>
  <si>
    <t>Tambaroora-Turon</t>
  </si>
  <si>
    <t>Mudgee</t>
  </si>
  <si>
    <t>Lachlan</t>
  </si>
  <si>
    <t>Southern</t>
  </si>
  <si>
    <t>Tumut-Adelong</t>
  </si>
  <si>
    <t>Peel-Uralla</t>
  </si>
  <si>
    <t>Clarence-Richmond</t>
  </si>
  <si>
    <t>Hunter-Macleay</t>
  </si>
  <si>
    <t>Miscellaneous</t>
  </si>
  <si>
    <t>New England</t>
  </si>
  <si>
    <t>Albert</t>
  </si>
  <si>
    <t>Cobar</t>
  </si>
  <si>
    <r>
      <t>1901-1954</t>
    </r>
    <r>
      <rPr>
        <vertAlign val="superscript"/>
        <sz val="10"/>
        <color theme="1"/>
        <rFont val="Arial"/>
        <family val="2"/>
      </rPr>
      <t>@</t>
    </r>
  </si>
  <si>
    <r>
      <t>1894-1954</t>
    </r>
    <r>
      <rPr>
        <vertAlign val="superscript"/>
        <sz val="10"/>
        <color theme="1"/>
        <rFont val="Arial"/>
        <family val="2"/>
      </rPr>
      <t>@</t>
    </r>
  </si>
  <si>
    <t>Pine Creek</t>
  </si>
  <si>
    <t>Arltunga</t>
  </si>
  <si>
    <t>White Range</t>
  </si>
  <si>
    <t>1903-1906</t>
  </si>
  <si>
    <t>Winnecke</t>
  </si>
  <si>
    <t>Tennant Creek</t>
  </si>
  <si>
    <t>1933-1955</t>
  </si>
  <si>
    <t>The Granites</t>
  </si>
  <si>
    <r>
      <t>1948-1959</t>
    </r>
    <r>
      <rPr>
        <vertAlign val="superscript"/>
        <sz val="10"/>
        <color theme="1"/>
        <rFont val="Arial"/>
        <family val="2"/>
      </rPr>
      <t>@</t>
    </r>
  </si>
  <si>
    <t>Nobles Nob</t>
  </si>
  <si>
    <t>1948-1986</t>
  </si>
  <si>
    <t>Peko</t>
  </si>
  <si>
    <t>%Bi</t>
  </si>
  <si>
    <t>kt Bi</t>
  </si>
  <si>
    <t>Warrego</t>
  </si>
  <si>
    <t>Juno</t>
  </si>
  <si>
    <t>White Devil</t>
  </si>
  <si>
    <t>1987-1999</t>
  </si>
  <si>
    <t>Orlando</t>
  </si>
  <si>
    <t>Gecko</t>
  </si>
  <si>
    <t>Ivanhoe</t>
  </si>
  <si>
    <t>Mount Diamond</t>
  </si>
  <si>
    <t>Rum Jungle (Cu)</t>
  </si>
  <si>
    <t>1971-1973</t>
  </si>
  <si>
    <t>Redbank</t>
  </si>
  <si>
    <t>1964-1971</t>
  </si>
  <si>
    <t>Rum Jungle (U-Cu)</t>
  </si>
  <si>
    <r>
      <t>1966-2009</t>
    </r>
    <r>
      <rPr>
        <vertAlign val="superscript"/>
        <sz val="10"/>
        <color theme="1"/>
        <rFont val="Arial"/>
        <family val="2"/>
      </rPr>
      <t>@</t>
    </r>
  </si>
  <si>
    <t>Home of Bullion</t>
  </si>
  <si>
    <t>1986-1995</t>
  </si>
  <si>
    <t>Mount Bonnie</t>
  </si>
  <si>
    <t>1983-1990</t>
  </si>
  <si>
    <t>Wandie alluvial</t>
  </si>
  <si>
    <t>1985-1986</t>
  </si>
  <si>
    <t>Howley alluvial</t>
  </si>
  <si>
    <t>Fountainhead alluvial</t>
  </si>
  <si>
    <t>1986-1989</t>
  </si>
  <si>
    <r>
      <t>1986-1989</t>
    </r>
    <r>
      <rPr>
        <vertAlign val="superscript"/>
        <sz val="10"/>
        <color theme="1"/>
        <rFont val="Arial"/>
        <family val="2"/>
      </rPr>
      <t>@</t>
    </r>
  </si>
  <si>
    <t>Pine Creek (mill)</t>
  </si>
  <si>
    <t>Pine Creek (HL)</t>
  </si>
  <si>
    <t>Glencoe</t>
  </si>
  <si>
    <t>Cosmo Howley (mill)</t>
  </si>
  <si>
    <t>Cosmo Howley (HL)</t>
  </si>
  <si>
    <r>
      <t>1987-1990</t>
    </r>
    <r>
      <rPr>
        <vertAlign val="superscript"/>
        <sz val="10"/>
        <color theme="1"/>
        <rFont val="Arial"/>
        <family val="2"/>
      </rPr>
      <t>@</t>
    </r>
  </si>
  <si>
    <t>TC8</t>
  </si>
  <si>
    <t>Argo</t>
  </si>
  <si>
    <t>South Howley alluvial</t>
  </si>
  <si>
    <t>Union Reefs</t>
  </si>
  <si>
    <r>
      <t>1989-2017</t>
    </r>
    <r>
      <rPr>
        <vertAlign val="superscript"/>
        <sz val="10"/>
        <color theme="1"/>
        <rFont val="Arial"/>
        <family val="2"/>
      </rPr>
      <t>@</t>
    </r>
  </si>
  <si>
    <t>Rustlers Roost</t>
  </si>
  <si>
    <t>Mount Todd</t>
  </si>
  <si>
    <r>
      <t>1987-2000</t>
    </r>
    <r>
      <rPr>
        <vertAlign val="superscript"/>
        <sz val="10"/>
        <color theme="1"/>
        <rFont val="Arial"/>
        <family val="2"/>
      </rPr>
      <t>@</t>
    </r>
  </si>
  <si>
    <r>
      <t>1987-1992</t>
    </r>
    <r>
      <rPr>
        <vertAlign val="superscript"/>
        <sz val="10"/>
        <color theme="1"/>
        <rFont val="Arial"/>
        <family val="2"/>
      </rPr>
      <t>@</t>
    </r>
  </si>
  <si>
    <t>Moline (Au)</t>
  </si>
  <si>
    <t>Moline (U)</t>
  </si>
  <si>
    <t>Brocks Creek</t>
  </si>
  <si>
    <t>1996-2000</t>
  </si>
  <si>
    <t>Central Tanami</t>
  </si>
  <si>
    <t>Groundrush</t>
  </si>
  <si>
    <t>2001-2005</t>
  </si>
  <si>
    <t>Twin Bonanza-Old Pirate</t>
  </si>
  <si>
    <t>Goodall</t>
  </si>
  <si>
    <t>1988-1992</t>
  </si>
  <si>
    <t>Sundance</t>
  </si>
  <si>
    <t>Tom's Gully-Quest 29</t>
  </si>
  <si>
    <r>
      <t>1988-2008</t>
    </r>
    <r>
      <rPr>
        <vertAlign val="superscript"/>
        <sz val="10"/>
        <color theme="1"/>
        <rFont val="Arial"/>
        <family val="2"/>
      </rPr>
      <t>@</t>
    </r>
  </si>
  <si>
    <t>Chariot</t>
  </si>
  <si>
    <t>New Hope</t>
  </si>
  <si>
    <t>2003-2005</t>
  </si>
  <si>
    <t>2008-2013</t>
  </si>
  <si>
    <r>
      <t>1988-2015</t>
    </r>
    <r>
      <rPr>
        <vertAlign val="superscript"/>
        <sz val="10"/>
        <color theme="1"/>
        <rFont val="Arial"/>
        <family val="2"/>
      </rPr>
      <t>@</t>
    </r>
  </si>
  <si>
    <t>Mineral Hill (AuAg)</t>
  </si>
  <si>
    <t>Mineral Hill (CuAu)</t>
  </si>
  <si>
    <t>Mineral Hill (PbZnAg)</t>
  </si>
  <si>
    <r>
      <t>1988-2016</t>
    </r>
    <r>
      <rPr>
        <vertAlign val="superscript"/>
        <sz val="10"/>
        <color theme="1"/>
        <rFont val="Arial"/>
        <family val="2"/>
      </rPr>
      <t>@</t>
    </r>
  </si>
  <si>
    <t>2014-2015</t>
  </si>
  <si>
    <t>CSA</t>
  </si>
  <si>
    <t>Horn Island</t>
  </si>
  <si>
    <t>Mount Carlton-V2</t>
  </si>
  <si>
    <t>Rocklands</t>
  </si>
  <si>
    <t>2014-2018</t>
  </si>
  <si>
    <t>Camel Creek</t>
  </si>
  <si>
    <t>Golden Cup</t>
  </si>
  <si>
    <t>Big Rush</t>
  </si>
  <si>
    <t>Croydon-Tabletop (HL)</t>
  </si>
  <si>
    <t>Nagambie (HL)</t>
  </si>
  <si>
    <t>Bailieston (HL)</t>
  </si>
  <si>
    <t>Timbarra (HL)</t>
  </si>
  <si>
    <t>Kanowna Belle-QED (HL)</t>
  </si>
  <si>
    <t>Lucky Break</t>
  </si>
  <si>
    <t>Lorena</t>
  </si>
  <si>
    <t>Minnie Moxham-Northcote</t>
  </si>
  <si>
    <t>Drake-Mount Carrington</t>
  </si>
  <si>
    <t>Parkes (London-Victoria)</t>
  </si>
  <si>
    <t>Wattle Gully-Chewton</t>
  </si>
  <si>
    <t>Captain's Flat (Lake George)</t>
  </si>
  <si>
    <r>
      <t>1884-1962</t>
    </r>
    <r>
      <rPr>
        <vertAlign val="superscript"/>
        <sz val="10"/>
        <color theme="1"/>
        <rFont val="Arial"/>
        <family val="2"/>
      </rPr>
      <t>@</t>
    </r>
  </si>
  <si>
    <t>%S</t>
  </si>
  <si>
    <t>Hillgrove (SbAu)</t>
  </si>
  <si>
    <r>
      <t>1978-2020</t>
    </r>
    <r>
      <rPr>
        <vertAlign val="superscript"/>
        <sz val="10"/>
        <color theme="1"/>
        <rFont val="Arial"/>
        <family val="2"/>
      </rPr>
      <t>@</t>
    </r>
  </si>
  <si>
    <t>Maldon-Union Hill Tailings</t>
  </si>
  <si>
    <t>Scarsdale Tailings</t>
  </si>
  <si>
    <t>West Bendigo-Eaglehawk Tailings</t>
  </si>
  <si>
    <t>Daylesford Tailings</t>
  </si>
  <si>
    <t>Buninyong Tailings</t>
  </si>
  <si>
    <t>Broken Hill Field Tailings</t>
  </si>
  <si>
    <t>Woodlawn Tailings</t>
  </si>
  <si>
    <r>
      <t>1902-1992</t>
    </r>
    <r>
      <rPr>
        <vertAlign val="superscript"/>
        <sz val="10"/>
        <color theme="1"/>
        <rFont val="Arial"/>
        <family val="2"/>
      </rPr>
      <t>@</t>
    </r>
  </si>
  <si>
    <t>Endeavour (Elura)</t>
  </si>
  <si>
    <t>Endeavour (Elura) (supergene)</t>
  </si>
  <si>
    <t>Australian cumulative production to 2021</t>
  </si>
  <si>
    <t>Metals (Minerals) Extracted</t>
  </si>
  <si>
    <t>Mt Fe ore</t>
  </si>
  <si>
    <t>Beverley (ISL)</t>
  </si>
  <si>
    <t>Four Mile (ISL)</t>
  </si>
  <si>
    <t>Honeymoon (ISL)</t>
  </si>
  <si>
    <t>Mount Lyell</t>
  </si>
  <si>
    <t>McArthur River</t>
  </si>
  <si>
    <t>Cannington</t>
  </si>
  <si>
    <t>Century</t>
  </si>
  <si>
    <t>Century Tailings</t>
  </si>
  <si>
    <t>Woodcutters</t>
  </si>
  <si>
    <t>Mount Evelyn</t>
  </si>
  <si>
    <t>1967-1970</t>
  </si>
  <si>
    <t>Mount Isa (PbZnAg)</t>
  </si>
  <si>
    <t>Mount Isa (CuAg)</t>
  </si>
  <si>
    <t>Browns (Rum Jungle)</t>
  </si>
  <si>
    <t>Mount Keith</t>
  </si>
  <si>
    <t>Kambalda</t>
  </si>
  <si>
    <t>Leinster</t>
  </si>
  <si>
    <t>Savannah (Sally Malay)</t>
  </si>
  <si>
    <t>Forrestania</t>
  </si>
  <si>
    <t>Lake Johnston</t>
  </si>
  <si>
    <t>Black Swan-Silver Swan</t>
  </si>
  <si>
    <t>Avebury</t>
  </si>
  <si>
    <t>t PGEs</t>
  </si>
  <si>
    <t>Windarra</t>
  </si>
  <si>
    <t>Murrin Murrin</t>
  </si>
  <si>
    <t>Cawse</t>
  </si>
  <si>
    <r>
      <t>1998-2008</t>
    </r>
    <r>
      <rPr>
        <vertAlign val="superscript"/>
        <sz val="10"/>
        <color theme="1"/>
        <rFont val="Arial"/>
        <family val="2"/>
      </rPr>
      <t>@</t>
    </r>
  </si>
  <si>
    <t>Rav8</t>
  </si>
  <si>
    <t>2000-2001</t>
  </si>
  <si>
    <t>Radio Hill</t>
  </si>
  <si>
    <r>
      <t>1998-2007</t>
    </r>
    <r>
      <rPr>
        <vertAlign val="superscript"/>
        <sz val="10"/>
        <color theme="1"/>
        <rFont val="Arial"/>
        <family val="2"/>
      </rPr>
      <t>@</t>
    </r>
  </si>
  <si>
    <t>1970-1977</t>
  </si>
  <si>
    <t>Flying Fox-Spotted Quoll</t>
  </si>
  <si>
    <t>Scotia</t>
  </si>
  <si>
    <t>Carr Boyd</t>
  </si>
  <si>
    <t>1973-1975</t>
  </si>
  <si>
    <t>g/t PGEs</t>
  </si>
  <si>
    <t>Waterloo</t>
  </si>
  <si>
    <t>2006+2008</t>
  </si>
  <si>
    <t>Nepean</t>
  </si>
  <si>
    <r>
      <t>1970-1987</t>
    </r>
    <r>
      <rPr>
        <vertAlign val="superscript"/>
        <sz val="10"/>
        <color theme="1"/>
        <rFont val="Arial"/>
        <family val="2"/>
      </rPr>
      <t>@</t>
    </r>
  </si>
  <si>
    <t>Cosmos</t>
  </si>
  <si>
    <t>1999-2002</t>
  </si>
  <si>
    <t>2008-2009</t>
  </si>
  <si>
    <t>Nova-Bollinger</t>
  </si>
  <si>
    <t>1974-1991</t>
  </si>
  <si>
    <t>Greenvale-Brolga</t>
  </si>
  <si>
    <t>Ravensthorpe</t>
  </si>
  <si>
    <t>1974-1995</t>
  </si>
  <si>
    <t>Spargoville</t>
  </si>
  <si>
    <t>1975-1980</t>
  </si>
  <si>
    <r>
      <t>2001-2013</t>
    </r>
    <r>
      <rPr>
        <vertAlign val="superscript"/>
        <sz val="10"/>
        <color theme="1"/>
        <rFont val="Arial"/>
        <family val="2"/>
      </rPr>
      <t>@</t>
    </r>
  </si>
  <si>
    <t>Hellyer</t>
  </si>
  <si>
    <t>t pyrite conc</t>
  </si>
  <si>
    <t>Magellan</t>
  </si>
  <si>
    <t>Rosebery-Hercules</t>
  </si>
  <si>
    <t>Que River</t>
  </si>
  <si>
    <t>1978-1991</t>
  </si>
  <si>
    <t>2007-2010</t>
  </si>
  <si>
    <t>2011-2012</t>
  </si>
  <si>
    <t>1986-2000</t>
  </si>
  <si>
    <t>Fossey</t>
  </si>
  <si>
    <t>Cadjebut-Pillara</t>
  </si>
  <si>
    <r>
      <t>2005-2015</t>
    </r>
    <r>
      <rPr>
        <vertAlign val="superscript"/>
        <sz val="10"/>
        <color theme="1"/>
        <rFont val="Arial"/>
        <family val="2"/>
      </rPr>
      <t>@</t>
    </r>
  </si>
  <si>
    <r>
      <t>1989-2008</t>
    </r>
    <r>
      <rPr>
        <vertAlign val="superscript"/>
        <sz val="10"/>
        <color theme="1"/>
        <rFont val="Arial"/>
        <family val="2"/>
      </rPr>
      <t>@</t>
    </r>
  </si>
  <si>
    <t>Plenty River</t>
  </si>
  <si>
    <t>1982-1983</t>
  </si>
  <si>
    <t>Daly River</t>
  </si>
  <si>
    <t>1884-1918</t>
  </si>
  <si>
    <t>Mount Garnet (Cu)</t>
  </si>
  <si>
    <t>1901-1903</t>
  </si>
  <si>
    <t>Mount Chalmers (smelter)</t>
  </si>
  <si>
    <t>1908-1914</t>
  </si>
  <si>
    <t>O.K. (smelter)</t>
  </si>
  <si>
    <t>1902-1909</t>
  </si>
  <si>
    <t>Mount Molloy (smelter)</t>
  </si>
  <si>
    <t>1902-1908</t>
  </si>
  <si>
    <t>Mount Cannindah-Mount Hector</t>
  </si>
  <si>
    <r>
      <t>1903-1969</t>
    </r>
    <r>
      <rPr>
        <vertAlign val="superscript"/>
        <sz val="10"/>
        <color theme="1"/>
        <rFont val="Arial"/>
        <family val="2"/>
      </rPr>
      <t>@</t>
    </r>
  </si>
  <si>
    <t>WA</t>
  </si>
  <si>
    <t>SA</t>
  </si>
  <si>
    <t>TAS</t>
  </si>
  <si>
    <t>VIC</t>
  </si>
  <si>
    <t>NSW</t>
  </si>
  <si>
    <t>NT</t>
  </si>
  <si>
    <t>QLD</t>
  </si>
  <si>
    <r>
      <t>1888-1938</t>
    </r>
    <r>
      <rPr>
        <vertAlign val="superscript"/>
        <sz val="10"/>
        <color theme="1"/>
        <rFont val="Arial"/>
        <family val="2"/>
      </rPr>
      <t>@</t>
    </r>
  </si>
  <si>
    <t>Clonclurry Field: Answer</t>
  </si>
  <si>
    <t>Clonclurry Field: Blockade Group</t>
  </si>
  <si>
    <t>Clonclurry Field: Crusader Group</t>
  </si>
  <si>
    <t>Clonclurry Field: Duchess</t>
  </si>
  <si>
    <t>Clonclurry Field: Great Australia</t>
  </si>
  <si>
    <t>Clonclurry Field: Hampden-Kuridala / Consols</t>
  </si>
  <si>
    <t>Clonclurry Field: Kalkadoon-Mount Kalkadoon</t>
  </si>
  <si>
    <t>Clonclurry Field: Lady Annie-Lady Anne</t>
  </si>
  <si>
    <t>Clonclurry Field: Lillimay-Lillymay-Lilly May</t>
  </si>
  <si>
    <t>Clonclurry Field: Mammoth-Kabunga</t>
  </si>
  <si>
    <t>Clonclurry Field: Mighty Atom-South Atom</t>
  </si>
  <si>
    <t>Clonclurry Field: Mount Cuthbert</t>
  </si>
  <si>
    <t>Clonclurry Field: Mount Elliott / Consols</t>
  </si>
  <si>
    <t>Clonclurry Field: Mount Hope-Mount Hope North</t>
  </si>
  <si>
    <t>Clonclurry Field: Mount Norma</t>
  </si>
  <si>
    <t>Clonclurry Field: Mount Oxide-Mount Oxide North</t>
  </si>
  <si>
    <t>Clonclurry Field: Dobbyn Group</t>
  </si>
  <si>
    <t>Clonclurry Field: Orphan-Orphan Rock</t>
  </si>
  <si>
    <t>Clonclurry Field: Referee-Referee Extended</t>
  </si>
  <si>
    <t>Clonclurry Field: Rosebud-Rosebud No. 2</t>
  </si>
  <si>
    <t>Clonclurry Field: Salmon</t>
  </si>
  <si>
    <t>Clonclurry Field: Surprise-Mount Surprise</t>
  </si>
  <si>
    <t>Clonclurry Field: Trekelano-Trikilana</t>
  </si>
  <si>
    <t>Clonclurry Field: Warwick Castle-Castle Bar</t>
  </si>
  <si>
    <t>Clonclurry Field: Wee MacGregor</t>
  </si>
  <si>
    <t>Clonclurry Field: Winston Churchill</t>
  </si>
  <si>
    <t>Clonclurry Field: Mines &lt;5 kt ore</t>
  </si>
  <si>
    <r>
      <t>1911-1981</t>
    </r>
    <r>
      <rPr>
        <vertAlign val="superscript"/>
        <sz val="10"/>
        <color theme="1"/>
        <rFont val="Arial"/>
        <family val="2"/>
      </rPr>
      <t>@</t>
    </r>
  </si>
  <si>
    <r>
      <t>1943-1972</t>
    </r>
    <r>
      <rPr>
        <vertAlign val="superscript"/>
        <sz val="10"/>
        <color theme="1"/>
        <rFont val="Arial"/>
        <family val="2"/>
      </rPr>
      <t>@</t>
    </r>
  </si>
  <si>
    <r>
      <t>1908-1967</t>
    </r>
    <r>
      <rPr>
        <vertAlign val="superscript"/>
        <sz val="10"/>
        <color theme="1"/>
        <rFont val="Arial"/>
        <family val="2"/>
      </rPr>
      <t>@</t>
    </r>
  </si>
  <si>
    <r>
      <t>1904-1957</t>
    </r>
    <r>
      <rPr>
        <vertAlign val="superscript"/>
        <sz val="10"/>
        <color theme="1"/>
        <rFont val="Arial"/>
        <family val="2"/>
      </rPr>
      <t>@</t>
    </r>
  </si>
  <si>
    <r>
      <t>1906-1968</t>
    </r>
    <r>
      <rPr>
        <vertAlign val="superscript"/>
        <sz val="10"/>
        <color theme="1"/>
        <rFont val="Arial"/>
        <family val="2"/>
      </rPr>
      <t>@</t>
    </r>
  </si>
  <si>
    <r>
      <t>1900-1975</t>
    </r>
    <r>
      <rPr>
        <vertAlign val="superscript"/>
        <sz val="10"/>
        <color theme="1"/>
        <rFont val="Arial"/>
        <family val="2"/>
      </rPr>
      <t>@</t>
    </r>
  </si>
  <si>
    <r>
      <t>1906-1939</t>
    </r>
    <r>
      <rPr>
        <vertAlign val="superscript"/>
        <sz val="10"/>
        <color theme="1"/>
        <rFont val="Arial"/>
        <family val="2"/>
      </rPr>
      <t>@</t>
    </r>
  </si>
  <si>
    <r>
      <t>1904-1971</t>
    </r>
    <r>
      <rPr>
        <vertAlign val="superscript"/>
        <sz val="10"/>
        <color theme="1"/>
        <rFont val="Arial"/>
        <family val="2"/>
      </rPr>
      <t>@</t>
    </r>
  </si>
  <si>
    <r>
      <t>1937-1964</t>
    </r>
    <r>
      <rPr>
        <vertAlign val="superscript"/>
        <sz val="10"/>
        <color theme="1"/>
        <rFont val="Arial"/>
        <family val="2"/>
      </rPr>
      <t>@</t>
    </r>
  </si>
  <si>
    <r>
      <t>1953-1975</t>
    </r>
    <r>
      <rPr>
        <vertAlign val="superscript"/>
        <sz val="10"/>
        <color theme="1"/>
        <rFont val="Arial"/>
        <family val="2"/>
      </rPr>
      <t>@</t>
    </r>
  </si>
  <si>
    <r>
      <t>1927-1979</t>
    </r>
    <r>
      <rPr>
        <vertAlign val="superscript"/>
        <sz val="10"/>
        <color theme="1"/>
        <rFont val="Arial"/>
        <family val="2"/>
      </rPr>
      <t>@</t>
    </r>
  </si>
  <si>
    <r>
      <t>1901-1971</t>
    </r>
    <r>
      <rPr>
        <vertAlign val="superscript"/>
        <sz val="10"/>
        <color theme="1"/>
        <rFont val="Arial"/>
        <family val="2"/>
      </rPr>
      <t>@</t>
    </r>
  </si>
  <si>
    <r>
      <t>1905-1945</t>
    </r>
    <r>
      <rPr>
        <vertAlign val="superscript"/>
        <sz val="10"/>
        <color theme="1"/>
        <rFont val="Arial"/>
        <family val="2"/>
      </rPr>
      <t>@</t>
    </r>
  </si>
  <si>
    <r>
      <t>1906-1974</t>
    </r>
    <r>
      <rPr>
        <vertAlign val="superscript"/>
        <sz val="10"/>
        <color theme="1"/>
        <rFont val="Arial"/>
        <family val="2"/>
      </rPr>
      <t>@</t>
    </r>
  </si>
  <si>
    <r>
      <t>1955-1979</t>
    </r>
    <r>
      <rPr>
        <vertAlign val="superscript"/>
        <sz val="10"/>
        <color theme="1"/>
        <rFont val="Arial"/>
        <family val="2"/>
      </rPr>
      <t>@</t>
    </r>
  </si>
  <si>
    <r>
      <t>1905-1970</t>
    </r>
    <r>
      <rPr>
        <vertAlign val="superscript"/>
        <sz val="10"/>
        <color theme="1"/>
        <rFont val="Arial"/>
        <family val="2"/>
      </rPr>
      <t>@</t>
    </r>
  </si>
  <si>
    <r>
      <t>1909-1956</t>
    </r>
    <r>
      <rPr>
        <vertAlign val="superscript"/>
        <sz val="10"/>
        <color theme="1"/>
        <rFont val="Arial"/>
        <family val="2"/>
      </rPr>
      <t>@</t>
    </r>
  </si>
  <si>
    <r>
      <t>1910-1975</t>
    </r>
    <r>
      <rPr>
        <vertAlign val="superscript"/>
        <sz val="10"/>
        <color theme="1"/>
        <rFont val="Arial"/>
        <family val="2"/>
      </rPr>
      <t>@</t>
    </r>
  </si>
  <si>
    <r>
      <t>1922-1975</t>
    </r>
    <r>
      <rPr>
        <vertAlign val="superscript"/>
        <sz val="10"/>
        <color theme="1"/>
        <rFont val="Arial"/>
        <family val="2"/>
      </rPr>
      <t>@</t>
    </r>
  </si>
  <si>
    <r>
      <t>1910-1973</t>
    </r>
    <r>
      <rPr>
        <vertAlign val="superscript"/>
        <sz val="10"/>
        <color theme="1"/>
        <rFont val="Arial"/>
        <family val="2"/>
      </rPr>
      <t>@</t>
    </r>
  </si>
  <si>
    <r>
      <t>1913-1953</t>
    </r>
    <r>
      <rPr>
        <vertAlign val="superscript"/>
        <sz val="10"/>
        <color theme="1"/>
        <rFont val="Arial"/>
        <family val="2"/>
      </rPr>
      <t>@</t>
    </r>
  </si>
  <si>
    <r>
      <t>1910-1979</t>
    </r>
    <r>
      <rPr>
        <vertAlign val="superscript"/>
        <sz val="10"/>
        <color theme="1"/>
        <rFont val="Arial"/>
        <family val="2"/>
      </rPr>
      <t>@</t>
    </r>
  </si>
  <si>
    <r>
      <t>1906-1971</t>
    </r>
    <r>
      <rPr>
        <vertAlign val="superscript"/>
        <sz val="10"/>
        <color theme="1"/>
        <rFont val="Arial"/>
        <family val="2"/>
      </rPr>
      <t>@</t>
    </r>
  </si>
  <si>
    <r>
      <t>1917-1981</t>
    </r>
    <r>
      <rPr>
        <vertAlign val="superscript"/>
        <sz val="10"/>
        <color theme="1"/>
        <rFont val="Arial"/>
        <family val="2"/>
      </rPr>
      <t>@</t>
    </r>
  </si>
  <si>
    <r>
      <t>1915-1981</t>
    </r>
    <r>
      <rPr>
        <vertAlign val="superscript"/>
        <sz val="10"/>
        <color theme="1"/>
        <rFont val="Arial"/>
        <family val="2"/>
      </rPr>
      <t>@</t>
    </r>
  </si>
  <si>
    <t>1967-1974</t>
  </si>
  <si>
    <r>
      <t>1898-1981</t>
    </r>
    <r>
      <rPr>
        <vertAlign val="superscript"/>
        <sz val="10"/>
        <color theme="1"/>
        <rFont val="Arial"/>
        <family val="2"/>
      </rPr>
      <t>@</t>
    </r>
  </si>
  <si>
    <t>Gunpowder (hard rock)</t>
  </si>
  <si>
    <t>1980-1982</t>
  </si>
  <si>
    <t>1970-1979</t>
  </si>
  <si>
    <t>Gunpowder (stope leaching)</t>
  </si>
  <si>
    <t>Dianne</t>
  </si>
  <si>
    <t>1980-1983</t>
  </si>
  <si>
    <t>Einasleigh</t>
  </si>
  <si>
    <r>
      <t>1901-1931</t>
    </r>
    <r>
      <rPr>
        <vertAlign val="superscript"/>
        <sz val="10"/>
        <color theme="1"/>
        <rFont val="Arial"/>
        <family val="2"/>
      </rPr>
      <t>@</t>
    </r>
  </si>
  <si>
    <t>Etheridge Field (CuAuAg)</t>
  </si>
  <si>
    <t>Etheridge-Dry Hash</t>
  </si>
  <si>
    <t>Etheridge-Mosquito Creek</t>
  </si>
  <si>
    <r>
      <t>1910-1939</t>
    </r>
    <r>
      <rPr>
        <vertAlign val="superscript"/>
        <sz val="10"/>
        <color theme="1"/>
        <rFont val="Arial"/>
        <family val="2"/>
      </rPr>
      <t>@</t>
    </r>
  </si>
  <si>
    <t>1909-1910</t>
  </si>
  <si>
    <t>Glassford Creek-Gladstone Miscellaneous</t>
  </si>
  <si>
    <r>
      <t>1903-1951</t>
    </r>
    <r>
      <rPr>
        <vertAlign val="superscript"/>
        <sz val="10"/>
        <color theme="1"/>
        <rFont val="Arial"/>
        <family val="2"/>
      </rPr>
      <t>@</t>
    </r>
  </si>
  <si>
    <t>Mount Garnet (PbZnAgCuAu)</t>
  </si>
  <si>
    <t>Mount Gordon-Capricorn</t>
  </si>
  <si>
    <t>2003-2020</t>
  </si>
  <si>
    <t>Thalanga (Cu)</t>
  </si>
  <si>
    <t>Thalanga (PbZnAgCuAu)</t>
  </si>
  <si>
    <r>
      <t>1990-2021</t>
    </r>
    <r>
      <rPr>
        <vertAlign val="superscript"/>
        <sz val="10"/>
        <color theme="1"/>
        <rFont val="Arial"/>
        <family val="2"/>
      </rPr>
      <t>@,#</t>
    </r>
  </si>
  <si>
    <t>1998-2012</t>
  </si>
  <si>
    <t>Mount Cuthbert</t>
  </si>
  <si>
    <t>1996-1998</t>
  </si>
  <si>
    <t>Great Australia</t>
  </si>
  <si>
    <r>
      <t>1996-2008</t>
    </r>
    <r>
      <rPr>
        <vertAlign val="superscript"/>
        <sz val="10"/>
        <color theme="1"/>
        <rFont val="Arial"/>
        <family val="2"/>
      </rPr>
      <t>@</t>
    </r>
  </si>
  <si>
    <t>Duck Creek</t>
  </si>
  <si>
    <t>Mount Norma</t>
  </si>
  <si>
    <r>
      <t>1998-2021</t>
    </r>
    <r>
      <rPr>
        <vertAlign val="superscript"/>
        <sz val="10"/>
        <color theme="1"/>
        <rFont val="Arial"/>
        <family val="2"/>
      </rPr>
      <t>@,#</t>
    </r>
  </si>
  <si>
    <t>1990-1998</t>
  </si>
  <si>
    <t>Gunpowder (stope &amp; heap leaching)</t>
  </si>
  <si>
    <t>Chillagoe Field (CuAuAg)</t>
  </si>
  <si>
    <t>Chillagoe Field (PbAg)</t>
  </si>
  <si>
    <t>1883-1939</t>
  </si>
  <si>
    <t>1889-1943</t>
  </si>
  <si>
    <t>Chillagoe Field (ZnPbAg)</t>
  </si>
  <si>
    <t>1924-1926</t>
  </si>
  <si>
    <t>Tritton</t>
  </si>
  <si>
    <t>Girilambone</t>
  </si>
  <si>
    <t>Girilambone (heap leach)</t>
  </si>
  <si>
    <r>
      <t>1913-1950</t>
    </r>
    <r>
      <rPr>
        <vertAlign val="superscript"/>
        <sz val="10"/>
        <color theme="1"/>
        <rFont val="Arial"/>
        <family val="2"/>
      </rPr>
      <t>@</t>
    </r>
  </si>
  <si>
    <t>1993-2002</t>
  </si>
  <si>
    <r>
      <t>2005-2021</t>
    </r>
    <r>
      <rPr>
        <vertAlign val="superscript"/>
        <sz val="10"/>
        <color theme="1"/>
        <rFont val="Arial"/>
        <family val="2"/>
      </rPr>
      <t>#</t>
    </r>
  </si>
  <si>
    <t>Nifty (heap leach &amp; mill)</t>
  </si>
  <si>
    <t>1993-2019</t>
  </si>
  <si>
    <t>Whim Creek (heap leach)</t>
  </si>
  <si>
    <t>2005-2009</t>
  </si>
  <si>
    <t>Tate-Tully</t>
  </si>
  <si>
    <r>
      <t>1896-1905</t>
    </r>
    <r>
      <rPr>
        <vertAlign val="superscript"/>
        <sz val="10"/>
        <color theme="1"/>
        <rFont val="Arial"/>
        <family val="2"/>
      </rPr>
      <t>@</t>
    </r>
  </si>
  <si>
    <t>Alluvial (prospecting)</t>
  </si>
  <si>
    <t>Philips River</t>
  </si>
  <si>
    <r>
      <t>1900-1971</t>
    </r>
    <r>
      <rPr>
        <vertAlign val="superscript"/>
        <sz val="10"/>
        <color theme="1"/>
        <rFont val="Arial"/>
        <family val="2"/>
      </rPr>
      <t>@</t>
    </r>
  </si>
  <si>
    <t>Murrin Murrin-Mount Malcolm</t>
  </si>
  <si>
    <t>1899-1908</t>
  </si>
  <si>
    <t>West Pilbara Field</t>
  </si>
  <si>
    <t>1898-1928</t>
  </si>
  <si>
    <t>NT Top End Miscellaneous</t>
  </si>
  <si>
    <r>
      <t>1886-1977</t>
    </r>
    <r>
      <rPr>
        <vertAlign val="superscript"/>
        <sz val="10"/>
        <color theme="1"/>
        <rFont val="Arial"/>
        <family val="2"/>
      </rPr>
      <t>@</t>
    </r>
  </si>
  <si>
    <t>Northampton Field (PbAg)</t>
  </si>
  <si>
    <r>
      <t>1850-1966</t>
    </r>
    <r>
      <rPr>
        <vertAlign val="superscript"/>
        <sz val="10"/>
        <color theme="1"/>
        <rFont val="Arial"/>
        <family val="2"/>
      </rPr>
      <t>@</t>
    </r>
  </si>
  <si>
    <t>Braeside Field</t>
  </si>
  <si>
    <r>
      <t>1915-1959</t>
    </r>
    <r>
      <rPr>
        <vertAlign val="superscript"/>
        <sz val="10"/>
        <color theme="1"/>
        <rFont val="Arial"/>
        <family val="2"/>
      </rPr>
      <t>@</t>
    </r>
  </si>
  <si>
    <t>Ashburton Field</t>
  </si>
  <si>
    <t>1948-1959</t>
  </si>
  <si>
    <t>Beltana (Pb)</t>
  </si>
  <si>
    <r>
      <t>1903-1908</t>
    </r>
    <r>
      <rPr>
        <vertAlign val="superscript"/>
        <sz val="10"/>
        <color theme="1"/>
        <rFont val="Arial"/>
        <family val="2"/>
      </rPr>
      <t>@</t>
    </r>
  </si>
  <si>
    <t>Beltana-Aroona Group (Zn)</t>
  </si>
  <si>
    <r>
      <t>1974-2007</t>
    </r>
    <r>
      <rPr>
        <vertAlign val="superscript"/>
        <sz val="10"/>
        <color theme="1"/>
        <rFont val="Arial"/>
        <family val="2"/>
      </rPr>
      <t>@</t>
    </r>
  </si>
  <si>
    <r>
      <t>1895-2021</t>
    </r>
    <r>
      <rPr>
        <vertAlign val="superscript"/>
        <sz val="10"/>
        <color theme="1"/>
        <rFont val="Arial"/>
        <family val="2"/>
      </rPr>
      <t>#</t>
    </r>
  </si>
  <si>
    <t>kt Cd</t>
  </si>
  <si>
    <t>Mount Farrell-North Mount Farrell</t>
  </si>
  <si>
    <t>1901-1964</t>
  </si>
  <si>
    <t>Zeehan-Montana</t>
  </si>
  <si>
    <r>
      <t>1893-1958</t>
    </r>
    <r>
      <rPr>
        <vertAlign val="superscript"/>
        <sz val="10"/>
        <color theme="1"/>
        <rFont val="Arial"/>
        <family val="2"/>
      </rPr>
      <t>@</t>
    </r>
  </si>
  <si>
    <t>Zeehan-Magnet</t>
  </si>
  <si>
    <r>
      <t>1899-1940</t>
    </r>
    <r>
      <rPr>
        <vertAlign val="superscript"/>
        <sz val="10"/>
        <color theme="1"/>
        <rFont val="Arial"/>
        <family val="2"/>
      </rPr>
      <t>@</t>
    </r>
  </si>
  <si>
    <t>Zeehan-Oceana</t>
  </si>
  <si>
    <t>Round Hill</t>
  </si>
  <si>
    <r>
      <t>1890-1961</t>
    </r>
    <r>
      <rPr>
        <vertAlign val="superscript"/>
        <sz val="10"/>
        <color theme="1"/>
        <rFont val="Arial"/>
        <family val="2"/>
      </rPr>
      <t>@</t>
    </r>
  </si>
  <si>
    <r>
      <t>1911-1951</t>
    </r>
    <r>
      <rPr>
        <vertAlign val="superscript"/>
        <sz val="10"/>
        <color theme="1"/>
        <rFont val="Arial"/>
        <family val="2"/>
      </rPr>
      <t>@</t>
    </r>
  </si>
  <si>
    <t>Zeehan Field (rest)</t>
  </si>
  <si>
    <r>
      <t>1884-1957</t>
    </r>
    <r>
      <rPr>
        <vertAlign val="superscript"/>
        <sz val="10"/>
        <color theme="1"/>
        <rFont val="Arial"/>
        <family val="2"/>
      </rPr>
      <t>@</t>
    </r>
  </si>
  <si>
    <r>
      <t>1913-1938</t>
    </r>
    <r>
      <rPr>
        <vertAlign val="superscript"/>
        <sz val="10"/>
        <color theme="1"/>
        <rFont val="Arial"/>
        <family val="2"/>
      </rPr>
      <t>@</t>
    </r>
  </si>
  <si>
    <t>Five Mile-CuNi (Zeehan Field)</t>
  </si>
  <si>
    <t>kt Sn</t>
  </si>
  <si>
    <t>Renison Bell</t>
  </si>
  <si>
    <t>%Sn</t>
  </si>
  <si>
    <t>Mount Bischoff Tailings</t>
  </si>
  <si>
    <r>
      <t>1929-1957</t>
    </r>
    <r>
      <rPr>
        <vertAlign val="superscript"/>
        <sz val="10"/>
        <color theme="1"/>
        <rFont val="Arial"/>
        <family val="2"/>
      </rPr>
      <t>@</t>
    </r>
  </si>
  <si>
    <r>
      <t>1904-1977</t>
    </r>
    <r>
      <rPr>
        <vertAlign val="superscript"/>
        <sz val="10"/>
        <color theme="1"/>
        <rFont val="Arial"/>
        <family val="2"/>
      </rPr>
      <t>@</t>
    </r>
  </si>
  <si>
    <t>Mount Bischoff-West Bischoff</t>
  </si>
  <si>
    <t>Cleveland-Luina</t>
  </si>
  <si>
    <r>
      <t>1909-1986</t>
    </r>
    <r>
      <rPr>
        <vertAlign val="superscript"/>
        <sz val="10"/>
        <color theme="1"/>
        <rFont val="Arial"/>
        <family val="2"/>
      </rPr>
      <t>@</t>
    </r>
  </si>
  <si>
    <r>
      <t>1909-2021</t>
    </r>
    <r>
      <rPr>
        <vertAlign val="superscript"/>
        <sz val="10"/>
        <color theme="1"/>
        <rFont val="Arial"/>
        <family val="2"/>
      </rPr>
      <t>@,#</t>
    </r>
  </si>
  <si>
    <t>Ardlethan</t>
  </si>
  <si>
    <t>1964-1986</t>
  </si>
  <si>
    <t>Victoria (Au-Sn dredging &amp; miscellaneous)</t>
  </si>
  <si>
    <r>
      <t>1854-1979</t>
    </r>
    <r>
      <rPr>
        <vertAlign val="superscript"/>
        <sz val="10"/>
        <color theme="1"/>
        <rFont val="Arial"/>
        <family val="2"/>
      </rPr>
      <t>@</t>
    </r>
  </si>
  <si>
    <t>Anchor</t>
  </si>
  <si>
    <t>Storey's Creek</t>
  </si>
  <si>
    <t>King Island</t>
  </si>
  <si>
    <t>Mount Bischoff - Alluvial &amp; Tributers</t>
  </si>
  <si>
    <t>Northern Territory (miscellaneous)</t>
  </si>
  <si>
    <t>1846-1987</t>
  </si>
  <si>
    <t>Kara</t>
  </si>
  <si>
    <r>
      <t>%WO</t>
    </r>
    <r>
      <rPr>
        <vertAlign val="subscript"/>
        <sz val="10"/>
        <color theme="1"/>
        <rFont val="Arial"/>
        <family val="2"/>
      </rPr>
      <t>3</t>
    </r>
  </si>
  <si>
    <t>1912-1979</t>
  </si>
  <si>
    <r>
      <t>kt WO</t>
    </r>
    <r>
      <rPr>
        <vertAlign val="subscript"/>
        <sz val="10"/>
        <color theme="1"/>
        <rFont val="Arial"/>
        <family val="2"/>
      </rPr>
      <t>3</t>
    </r>
  </si>
  <si>
    <t>Royal George</t>
  </si>
  <si>
    <r>
      <t>1913-1934</t>
    </r>
    <r>
      <rPr>
        <vertAlign val="superscript"/>
        <sz val="10"/>
        <color theme="1"/>
        <rFont val="Arial"/>
        <family val="2"/>
      </rPr>
      <t>@</t>
    </r>
  </si>
  <si>
    <t>Dreadnought / Boulder</t>
  </si>
  <si>
    <t>Razorback</t>
  </si>
  <si>
    <t>1978-1984</t>
  </si>
  <si>
    <t>Loloma-Loudan</t>
  </si>
  <si>
    <r>
      <t>1973-1982</t>
    </r>
    <r>
      <rPr>
        <vertAlign val="superscript"/>
        <sz val="10"/>
        <color theme="1"/>
        <rFont val="Arial"/>
        <family val="2"/>
      </rPr>
      <t>@</t>
    </r>
  </si>
  <si>
    <t>Tommy Burns</t>
  </si>
  <si>
    <t>United North Australia</t>
  </si>
  <si>
    <r>
      <t>1917-1991</t>
    </r>
    <r>
      <rPr>
        <vertAlign val="superscript"/>
        <sz val="10"/>
        <color theme="1"/>
        <rFont val="Arial"/>
        <family val="2"/>
      </rPr>
      <t>@</t>
    </r>
  </si>
  <si>
    <t>%Mo</t>
  </si>
  <si>
    <t>kt Mo</t>
  </si>
  <si>
    <t>1975-1978</t>
  </si>
  <si>
    <r>
      <t>1909-1939</t>
    </r>
    <r>
      <rPr>
        <vertAlign val="superscript"/>
        <sz val="10"/>
        <color theme="1"/>
        <rFont val="Arial"/>
        <family val="2"/>
      </rPr>
      <t>@</t>
    </r>
  </si>
  <si>
    <t>Rossarden</t>
  </si>
  <si>
    <t>1928-1982</t>
  </si>
  <si>
    <t>Wolfram / Scheelite</t>
  </si>
  <si>
    <t>Oakleigh Creek</t>
  </si>
  <si>
    <t>Iron Ore</t>
  </si>
  <si>
    <t>Blinman</t>
  </si>
  <si>
    <t>1862-1918</t>
  </si>
  <si>
    <t>Burra Burra (1800s)</t>
  </si>
  <si>
    <t>1845-1877</t>
  </si>
  <si>
    <t>Peak Downs (Cu)</t>
  </si>
  <si>
    <t>1863-1877</t>
  </si>
  <si>
    <t>Savage River</t>
  </si>
  <si>
    <t>Mount Weld</t>
  </si>
  <si>
    <r>
      <t>1968-2021</t>
    </r>
    <r>
      <rPr>
        <vertAlign val="superscript"/>
        <sz val="10"/>
        <color theme="1"/>
        <rFont val="Arial"/>
        <family val="2"/>
      </rPr>
      <t>#</t>
    </r>
  </si>
  <si>
    <t>Middleback Ranges (hematite)</t>
  </si>
  <si>
    <t>Middleback Ranges (magnetite)</t>
  </si>
  <si>
    <r>
      <t>1901-2021</t>
    </r>
    <r>
      <rPr>
        <vertAlign val="superscript"/>
        <sz val="10"/>
        <color theme="1"/>
        <rFont val="Arial"/>
        <family val="2"/>
      </rPr>
      <t>#</t>
    </r>
  </si>
  <si>
    <r>
      <t>2007-2021</t>
    </r>
    <r>
      <rPr>
        <vertAlign val="superscript"/>
        <sz val="10"/>
        <color theme="1"/>
        <rFont val="Arial"/>
        <family val="2"/>
      </rPr>
      <t>#</t>
    </r>
  </si>
  <si>
    <t>Mount Carbine</t>
  </si>
  <si>
    <t>Koorboora Battery</t>
  </si>
  <si>
    <t>1904-1908</t>
  </si>
  <si>
    <t>t Mo conc</t>
  </si>
  <si>
    <t>Kangaroo Hills Field</t>
  </si>
  <si>
    <r>
      <t>1942-1952</t>
    </r>
    <r>
      <rPr>
        <vertAlign val="superscript"/>
        <sz val="10"/>
        <color theme="1"/>
        <rFont val="Arial"/>
        <family val="2"/>
      </rPr>
      <t>@</t>
    </r>
  </si>
  <si>
    <r>
      <t>1906-1967</t>
    </r>
    <r>
      <rPr>
        <vertAlign val="superscript"/>
        <sz val="10"/>
        <color theme="1"/>
        <rFont val="Arial"/>
        <family val="2"/>
      </rPr>
      <t>@</t>
    </r>
  </si>
  <si>
    <t>Mount Perseverance</t>
  </si>
  <si>
    <t>Hand-Picked Wolfram</t>
  </si>
  <si>
    <r>
      <t>1951-1961</t>
    </r>
    <r>
      <rPr>
        <vertAlign val="superscript"/>
        <sz val="10"/>
        <color theme="1"/>
        <rFont val="Arial"/>
        <family val="2"/>
      </rPr>
      <t>@</t>
    </r>
  </si>
  <si>
    <r>
      <t>1916-1948</t>
    </r>
    <r>
      <rPr>
        <vertAlign val="superscript"/>
        <sz val="10"/>
        <color theme="1"/>
        <rFont val="Arial"/>
        <family val="2"/>
      </rPr>
      <t>@</t>
    </r>
  </si>
  <si>
    <r>
      <t>1910-1961</t>
    </r>
    <r>
      <rPr>
        <vertAlign val="superscript"/>
        <sz val="10"/>
        <color theme="1"/>
        <rFont val="Arial"/>
        <family val="2"/>
      </rPr>
      <t>@</t>
    </r>
  </si>
  <si>
    <t>1972-1987</t>
  </si>
  <si>
    <t>1975-1981</t>
  </si>
  <si>
    <t>Bamford Hill (alluvial)</t>
  </si>
  <si>
    <t>1979-1981</t>
  </si>
  <si>
    <t>Benambra (wolfram)</t>
  </si>
  <si>
    <r>
      <t>1908-1920</t>
    </r>
    <r>
      <rPr>
        <vertAlign val="superscript"/>
        <sz val="10"/>
        <color theme="1"/>
        <rFont val="Arial"/>
        <family val="2"/>
      </rPr>
      <t>@</t>
    </r>
  </si>
  <si>
    <t>Callawonga Creek (Queen Mary)</t>
  </si>
  <si>
    <t>1911-1918</t>
  </si>
  <si>
    <r>
      <t>1909-1961</t>
    </r>
    <r>
      <rPr>
        <vertAlign val="superscript"/>
        <sz val="10"/>
        <color theme="1"/>
        <rFont val="Arial"/>
        <family val="2"/>
      </rPr>
      <t>@</t>
    </r>
  </si>
  <si>
    <t>1969-1972</t>
  </si>
  <si>
    <r>
      <t>2009-2016</t>
    </r>
    <r>
      <rPr>
        <vertAlign val="superscript"/>
        <sz val="10"/>
        <color theme="1"/>
        <rFont val="Arial"/>
        <family val="2"/>
      </rPr>
      <t>@</t>
    </r>
  </si>
  <si>
    <t>Tin Oxide (Lode)</t>
  </si>
  <si>
    <t>Tin Oxide (Alluvial)</t>
  </si>
  <si>
    <t>Loloma</t>
  </si>
  <si>
    <t>1972-1980</t>
  </si>
  <si>
    <t>1977-1978</t>
  </si>
  <si>
    <t>Loloma tailings</t>
  </si>
  <si>
    <t>1977-1981</t>
  </si>
  <si>
    <t>Irvinebank State Battery Tailings</t>
  </si>
  <si>
    <r>
      <t>1900-1949</t>
    </r>
    <r>
      <rPr>
        <vertAlign val="superscript"/>
        <sz val="10"/>
        <color theme="1"/>
        <rFont val="Arial"/>
        <family val="2"/>
      </rPr>
      <t>@</t>
    </r>
  </si>
  <si>
    <t>1893-1996</t>
  </si>
  <si>
    <t>Shepherd &amp; Murphy</t>
  </si>
  <si>
    <r>
      <t>1906-1935</t>
    </r>
    <r>
      <rPr>
        <vertAlign val="superscript"/>
        <sz val="10"/>
        <color theme="1"/>
        <rFont val="Arial"/>
        <family val="2"/>
      </rPr>
      <t>@</t>
    </r>
  </si>
  <si>
    <t>t Bi</t>
  </si>
  <si>
    <r>
      <t>1889-2008</t>
    </r>
    <r>
      <rPr>
        <vertAlign val="superscript"/>
        <sz val="10"/>
        <color theme="1"/>
        <rFont val="Arial"/>
        <family val="2"/>
      </rPr>
      <t>#</t>
    </r>
  </si>
  <si>
    <t>Herberton Field (wolfram) Miscellaneous</t>
  </si>
  <si>
    <t>Robe River-Pannawonica</t>
  </si>
  <si>
    <r>
      <t>1972-2021</t>
    </r>
    <r>
      <rPr>
        <vertAlign val="superscript"/>
        <sz val="10"/>
        <color theme="1"/>
        <rFont val="Arial"/>
        <family val="2"/>
      </rPr>
      <t>#</t>
    </r>
  </si>
  <si>
    <t>Robe River-West Angelas</t>
  </si>
  <si>
    <t>Hamersley Iron-Eastern Range</t>
  </si>
  <si>
    <t>2004-2013</t>
  </si>
  <si>
    <t>Hope Downs</t>
  </si>
  <si>
    <t>Wundowie</t>
  </si>
  <si>
    <t>1948-1955</t>
  </si>
  <si>
    <t>Robe River-Pellets</t>
  </si>
  <si>
    <t>1973-1979</t>
  </si>
  <si>
    <t>Hamersley Iron-Pellets</t>
  </si>
  <si>
    <t>1968-1980</t>
  </si>
  <si>
    <t>Koolyanobbing (1950s-70s)</t>
  </si>
  <si>
    <t>Koolanooka</t>
  </si>
  <si>
    <t>1966-1974</t>
  </si>
  <si>
    <t>1950-1983</t>
  </si>
  <si>
    <t>2009-2020</t>
  </si>
  <si>
    <t>Extension Hill</t>
  </si>
  <si>
    <t>Shine</t>
  </si>
  <si>
    <t>Tallering Peak</t>
  </si>
  <si>
    <t>2004-2017</t>
  </si>
  <si>
    <t>Koolan Island (2000s)</t>
  </si>
  <si>
    <t>Koolan Island (1960s-70s)</t>
  </si>
  <si>
    <t>Cockatoo Island (1950s-70s)</t>
  </si>
  <si>
    <t>1951-1980</t>
  </si>
  <si>
    <t>1965-1983</t>
  </si>
  <si>
    <t>1984-1994</t>
  </si>
  <si>
    <t>Koolan Island-Cockatoo Island (1980s-90s)</t>
  </si>
  <si>
    <t>Hamersley Iron Group</t>
  </si>
  <si>
    <r>
      <t>1966-2021</t>
    </r>
    <r>
      <rPr>
        <vertAlign val="superscript"/>
        <sz val="10"/>
        <color theme="1"/>
        <rFont val="Arial"/>
        <family val="2"/>
      </rPr>
      <t>#</t>
    </r>
  </si>
  <si>
    <t>Channar</t>
  </si>
  <si>
    <t>Koolyanobbing (modern)</t>
  </si>
  <si>
    <r>
      <t>1994-2021</t>
    </r>
    <r>
      <rPr>
        <vertAlign val="superscript"/>
        <sz val="10"/>
        <color theme="1"/>
        <rFont val="Arial"/>
        <family val="2"/>
      </rPr>
      <t>#</t>
    </r>
  </si>
  <si>
    <t>Groote Eylandt</t>
  </si>
  <si>
    <t>Woodie Woodie</t>
  </si>
  <si>
    <t>Bootu Creek</t>
  </si>
  <si>
    <t>Iron Valley-Wonmunna (Utah Point Hub)</t>
  </si>
  <si>
    <t>Phil's Creek</t>
  </si>
  <si>
    <t>Spinifex Ridge</t>
  </si>
  <si>
    <t>Poondano</t>
  </si>
  <si>
    <t>Carina-J4</t>
  </si>
  <si>
    <t>2011-2018</t>
  </si>
  <si>
    <r>
      <t>2003-2021</t>
    </r>
    <r>
      <rPr>
        <vertAlign val="superscript"/>
        <sz val="10"/>
        <color theme="1"/>
        <rFont val="Arial"/>
        <family val="2"/>
      </rPr>
      <t>#</t>
    </r>
  </si>
  <si>
    <t>Mount Newman / Whaleback Group</t>
  </si>
  <si>
    <r>
      <t>1969-2021</t>
    </r>
    <r>
      <rPr>
        <vertAlign val="superscript"/>
        <sz val="10"/>
        <color theme="1"/>
        <rFont val="Arial"/>
        <family val="2"/>
      </rPr>
      <t>#</t>
    </r>
  </si>
  <si>
    <t>Wheelarra</t>
  </si>
  <si>
    <t>2014-2019</t>
  </si>
  <si>
    <t>Mount Goldsworthy Group</t>
  </si>
  <si>
    <t>1966-2013</t>
  </si>
  <si>
    <t>Yandi Joint Venture</t>
  </si>
  <si>
    <t>Jimblebar Group</t>
  </si>
  <si>
    <t>Area C Joint Venture</t>
  </si>
  <si>
    <t>Fortescue Metals Group</t>
  </si>
  <si>
    <r>
      <t>2008-2021</t>
    </r>
    <r>
      <rPr>
        <vertAlign val="superscript"/>
        <sz val="10"/>
        <color theme="1"/>
        <rFont val="Arial"/>
        <family val="2"/>
      </rPr>
      <t>#</t>
    </r>
  </si>
  <si>
    <t>Roy Hill</t>
  </si>
  <si>
    <t>Pardoo (Atlas)</t>
  </si>
  <si>
    <t>Abydos</t>
  </si>
  <si>
    <t>Mount Webber</t>
  </si>
  <si>
    <t>Mount Dove</t>
  </si>
  <si>
    <t>Wodgina (Fe ore)</t>
  </si>
  <si>
    <t>2008-2014</t>
  </si>
  <si>
    <t>2013-2017</t>
  </si>
  <si>
    <r>
      <t>2014-2018</t>
    </r>
    <r>
      <rPr>
        <vertAlign val="superscript"/>
        <sz val="10"/>
        <color theme="1"/>
        <rFont val="Arial"/>
        <family val="2"/>
      </rPr>
      <t>#</t>
    </r>
  </si>
  <si>
    <t>2010-2017</t>
  </si>
  <si>
    <t>Ridges</t>
  </si>
  <si>
    <t>2011-2015</t>
  </si>
  <si>
    <t>%Mn</t>
  </si>
  <si>
    <t>Coobina</t>
  </si>
  <si>
    <r>
      <t>1955-2021</t>
    </r>
    <r>
      <rPr>
        <vertAlign val="superscript"/>
        <sz val="10"/>
        <color theme="1"/>
        <rFont val="Arial"/>
        <family val="2"/>
      </rPr>
      <t>#</t>
    </r>
  </si>
  <si>
    <t>1996-2013</t>
  </si>
  <si>
    <r>
      <t>%Cr</t>
    </r>
    <r>
      <rPr>
        <vertAlign val="subscript"/>
        <sz val="10"/>
        <color theme="1"/>
        <rFont val="Arial"/>
        <family val="2"/>
      </rPr>
      <t>2</t>
    </r>
    <r>
      <rPr>
        <sz val="10"/>
        <color theme="1"/>
        <rFont val="Arial"/>
        <family val="2"/>
      </rPr>
      <t>O</t>
    </r>
    <r>
      <rPr>
        <vertAlign val="subscript"/>
        <sz val="10"/>
        <color theme="1"/>
        <rFont val="Arial"/>
        <family val="2"/>
      </rPr>
      <t>3</t>
    </r>
  </si>
  <si>
    <t>chromite conc</t>
  </si>
  <si>
    <t>Australia</t>
  </si>
  <si>
    <t>$/kg Au</t>
  </si>
  <si>
    <t>Gold</t>
  </si>
  <si>
    <t>Silver</t>
  </si>
  <si>
    <t>kg Ag</t>
  </si>
  <si>
    <t>$/kg Ag</t>
  </si>
  <si>
    <t>t bauxite</t>
  </si>
  <si>
    <t>$/t bauxite</t>
  </si>
  <si>
    <t>Bauxite</t>
  </si>
  <si>
    <r>
      <t>%Al</t>
    </r>
    <r>
      <rPr>
        <vertAlign val="subscript"/>
        <sz val="10"/>
        <color theme="1"/>
        <rFont val="Arial"/>
        <family val="2"/>
      </rPr>
      <t>2</t>
    </r>
    <r>
      <rPr>
        <sz val="10"/>
        <color theme="1"/>
        <rFont val="Arial"/>
        <family val="2"/>
      </rPr>
      <t>O</t>
    </r>
    <r>
      <rPr>
        <vertAlign val="subscript"/>
        <sz val="10"/>
        <color theme="1"/>
        <rFont val="Arial"/>
        <family val="2"/>
      </rPr>
      <t>3</t>
    </r>
  </si>
  <si>
    <t>Alumina</t>
  </si>
  <si>
    <t>t alumina</t>
  </si>
  <si>
    <t>$/t alumina</t>
  </si>
  <si>
    <t>Black Coal</t>
  </si>
  <si>
    <t>t raw coal</t>
  </si>
  <si>
    <t>$/t coal</t>
  </si>
  <si>
    <t>Brown Coal</t>
  </si>
  <si>
    <t>t brown coal</t>
  </si>
  <si>
    <t>$/t brown coal</t>
  </si>
  <si>
    <t>Cobalt</t>
  </si>
  <si>
    <t>t Co</t>
  </si>
  <si>
    <t>$/t Co</t>
  </si>
  <si>
    <t>Copper</t>
  </si>
  <si>
    <t>t Cu</t>
  </si>
  <si>
    <t>$/t Cu</t>
  </si>
  <si>
    <t>carats</t>
  </si>
  <si>
    <t>Diamonds</t>
  </si>
  <si>
    <t>$/carat</t>
  </si>
  <si>
    <t>Frances Creek</t>
  </si>
  <si>
    <t>Roper River</t>
  </si>
  <si>
    <r>
      <t>1967-2014</t>
    </r>
    <r>
      <rPr>
        <vertAlign val="superscript"/>
        <sz val="10"/>
        <color theme="1"/>
        <rFont val="Arial"/>
        <family val="2"/>
      </rPr>
      <t>@</t>
    </r>
  </si>
  <si>
    <r>
      <t>2012-2021</t>
    </r>
    <r>
      <rPr>
        <vertAlign val="superscript"/>
        <sz val="10"/>
        <color theme="1"/>
        <rFont val="Arial"/>
        <family val="2"/>
      </rPr>
      <t>@,#</t>
    </r>
  </si>
  <si>
    <t>t Fe ore</t>
  </si>
  <si>
    <t>$/t Fe ore</t>
  </si>
  <si>
    <t>t Ni</t>
  </si>
  <si>
    <t>$/t Ni</t>
  </si>
  <si>
    <t>Nickel</t>
  </si>
  <si>
    <t>t Pb</t>
  </si>
  <si>
    <t>$/t Pb</t>
  </si>
  <si>
    <t>Lead</t>
  </si>
  <si>
    <t>t Zn</t>
  </si>
  <si>
    <t>t Sn</t>
  </si>
  <si>
    <t>$/t Zn</t>
  </si>
  <si>
    <t>Zinc</t>
  </si>
  <si>
    <t>Tin</t>
  </si>
  <si>
    <t>$/t Sn</t>
  </si>
  <si>
    <t>Uranium</t>
  </si>
  <si>
    <r>
      <t>$/t U</t>
    </r>
    <r>
      <rPr>
        <vertAlign val="subscript"/>
        <sz val="10"/>
        <color theme="1"/>
        <rFont val="Arial"/>
        <family val="2"/>
      </rPr>
      <t>3</t>
    </r>
    <r>
      <rPr>
        <sz val="10"/>
        <color theme="1"/>
        <rFont val="Arial"/>
        <family val="2"/>
      </rPr>
      <t>O</t>
    </r>
    <r>
      <rPr>
        <vertAlign val="subscript"/>
        <sz val="10"/>
        <color theme="1"/>
        <rFont val="Arial"/>
        <family val="2"/>
      </rPr>
      <t>8</t>
    </r>
  </si>
  <si>
    <r>
      <t>t U</t>
    </r>
    <r>
      <rPr>
        <vertAlign val="subscript"/>
        <sz val="10"/>
        <color theme="1"/>
        <rFont val="Arial"/>
        <family val="2"/>
      </rPr>
      <t>3</t>
    </r>
    <r>
      <rPr>
        <sz val="10"/>
        <color theme="1"/>
        <rFont val="Arial"/>
        <family val="2"/>
      </rPr>
      <t>O</t>
    </r>
    <r>
      <rPr>
        <vertAlign val="subscript"/>
        <sz val="10"/>
        <color theme="1"/>
        <rFont val="Arial"/>
        <family val="2"/>
      </rPr>
      <t>8</t>
    </r>
  </si>
  <si>
    <t>Argyle</t>
  </si>
  <si>
    <t>Merlin</t>
  </si>
  <si>
    <t>1979-2020</t>
  </si>
  <si>
    <t>Mcarats</t>
  </si>
  <si>
    <t>Ellendale</t>
  </si>
  <si>
    <t>Bow River</t>
  </si>
  <si>
    <t>carats/t</t>
  </si>
  <si>
    <r>
      <t>1999-2010</t>
    </r>
    <r>
      <rPr>
        <vertAlign val="superscript"/>
        <sz val="10"/>
        <color theme="1"/>
        <rFont val="Arial"/>
        <family val="2"/>
      </rPr>
      <t>@</t>
    </r>
  </si>
  <si>
    <r>
      <t>1999-2015</t>
    </r>
    <r>
      <rPr>
        <vertAlign val="superscript"/>
        <sz val="10"/>
        <color theme="1"/>
        <rFont val="Arial"/>
        <family val="2"/>
      </rPr>
      <t>@</t>
    </r>
  </si>
  <si>
    <t>Bow River Tailings</t>
  </si>
  <si>
    <t>1991-1995</t>
  </si>
  <si>
    <t>Total</t>
  </si>
  <si>
    <t>%</t>
  </si>
  <si>
    <t>t Ni imported ores</t>
  </si>
  <si>
    <t>Imported Ores</t>
  </si>
  <si>
    <t>Gallium</t>
  </si>
  <si>
    <t>t Ga</t>
  </si>
  <si>
    <t>$/t Ga</t>
  </si>
  <si>
    <t>Vanadium</t>
  </si>
  <si>
    <t>t V</t>
  </si>
  <si>
    <t>$/t V</t>
  </si>
  <si>
    <t>Antimony</t>
  </si>
  <si>
    <t>t Sb</t>
  </si>
  <si>
    <t>$/t Sb</t>
  </si>
  <si>
    <t>Chromium</t>
  </si>
  <si>
    <t>t graphite</t>
  </si>
  <si>
    <t>$/t graphite</t>
  </si>
  <si>
    <t>t Li</t>
  </si>
  <si>
    <t>$/t Li</t>
  </si>
  <si>
    <t>t Mo</t>
  </si>
  <si>
    <t>$/t Mo</t>
  </si>
  <si>
    <t>$/t rock</t>
  </si>
  <si>
    <t>t phosphate rock</t>
  </si>
  <si>
    <t>Christmas</t>
  </si>
  <si>
    <t>Island</t>
  </si>
  <si>
    <t>Christmas Island</t>
  </si>
  <si>
    <r>
      <t>1998-2021</t>
    </r>
    <r>
      <rPr>
        <vertAlign val="superscript"/>
        <sz val="10"/>
        <color theme="1"/>
        <rFont val="Arial"/>
        <family val="2"/>
      </rPr>
      <t>#</t>
    </r>
  </si>
  <si>
    <t>Federal</t>
  </si>
  <si>
    <t>Phosphate Hill (QLD)</t>
  </si>
  <si>
    <t>Phosphate Hill (VIC)</t>
  </si>
  <si>
    <r>
      <t>Mt PO</t>
    </r>
    <r>
      <rPr>
        <vertAlign val="subscript"/>
        <sz val="10"/>
        <color theme="1"/>
        <rFont val="Arial"/>
        <family val="2"/>
      </rPr>
      <t>4</t>
    </r>
    <r>
      <rPr>
        <sz val="10"/>
        <color theme="1"/>
        <rFont val="Arial"/>
        <family val="2"/>
      </rPr>
      <t xml:space="preserve"> rock</t>
    </r>
  </si>
  <si>
    <t>1916-1926</t>
  </si>
  <si>
    <t>kg osmiridium</t>
  </si>
  <si>
    <t>kg PGEs</t>
  </si>
  <si>
    <t>Rh</t>
  </si>
  <si>
    <t>Ru</t>
  </si>
  <si>
    <t>Ir</t>
  </si>
  <si>
    <t>kg Pt</t>
  </si>
  <si>
    <t>kg Rh</t>
  </si>
  <si>
    <t>kg Ru</t>
  </si>
  <si>
    <t>kg Ir</t>
  </si>
  <si>
    <t>Os</t>
  </si>
  <si>
    <t>Placer Osmiridium</t>
  </si>
  <si>
    <t>Placer Platinum Group Elements (PGEs)</t>
  </si>
  <si>
    <t>kg Pd</t>
  </si>
  <si>
    <t>Platinum Group Elements by Individual Element</t>
  </si>
  <si>
    <t>t REO</t>
  </si>
  <si>
    <t>$/t REO</t>
  </si>
  <si>
    <t>t W</t>
  </si>
  <si>
    <t>$/t W</t>
  </si>
  <si>
    <t>Hazelwood (Morwell)</t>
  </si>
  <si>
    <t>Loy Yang</t>
  </si>
  <si>
    <t>Yallourn Field</t>
  </si>
  <si>
    <t>Tartana</t>
  </si>
  <si>
    <t>2010-2014</t>
  </si>
  <si>
    <t>Graphite</t>
  </si>
  <si>
    <t>Lithium</t>
  </si>
  <si>
    <t>Molybdenum</t>
  </si>
  <si>
    <t>Phosphate Rock</t>
  </si>
  <si>
    <t>PGEs from Nickel Sulphides</t>
  </si>
  <si>
    <t>Rare Earths</t>
  </si>
  <si>
    <t>Tungsten</t>
  </si>
  <si>
    <t>Tantalum</t>
  </si>
  <si>
    <t>t Ta</t>
  </si>
  <si>
    <t>t Nb</t>
  </si>
  <si>
    <t>Niobium</t>
  </si>
  <si>
    <t>$/t Ta</t>
  </si>
  <si>
    <t>1956-2017</t>
  </si>
  <si>
    <r>
      <t>1984-2021</t>
    </r>
    <r>
      <rPr>
        <vertAlign val="superscript"/>
        <sz val="10"/>
        <color theme="1"/>
        <rFont val="Arial"/>
        <family val="2"/>
      </rPr>
      <t>#</t>
    </r>
  </si>
  <si>
    <t>Mt brown coal</t>
  </si>
  <si>
    <r>
      <t>1924-2021</t>
    </r>
    <r>
      <rPr>
        <vertAlign val="superscript"/>
        <sz val="10"/>
        <color theme="1"/>
        <rFont val="Arial"/>
        <family val="2"/>
      </rPr>
      <t>#</t>
    </r>
  </si>
  <si>
    <t>Maddingley</t>
  </si>
  <si>
    <t>Anglesea</t>
  </si>
  <si>
    <t>1959-2014</t>
  </si>
  <si>
    <r>
      <t>1945-2021</t>
    </r>
    <r>
      <rPr>
        <vertAlign val="superscript"/>
        <sz val="10"/>
        <color theme="1"/>
        <rFont val="Arial"/>
        <family val="2"/>
      </rPr>
      <t>#</t>
    </r>
  </si>
  <si>
    <t>Star Collieries</t>
  </si>
  <si>
    <t>1946-1978</t>
  </si>
  <si>
    <t>Lucifer Colliery</t>
  </si>
  <si>
    <t>1946-1952</t>
  </si>
  <si>
    <t>Bacchus Marsh Miscellaneous</t>
  </si>
  <si>
    <t>Otways (Benwrrin, Wensley, Globrite)</t>
  </si>
  <si>
    <t>Mt Mn conc</t>
  </si>
  <si>
    <t>Victorian Osmiridium</t>
  </si>
  <si>
    <t>Tasmanian Osmiridium</t>
  </si>
  <si>
    <r>
      <t>1901-1959</t>
    </r>
    <r>
      <rPr>
        <vertAlign val="superscript"/>
        <sz val="10"/>
        <color theme="1"/>
        <rFont val="Arial"/>
        <family val="2"/>
      </rPr>
      <t>@</t>
    </r>
  </si>
  <si>
    <r>
      <t>1949-1965</t>
    </r>
    <r>
      <rPr>
        <vertAlign val="superscript"/>
        <sz val="10"/>
        <color theme="1"/>
        <rFont val="Arial"/>
        <family val="2"/>
      </rPr>
      <t>@</t>
    </r>
  </si>
  <si>
    <t>Latrobe Valley Miscellaneous</t>
  </si>
  <si>
    <r>
      <t>1864-1949</t>
    </r>
    <r>
      <rPr>
        <vertAlign val="superscript"/>
        <sz val="10"/>
        <color theme="1"/>
        <rFont val="Arial"/>
        <family val="2"/>
      </rPr>
      <t>@</t>
    </r>
  </si>
  <si>
    <t>New South Wales Placer Platinum</t>
  </si>
  <si>
    <r>
      <t>1894-1966</t>
    </r>
    <r>
      <rPr>
        <vertAlign val="superscript"/>
        <sz val="10"/>
        <color theme="1"/>
        <rFont val="Arial"/>
        <family val="2"/>
      </rPr>
      <t>@</t>
    </r>
  </si>
  <si>
    <r>
      <t>1911-1913</t>
    </r>
    <r>
      <rPr>
        <vertAlign val="superscript"/>
        <sz val="10"/>
        <color theme="1"/>
        <rFont val="Arial"/>
        <family val="2"/>
      </rPr>
      <t>@</t>
    </r>
  </si>
  <si>
    <t>1910-1959</t>
  </si>
  <si>
    <t>Risdon</t>
  </si>
  <si>
    <t>t Sb (metal)</t>
  </si>
  <si>
    <t>t Sb (slag)</t>
  </si>
  <si>
    <t>Gibsonvale-Kikoira (alluvial)</t>
  </si>
  <si>
    <t>1939-1974</t>
  </si>
  <si>
    <t>Maranboy</t>
  </si>
  <si>
    <t>Mount Wells</t>
  </si>
  <si>
    <r>
      <t>1879-1929</t>
    </r>
    <r>
      <rPr>
        <vertAlign val="superscript"/>
        <sz val="10"/>
        <color theme="1"/>
        <rFont val="Arial"/>
        <family val="2"/>
      </rPr>
      <t>@</t>
    </r>
  </si>
  <si>
    <r>
      <t>1913-1952</t>
    </r>
    <r>
      <rPr>
        <vertAlign val="superscript"/>
        <sz val="10"/>
        <color theme="1"/>
        <rFont val="Arial"/>
        <family val="2"/>
      </rPr>
      <t>@</t>
    </r>
  </si>
  <si>
    <t>t Cd</t>
  </si>
  <si>
    <t>Cadmium</t>
  </si>
  <si>
    <t>Manganese</t>
  </si>
  <si>
    <t>t Mn conc</t>
  </si>
  <si>
    <t>$/t Mn conc</t>
  </si>
  <si>
    <t>Cockle Creek</t>
  </si>
  <si>
    <t>t garnet</t>
  </si>
  <si>
    <t>$/t garnet</t>
  </si>
  <si>
    <t>ABARE</t>
  </si>
  <si>
    <t>t ilmenite</t>
  </si>
  <si>
    <r>
      <t>%TiO</t>
    </r>
    <r>
      <rPr>
        <vertAlign val="subscript"/>
        <sz val="10"/>
        <color theme="1"/>
        <rFont val="Arial"/>
        <family val="2"/>
      </rPr>
      <t>2</t>
    </r>
  </si>
  <si>
    <t>$/t ilmenite</t>
  </si>
  <si>
    <t>`</t>
  </si>
  <si>
    <t>t leucoxene</t>
  </si>
  <si>
    <t>$/t leucoxene</t>
  </si>
  <si>
    <t>t rutile</t>
  </si>
  <si>
    <t>$/t rutile</t>
  </si>
  <si>
    <t>YEAR</t>
  </si>
  <si>
    <t>t synthetic rutile</t>
  </si>
  <si>
    <t>$/t synthetic rutile</t>
  </si>
  <si>
    <t>t zircon</t>
  </si>
  <si>
    <r>
      <t>%ZrO</t>
    </r>
    <r>
      <rPr>
        <vertAlign val="subscript"/>
        <sz val="10"/>
        <color theme="1"/>
        <rFont val="Arial"/>
        <family val="2"/>
      </rPr>
      <t>2</t>
    </r>
  </si>
  <si>
    <t>$/t zircon</t>
  </si>
  <si>
    <t>%monazite</t>
  </si>
  <si>
    <r>
      <t>%ThO</t>
    </r>
    <r>
      <rPr>
        <vertAlign val="subscript"/>
        <sz val="10"/>
        <color theme="1"/>
        <rFont val="Arial"/>
        <family val="2"/>
      </rPr>
      <t>2</t>
    </r>
  </si>
  <si>
    <t>t monazite</t>
  </si>
  <si>
    <t>$/t monazite</t>
  </si>
  <si>
    <t>t xenotime</t>
  </si>
  <si>
    <t>$/t xenotime</t>
  </si>
  <si>
    <t>Abstract:</t>
  </si>
  <si>
    <r>
      <rPr>
        <b/>
        <sz val="10"/>
        <color rgb="FF006600"/>
        <rFont val="Arial"/>
        <family val="2"/>
      </rPr>
      <t>Environmental Engineering</t>
    </r>
    <r>
      <rPr>
        <b/>
        <sz val="10"/>
        <color theme="1"/>
        <rFont val="Arial"/>
        <family val="2"/>
      </rPr>
      <t xml:space="preserve">, </t>
    </r>
    <r>
      <rPr>
        <b/>
        <sz val="10"/>
        <color rgb="FF800000"/>
        <rFont val="Arial"/>
        <family val="2"/>
      </rPr>
      <t>RMIT University</t>
    </r>
  </si>
  <si>
    <t>• All sources used adopted their own quality control and can be considered reliable for the purposes of this compilation.</t>
  </si>
  <si>
    <t>Principal References - National:</t>
  </si>
  <si>
    <t>Principal References - Victoria:</t>
  </si>
  <si>
    <t>Principal References - Tasmania:</t>
  </si>
  <si>
    <t>Principal References - New South Wales:</t>
  </si>
  <si>
    <t>Principal References - Queensland:</t>
  </si>
  <si>
    <t>Principal References - South Australia:</t>
  </si>
  <si>
    <t>Principal References - Northern Territory:</t>
  </si>
  <si>
    <t>Principal References - Western Australia:</t>
  </si>
  <si>
    <t>Miscellaneous References or Sources:</t>
  </si>
  <si>
    <t>Technical Reports (environmental impact statements, mineral resource reports, feasibility studies, etc).</t>
  </si>
  <si>
    <r>
      <t>1980-2009</t>
    </r>
    <r>
      <rPr>
        <vertAlign val="superscript"/>
        <sz val="10"/>
        <color theme="1"/>
        <rFont val="Arial"/>
        <family val="2"/>
      </rPr>
      <t>@</t>
    </r>
  </si>
  <si>
    <t>1990-1997</t>
  </si>
  <si>
    <r>
      <t>1884-1949</t>
    </r>
    <r>
      <rPr>
        <vertAlign val="superscript"/>
        <sz val="10"/>
        <color theme="1"/>
        <rFont val="Arial"/>
        <family val="2"/>
      </rPr>
      <t>@</t>
    </r>
  </si>
  <si>
    <r>
      <t>1904-1965</t>
    </r>
    <r>
      <rPr>
        <vertAlign val="superscript"/>
        <sz val="10"/>
        <color theme="1"/>
        <rFont val="Arial"/>
        <family val="2"/>
      </rPr>
      <t>@</t>
    </r>
  </si>
  <si>
    <t>1914-1982</t>
  </si>
  <si>
    <t>1948-1976</t>
  </si>
  <si>
    <t>$/t Bi</t>
  </si>
  <si>
    <t>1970-1990</t>
  </si>
  <si>
    <r>
      <t>1967-1977</t>
    </r>
    <r>
      <rPr>
        <vertAlign val="superscript"/>
        <sz val="10"/>
        <color theme="1"/>
        <rFont val="Arial"/>
        <family val="2"/>
      </rPr>
      <t>@</t>
    </r>
  </si>
  <si>
    <t>1965-1971</t>
  </si>
  <si>
    <r>
      <t>1971-1999</t>
    </r>
    <r>
      <rPr>
        <vertAlign val="superscript"/>
        <sz val="10"/>
        <color theme="1"/>
        <rFont val="Arial"/>
        <family val="2"/>
      </rPr>
      <t>@</t>
    </r>
  </si>
  <si>
    <t>1962-1975</t>
  </si>
  <si>
    <r>
      <t>1905-2021</t>
    </r>
    <r>
      <rPr>
        <vertAlign val="superscript"/>
        <sz val="10"/>
        <color theme="1"/>
        <rFont val="Arial"/>
        <family val="2"/>
      </rPr>
      <t>@,#</t>
    </r>
  </si>
  <si>
    <t>Mount Carlton-A39</t>
  </si>
  <si>
    <r>
      <t>1983-2021</t>
    </r>
    <r>
      <rPr>
        <vertAlign val="superscript"/>
        <sz val="10"/>
        <color theme="1"/>
        <rFont val="Arial"/>
        <family val="2"/>
      </rPr>
      <t>#</t>
    </r>
  </si>
  <si>
    <t>1886-2014</t>
  </si>
  <si>
    <t>886,331 t pyrite conc</t>
  </si>
  <si>
    <t>2000-2015</t>
  </si>
  <si>
    <t>1985-1999</t>
  </si>
  <si>
    <r>
      <t>1943-2021</t>
    </r>
    <r>
      <rPr>
        <vertAlign val="superscript"/>
        <sz val="10"/>
        <color theme="1"/>
        <rFont val="Arial"/>
        <family val="2"/>
      </rPr>
      <t>#</t>
    </r>
  </si>
  <si>
    <t>1967-2018</t>
  </si>
  <si>
    <r>
      <t>1978-2021</t>
    </r>
    <r>
      <rPr>
        <vertAlign val="superscript"/>
        <sz val="10"/>
        <color theme="1"/>
        <rFont val="Arial"/>
        <family val="2"/>
      </rPr>
      <t>@,#</t>
    </r>
  </si>
  <si>
    <t>1997-2009</t>
  </si>
  <si>
    <r>
      <t>1999-2021</t>
    </r>
    <r>
      <rPr>
        <vertAlign val="superscript"/>
        <sz val="10"/>
        <color theme="1"/>
        <rFont val="Arial"/>
        <family val="2"/>
      </rPr>
      <t>#</t>
    </r>
  </si>
  <si>
    <r>
      <t>1884-1953</t>
    </r>
    <r>
      <rPr>
        <vertAlign val="superscript"/>
        <sz val="10"/>
        <color theme="1"/>
        <rFont val="Arial"/>
        <family val="2"/>
      </rPr>
      <t>@</t>
    </r>
  </si>
  <si>
    <t>Yerranderie</t>
  </si>
  <si>
    <t>• Where necessary, mineral products have been converted to show contained metal (or element / elements) (e.g., tungsten in wolfram or scheelite, individual platinum group elements).</t>
  </si>
  <si>
    <r>
      <t>1871-1947</t>
    </r>
    <r>
      <rPr>
        <vertAlign val="superscript"/>
        <sz val="10"/>
        <color theme="1"/>
        <rFont val="Arial"/>
        <family val="2"/>
      </rPr>
      <t>@</t>
    </r>
  </si>
  <si>
    <t>Great Cobar-Chesney</t>
  </si>
  <si>
    <t>Chesney</t>
  </si>
  <si>
    <r>
      <t>1887-1920</t>
    </r>
    <r>
      <rPr>
        <vertAlign val="superscript"/>
        <sz val="10"/>
        <color theme="1"/>
        <rFont val="Arial"/>
        <family val="2"/>
      </rPr>
      <t>@</t>
    </r>
  </si>
  <si>
    <t>Chesney (1940s)</t>
  </si>
  <si>
    <r>
      <t>1937-1952</t>
    </r>
    <r>
      <rPr>
        <vertAlign val="superscript"/>
        <sz val="10"/>
        <color theme="1"/>
        <rFont val="Arial"/>
        <family val="2"/>
      </rPr>
      <t>@</t>
    </r>
  </si>
  <si>
    <t>Key Assumptions &amp; Points to Note:</t>
  </si>
  <si>
    <t>• Every effort has been made to avoid double counting, but there may still be some data overlap.</t>
  </si>
  <si>
    <t>kt REO</t>
  </si>
  <si>
    <t>• Monetary values have been converted to Australian dollars ($), with £ multiplied by 2 to give $.</t>
  </si>
  <si>
    <t>Acknowledgements</t>
  </si>
  <si>
    <t>Abbreviations:</t>
  </si>
  <si>
    <t>conc</t>
  </si>
  <si>
    <t>ore</t>
  </si>
  <si>
    <t>rock material processed to extract metals and/or minerals (i.e., economic or profitable)</t>
  </si>
  <si>
    <t>underground</t>
  </si>
  <si>
    <t>UG</t>
  </si>
  <si>
    <t>tailings</t>
  </si>
  <si>
    <t>residual rock material remainined after extraction of metals and/or minerals</t>
  </si>
  <si>
    <t>DSO</t>
  </si>
  <si>
    <t>direct shipping ore (i.e., sent away interstate or exported overseas for further processing or use)</t>
  </si>
  <si>
    <t>Group</t>
  </si>
  <si>
    <t>a collection of mines operated as a single project (e.g., using a central mill)</t>
  </si>
  <si>
    <t>Field</t>
  </si>
  <si>
    <t>a small to modest-sized region hosting numerous mines (e.g., gold field)</t>
  </si>
  <si>
    <t>States</t>
  </si>
  <si>
    <t>Queensland</t>
  </si>
  <si>
    <t>New South Wales</t>
  </si>
  <si>
    <t>Victoria</t>
  </si>
  <si>
    <t>Tasmania</t>
  </si>
  <si>
    <t>South Australia</t>
  </si>
  <si>
    <t>Western Australia</t>
  </si>
  <si>
    <t>Northern Territory</t>
  </si>
  <si>
    <t>concentrate - a metal-rich residue extracted from ore for further processing at a smelter and/or refinery</t>
  </si>
  <si>
    <t>Elemental Symbols</t>
  </si>
  <si>
    <t>Au</t>
  </si>
  <si>
    <t>Cu</t>
  </si>
  <si>
    <t>Ag</t>
  </si>
  <si>
    <t>Pb</t>
  </si>
  <si>
    <t>Zn</t>
  </si>
  <si>
    <t>Ni</t>
  </si>
  <si>
    <t>Fe</t>
  </si>
  <si>
    <t>Iron</t>
  </si>
  <si>
    <t>Co</t>
  </si>
  <si>
    <t>Sn</t>
  </si>
  <si>
    <t>W</t>
  </si>
  <si>
    <r>
      <t>WO</t>
    </r>
    <r>
      <rPr>
        <vertAlign val="subscript"/>
        <sz val="10"/>
        <color theme="1"/>
        <rFont val="Arial"/>
        <family val="2"/>
      </rPr>
      <t>3</t>
    </r>
  </si>
  <si>
    <t>Tungstic Trioxide</t>
  </si>
  <si>
    <t>U</t>
  </si>
  <si>
    <t>Uranium Oxide</t>
  </si>
  <si>
    <r>
      <t>U</t>
    </r>
    <r>
      <rPr>
        <vertAlign val="subscript"/>
        <sz val="10"/>
        <color theme="1"/>
        <rFont val="Arial"/>
        <family val="2"/>
      </rPr>
      <t>3</t>
    </r>
    <r>
      <rPr>
        <sz val="10"/>
        <color theme="1"/>
        <rFont val="Arial"/>
        <family val="2"/>
      </rPr>
      <t>O</t>
    </r>
    <r>
      <rPr>
        <vertAlign val="subscript"/>
        <sz val="10"/>
        <color theme="1"/>
        <rFont val="Arial"/>
        <family val="2"/>
      </rPr>
      <t>8</t>
    </r>
  </si>
  <si>
    <t>Sb</t>
  </si>
  <si>
    <t>Bi</t>
  </si>
  <si>
    <t>Bismuth</t>
  </si>
  <si>
    <t>Mn</t>
  </si>
  <si>
    <t>O</t>
  </si>
  <si>
    <t>Oxygen</t>
  </si>
  <si>
    <t>P</t>
  </si>
  <si>
    <t>Phosphorous</t>
  </si>
  <si>
    <r>
      <t>PO</t>
    </r>
    <r>
      <rPr>
        <vertAlign val="subscript"/>
        <sz val="10"/>
        <color theme="1"/>
        <rFont val="Arial"/>
        <family val="2"/>
      </rPr>
      <t>4</t>
    </r>
  </si>
  <si>
    <r>
      <t>Cr</t>
    </r>
    <r>
      <rPr>
        <vertAlign val="subscript"/>
        <sz val="10"/>
        <color theme="1"/>
        <rFont val="Arial"/>
        <family val="2"/>
      </rPr>
      <t>2</t>
    </r>
    <r>
      <rPr>
        <sz val="10"/>
        <color theme="1"/>
        <rFont val="Arial"/>
        <family val="2"/>
      </rPr>
      <t>O</t>
    </r>
    <r>
      <rPr>
        <vertAlign val="subscript"/>
        <sz val="10"/>
        <color theme="1"/>
        <rFont val="Arial"/>
        <family val="2"/>
      </rPr>
      <t>3</t>
    </r>
  </si>
  <si>
    <t>Chromium Oxide</t>
  </si>
  <si>
    <t>• All units are metric (e.g., 1 tonne is 1 million grams; g/t are grams per tonne; % is per cent; kt is thousand tonnes; Mt is mega or million tonnes); except diamonds which are in carats (where 1 carat = 0.2 grams).</t>
  </si>
  <si>
    <t>PGEs</t>
  </si>
  <si>
    <t>platinum group elements, comprising platinum (Pt), palladium (Pd), rhodium (Rh), ruthenium (Ru), osmium (Os) and iridium (Ir)</t>
  </si>
  <si>
    <t>REO</t>
  </si>
  <si>
    <t>rare earth oxides (i.e., the lanthanide series of elements)</t>
  </si>
  <si>
    <t>This data publication is a comprehensive synthesis of production from mines across Australia, including individual mines or fields as well as annual time series data by state. All care has been taken in the preparation of these data, however, some aspects remain incomplete (e.g., refinery by-products) or estimated based on best available data or information (e.g., concentrates). All data are considered the best synthesis possible of public sources.
All users of these data do so at their own risk.
Key references, publications and data sources are noted below.
If there are contributions to add to these data, please contact the author at RMIT.</t>
  </si>
  <si>
    <r>
      <t>%Cr</t>
    </r>
    <r>
      <rPr>
        <vertAlign val="subscript"/>
        <sz val="10"/>
        <color theme="1"/>
        <rFont val="Arial"/>
        <family val="2"/>
      </rPr>
      <t>2</t>
    </r>
    <r>
      <rPr>
        <sz val="10"/>
        <color theme="1"/>
        <rFont val="Arial"/>
        <family val="2"/>
      </rPr>
      <t>O</t>
    </r>
    <r>
      <rPr>
        <vertAlign val="subscript"/>
        <sz val="10"/>
        <color theme="1"/>
        <rFont val="Arial"/>
        <family val="2"/>
      </rPr>
      <t>3</t>
    </r>
    <r>
      <rPr>
        <sz val="10"/>
        <color theme="1"/>
        <rFont val="Arial"/>
        <family val="2"/>
      </rPr>
      <t xml:space="preserve"> chromite</t>
    </r>
  </si>
  <si>
    <t>• The vast majority of data is calendar year, but from the 1980s onwards some data is financial year (i.e., July to June).</t>
  </si>
  <si>
    <t>Sino-Cape Preston / Balmoral</t>
  </si>
  <si>
    <t>• All prices are indicative export prices only, based on reported metal or mineral content, presented as unit price ($/t).</t>
  </si>
  <si>
    <r>
      <t>1892-1925</t>
    </r>
    <r>
      <rPr>
        <vertAlign val="superscript"/>
        <sz val="10"/>
        <color theme="1"/>
        <rFont val="Arial"/>
        <family val="2"/>
      </rPr>
      <t>@</t>
    </r>
  </si>
  <si>
    <t>Kyloe</t>
  </si>
  <si>
    <r>
      <t>1901-1914</t>
    </r>
    <r>
      <rPr>
        <vertAlign val="superscript"/>
        <sz val="10"/>
        <color theme="1"/>
        <rFont val="Arial"/>
        <family val="2"/>
      </rPr>
      <t>@</t>
    </r>
  </si>
  <si>
    <t>Kangiara</t>
  </si>
  <si>
    <t>Cangai</t>
  </si>
  <si>
    <r>
      <t>1902-1921</t>
    </r>
    <r>
      <rPr>
        <vertAlign val="superscript"/>
        <sz val="10"/>
        <color theme="1"/>
        <rFont val="Arial"/>
        <family val="2"/>
      </rPr>
      <t>@</t>
    </r>
  </si>
  <si>
    <t>Silver Spur</t>
  </si>
  <si>
    <t>1872-1988</t>
  </si>
  <si>
    <t>Herberton (Au)</t>
  </si>
  <si>
    <r>
      <t>1879-1981</t>
    </r>
    <r>
      <rPr>
        <vertAlign val="superscript"/>
        <sz val="10"/>
        <color theme="1"/>
        <rFont val="Arial"/>
        <family val="2"/>
      </rPr>
      <t>#</t>
    </r>
  </si>
  <si>
    <t>Herberton Field (lode Sn)</t>
  </si>
  <si>
    <t>Herberton Field (alluvial Sn)</t>
  </si>
  <si>
    <t>Stanthorpe Field (alluvial &amp; dredging)</t>
  </si>
  <si>
    <t>Cooktown (Au)</t>
  </si>
  <si>
    <t>Pilbara Field (alluvial &amp; lode Sn)</t>
  </si>
  <si>
    <t>Greenbushes Field (alluvial &amp; lode Sn)</t>
  </si>
  <si>
    <t>Croydon Field Miscellaneous (alluvial &amp; lode Sn)</t>
  </si>
  <si>
    <t>Collingwood</t>
  </si>
  <si>
    <t>2006-2008</t>
  </si>
  <si>
    <t>North Queensland Fields (alluvial &amp; lode Sn)</t>
  </si>
  <si>
    <r>
      <t>1883-1996</t>
    </r>
    <r>
      <rPr>
        <vertAlign val="superscript"/>
        <sz val="10"/>
        <color theme="1"/>
        <rFont val="Arial"/>
        <family val="2"/>
      </rPr>
      <t>@</t>
    </r>
  </si>
  <si>
    <t>Minor Queensland Fields (alluvial &amp; lode Sn)</t>
  </si>
  <si>
    <r>
      <t>1874-1970</t>
    </r>
    <r>
      <rPr>
        <vertAlign val="superscript"/>
        <sz val="10"/>
        <color theme="1"/>
        <rFont val="Arial"/>
        <family val="2"/>
      </rPr>
      <t>@</t>
    </r>
  </si>
  <si>
    <r>
      <t>1900-1996</t>
    </r>
    <r>
      <rPr>
        <vertAlign val="superscript"/>
        <sz val="10"/>
        <color theme="1"/>
        <rFont val="Arial"/>
        <family val="2"/>
      </rPr>
      <t>@</t>
    </r>
  </si>
  <si>
    <t>North-East Field (alluvial &amp; dredging)</t>
  </si>
  <si>
    <t>1874-1987</t>
  </si>
  <si>
    <t>Ottery</t>
  </si>
  <si>
    <t>1883-1905</t>
  </si>
  <si>
    <t>• Where value only was reported, this has been converted to metal / mineral based on average prices for that year.</t>
  </si>
  <si>
    <t>Cadia (Cu/CuAu)</t>
  </si>
  <si>
    <r>
      <t>1882-1949</t>
    </r>
    <r>
      <rPr>
        <vertAlign val="superscript"/>
        <sz val="10"/>
        <color theme="1"/>
        <rFont val="Arial"/>
        <family val="2"/>
      </rPr>
      <t>@</t>
    </r>
  </si>
  <si>
    <r>
      <t>1901-1968</t>
    </r>
    <r>
      <rPr>
        <vertAlign val="superscript"/>
        <sz val="10"/>
        <color theme="1"/>
        <rFont val="Arial"/>
        <family val="2"/>
      </rPr>
      <t>@</t>
    </r>
  </si>
  <si>
    <t>Lachlan Field (mostly alluvial Sn)</t>
  </si>
  <si>
    <r>
      <t>1872-1968</t>
    </r>
    <r>
      <rPr>
        <vertAlign val="superscript"/>
        <sz val="10"/>
        <color theme="1"/>
        <rFont val="Arial"/>
        <family val="2"/>
      </rPr>
      <t>@</t>
    </r>
  </si>
  <si>
    <t>Peel-Uralla Fields (alluvial &amp; lode Sn)</t>
  </si>
  <si>
    <t>Miscellaneous NSW (alluvial &amp; lode Sn)</t>
  </si>
  <si>
    <t>New England Fields (alluvial &amp; lode Sn)</t>
  </si>
  <si>
    <t>Misco.</t>
  </si>
  <si>
    <t>Yalgogrin</t>
  </si>
  <si>
    <t>Barmedman</t>
  </si>
  <si>
    <t>Narrandera</t>
  </si>
  <si>
    <t>Germanton</t>
  </si>
  <si>
    <t>Albury</t>
  </si>
  <si>
    <t>Wagga Wagga</t>
  </si>
  <si>
    <t>Holbrook</t>
  </si>
  <si>
    <t>Goulburn</t>
  </si>
  <si>
    <t>Kempsey</t>
  </si>
  <si>
    <t>Tingha</t>
  </si>
  <si>
    <t>Glen Innes</t>
  </si>
  <si>
    <t>Inverell</t>
  </si>
  <si>
    <t>Kookabookra</t>
  </si>
  <si>
    <t>Armidale</t>
  </si>
  <si>
    <t>Bendemeer</t>
  </si>
  <si>
    <t>Emmaville</t>
  </si>
  <si>
    <t>Euabalong</t>
  </si>
  <si>
    <t>Broken Hill</t>
  </si>
  <si>
    <t>Tin Conc</t>
  </si>
  <si>
    <t>Mixed Sn</t>
  </si>
  <si>
    <t>conc %Sn</t>
  </si>
  <si>
    <t>t Sn conc</t>
  </si>
  <si>
    <t>Deepwater-Torrington</t>
  </si>
  <si>
    <t>Wilson's Downfall-Tenterfield</t>
  </si>
  <si>
    <t>TOTAL</t>
  </si>
  <si>
    <t>Western</t>
  </si>
  <si>
    <t>North-East</t>
  </si>
  <si>
    <t>Creek</t>
  </si>
  <si>
    <t>Region</t>
  </si>
  <si>
    <t>Mount Bischoff</t>
  </si>
  <si>
    <t>North-West</t>
  </si>
  <si>
    <t>Northern-</t>
  </si>
  <si>
    <t>Eastern</t>
  </si>
  <si>
    <t>Stanthorpe</t>
  </si>
  <si>
    <t>Herberton</t>
  </si>
  <si>
    <t>Stream Tin</t>
  </si>
  <si>
    <t>Lode Tin</t>
  </si>
  <si>
    <t>Chillagoe-Mareeba</t>
  </si>
  <si>
    <t>Greenbushes</t>
  </si>
  <si>
    <t>Yilgarn</t>
  </si>
  <si>
    <t>Kimberley+East Murchison</t>
  </si>
  <si>
    <t>Kimberley+West Kimberley</t>
  </si>
  <si>
    <t>East Murchison</t>
  </si>
  <si>
    <t>West Kimberley</t>
  </si>
  <si>
    <t>Murchison</t>
  </si>
  <si>
    <t>West Kimberley+Coolgardie</t>
  </si>
  <si>
    <t>Coolgardie+Yalgoo</t>
  </si>
  <si>
    <t>Murchison+Dundas</t>
  </si>
  <si>
    <t>Dundas</t>
  </si>
  <si>
    <t>Dundas+Murchison</t>
  </si>
  <si>
    <t>Pilbara</t>
  </si>
  <si>
    <t>Field(s)</t>
  </si>
  <si>
    <t>Bamboo Creek (WA)</t>
  </si>
  <si>
    <t>Marble Bar-Bamboo Creek (WA)</t>
  </si>
  <si>
    <t>Horseshoe</t>
  </si>
  <si>
    <t>Wolfram</t>
  </si>
  <si>
    <t>Hayes</t>
  </si>
  <si>
    <t>Daly</t>
  </si>
  <si>
    <t>Hidden</t>
  </si>
  <si>
    <t>Bamboo</t>
  </si>
  <si>
    <t>Burundie</t>
  </si>
  <si>
    <t>Camp (NT)</t>
  </si>
  <si>
    <t>River</t>
  </si>
  <si>
    <t>Valley</t>
  </si>
  <si>
    <t>Creek (NT)</t>
  </si>
  <si>
    <t>&amp; Unknown</t>
  </si>
  <si>
    <t>Mount Wells-</t>
  </si>
  <si>
    <t>Anningie-</t>
  </si>
  <si>
    <t>Conniston</t>
  </si>
  <si>
    <t>• Whilst every effort has been made to reconcile conflicting data sources, some conflicts and inconsistencies remain - if there is a need to address this, please contact the author.</t>
  </si>
  <si>
    <t>Wauchope Field (wolfram)</t>
  </si>
  <si>
    <t>Miscellaneous Tasmania (alluvial &amp; dredging)</t>
  </si>
  <si>
    <t>Ardlethan (lode Sn)</t>
  </si>
  <si>
    <t>1912-1963</t>
  </si>
  <si>
    <t>Ardlethan (mostly lode Sn)</t>
  </si>
  <si>
    <t>• It is anticipated that additional updates will be included in future (e.g., years beyond 2021, additional minerals) - if there is a desire for help with particular research or analyses, the author is most willing to be consulted and may be able to help.</t>
  </si>
  <si>
    <t>Miscellaneous minerals production statistics published online (e.g., Department websites).</t>
  </si>
  <si>
    <r>
      <t xml:space="preserve">RIU, </t>
    </r>
    <r>
      <rPr>
        <b/>
        <sz val="10"/>
        <color theme="1"/>
        <rFont val="Arial"/>
        <family val="2"/>
      </rPr>
      <t>Register of Australian Mining</t>
    </r>
    <r>
      <rPr>
        <sz val="10"/>
        <color theme="1"/>
        <rFont val="Arial"/>
        <family val="2"/>
      </rPr>
      <t>. Resource Information Unit (RIU), Perth, WA, Australia, Years 1978 to 2006.</t>
    </r>
  </si>
  <si>
    <r>
      <t xml:space="preserve">WADM, </t>
    </r>
    <r>
      <rPr>
        <b/>
        <sz val="10"/>
        <color theme="1"/>
        <rFont val="Arial"/>
        <family val="2"/>
      </rPr>
      <t>Statistics Digest (6-monthly series)</t>
    </r>
    <r>
      <rPr>
        <sz val="10"/>
        <color theme="1"/>
        <rFont val="Arial"/>
        <family val="2"/>
      </rPr>
      <t>. Western Australian Department of Mines (WADM; now Department of Mines, Industry Regulation and Safety), Perth, WA, Australia, Years 1984 to 2020/21.</t>
    </r>
  </si>
  <si>
    <r>
      <t xml:space="preserve">WADM, </t>
    </r>
    <r>
      <rPr>
        <b/>
        <sz val="10"/>
        <color theme="1"/>
        <rFont val="Arial"/>
        <family val="2"/>
      </rPr>
      <t>Annual Report (annual series)</t>
    </r>
    <r>
      <rPr>
        <sz val="10"/>
        <color theme="1"/>
        <rFont val="Arial"/>
        <family val="2"/>
      </rPr>
      <t>. Western Australian Department of Mines (WADM; now Department of Mines, Industry Regulation and Safety), Perth, WA, Australia, Years 1894 to 1991/92.</t>
    </r>
  </si>
  <si>
    <r>
      <t xml:space="preserve">Ahmad, M &amp; Munson, T J (Editors), 2013, </t>
    </r>
    <r>
      <rPr>
        <b/>
        <sz val="10"/>
        <color theme="1"/>
        <rFont val="Arial"/>
        <family val="2"/>
      </rPr>
      <t>Geology and Mineral Resources of the Northern Territory</t>
    </r>
    <r>
      <rPr>
        <sz val="10"/>
        <color theme="1"/>
        <rFont val="Arial"/>
        <family val="2"/>
      </rPr>
      <t>. Northern Territory Geological Survey, Darwin, NT, Australia, Special Publication 5.</t>
    </r>
  </si>
  <si>
    <r>
      <t xml:space="preserve">QDM, </t>
    </r>
    <r>
      <rPr>
        <b/>
        <sz val="10"/>
        <color theme="1"/>
        <rFont val="Arial"/>
        <family val="2"/>
      </rPr>
      <t>Annual Report (annual series)</t>
    </r>
    <r>
      <rPr>
        <sz val="10"/>
        <color theme="1"/>
        <rFont val="Arial"/>
        <family val="2"/>
      </rPr>
      <t>. Queensland Department of Mines (QDM; now Department of Resources), Brisbane, QLD, Australia, Years 1877 to 1991/92.</t>
    </r>
  </si>
  <si>
    <r>
      <t xml:space="preserve">MRT, </t>
    </r>
    <r>
      <rPr>
        <b/>
        <sz val="10"/>
        <color theme="1"/>
        <rFont val="Arial"/>
        <family val="2"/>
      </rPr>
      <t>Annual Review (annual series)</t>
    </r>
    <r>
      <rPr>
        <sz val="10"/>
        <color theme="1"/>
        <rFont val="Arial"/>
        <family val="2"/>
      </rPr>
      <t>. Mineral Resources Tasmania, Hobart, TAS, Australia, Years 1992/93 to 2010/11.</t>
    </r>
  </si>
  <si>
    <r>
      <t xml:space="preserve">OCE, </t>
    </r>
    <r>
      <rPr>
        <b/>
        <sz val="10"/>
        <color theme="1"/>
        <rFont val="Arial"/>
        <family val="2"/>
      </rPr>
      <t>Resources and Energy Statistics (quarterly series)</t>
    </r>
    <r>
      <rPr>
        <sz val="10"/>
        <color theme="1"/>
        <rFont val="Arial"/>
        <family val="2"/>
      </rPr>
      <t>. Office of the Chief Economist (OCE, formerly part of Bureau of Resources &amp; Energy Economics, BREE), Canberra, ACT, Australia, Years 2011 to 2022.</t>
    </r>
  </si>
  <si>
    <r>
      <t xml:space="preserve">TDM, </t>
    </r>
    <r>
      <rPr>
        <b/>
        <sz val="10"/>
        <color theme="1"/>
        <rFont val="Arial"/>
        <family val="2"/>
      </rPr>
      <t>Annual Report (annual series)</t>
    </r>
    <r>
      <rPr>
        <sz val="10"/>
        <color theme="1"/>
        <rFont val="Arial"/>
        <family val="2"/>
      </rPr>
      <t>. Tasmanian Department of Mines (TDM; now Mineral Resources Tasmania), Hobart, TAS, Australia, Years 1882 to 1991/92.</t>
    </r>
  </si>
  <si>
    <r>
      <t xml:space="preserve">LP &amp; Minmet, </t>
    </r>
    <r>
      <rPr>
        <b/>
        <sz val="10"/>
        <color theme="1"/>
        <rFont val="Arial"/>
        <family val="2"/>
      </rPr>
      <t>The Australian Mines Handbook</t>
    </r>
    <r>
      <rPr>
        <sz val="10"/>
        <color theme="1"/>
        <rFont val="Arial"/>
        <family val="2"/>
      </rPr>
      <t>. Louthean Publishing Pty Ltd (LP) and Minmet Australia Pty Ltd (Minmet), Perth, WA, Australia, Years 1978 to 2005.</t>
    </r>
  </si>
  <si>
    <r>
      <t xml:space="preserve">Kalix, Z, Fraser, L M &amp; Rawson, R I, 1966, </t>
    </r>
    <r>
      <rPr>
        <b/>
        <sz val="10"/>
        <color theme="1"/>
        <rFont val="Arial"/>
        <family val="2"/>
      </rPr>
      <t>Australian Mineral Industry: Production and Trade, 1842-1964</t>
    </r>
    <r>
      <rPr>
        <sz val="10"/>
        <color theme="1"/>
        <rFont val="Arial"/>
        <family val="2"/>
      </rPr>
      <t>. Commonwealth Bureau of Mineral Resources, Geology and Geophysics (BMR; now Geoscience Australia), Canberra, ACT, Australia, Bulletin 81, 482 pages.</t>
    </r>
  </si>
  <si>
    <r>
      <t xml:space="preserve">BMR, </t>
    </r>
    <r>
      <rPr>
        <b/>
        <sz val="10"/>
        <color theme="1"/>
        <rFont val="Arial"/>
        <family val="2"/>
      </rPr>
      <t>Annual Mineral Industry Review</t>
    </r>
    <r>
      <rPr>
        <sz val="10"/>
        <color theme="1"/>
        <rFont val="Arial"/>
        <family val="2"/>
      </rPr>
      <t>. Commonwealth Bureau of Mineral Resources, Geology and Geophysics (BMR; now Geoscience Australia), Canberra, ACT, Australia, Years 1948 to 1987.</t>
    </r>
  </si>
  <si>
    <r>
      <t xml:space="preserve">ABARE, </t>
    </r>
    <r>
      <rPr>
        <b/>
        <sz val="10"/>
        <color theme="1"/>
        <rFont val="Arial"/>
        <family val="2"/>
      </rPr>
      <t>Australian Mineral Statistics (quarterly journal)</t>
    </r>
    <r>
      <rPr>
        <sz val="10"/>
        <color theme="1"/>
        <rFont val="Arial"/>
        <family val="2"/>
      </rPr>
      <t>. Australian Bureau of Agricultural and Resource Economics (ABARE; now Australian Bureau of Agricultural and Resource Economics &amp; Sciences), Canberra, ACT, Australia, Years 1988 to 2011.</t>
    </r>
  </si>
  <si>
    <r>
      <t xml:space="preserve">ABARE, </t>
    </r>
    <r>
      <rPr>
        <b/>
        <sz val="10"/>
        <color theme="1"/>
        <rFont val="Arial"/>
        <family val="2"/>
      </rPr>
      <t>Australian Commodity Statistics (annual series)</t>
    </r>
    <r>
      <rPr>
        <sz val="10"/>
        <color theme="1"/>
        <rFont val="Arial"/>
        <family val="2"/>
      </rPr>
      <t>. Australian Bureau of Agricultural and Resource Economics (ABARE; now Australian Bureau of Agricultural and Resource Economics &amp; Sciences), Canberra, ACT, Australia, Years 1995 to 2010 (formerly Commodity Statistical Bulletin, 1986-1994).</t>
    </r>
  </si>
  <si>
    <r>
      <t xml:space="preserve">Brough Smyth, R, 1869, </t>
    </r>
    <r>
      <rPr>
        <b/>
        <i/>
        <sz val="10"/>
        <color theme="1"/>
        <rFont val="Arial"/>
        <family val="2"/>
      </rPr>
      <t>The Gold Fields and Mineral Districts of Victoria With Notes on the Modes of Occurrence of Gold and Other Metals and Minerals</t>
    </r>
    <r>
      <rPr>
        <sz val="10"/>
        <color theme="1"/>
        <rFont val="Arial"/>
        <family val="2"/>
      </rPr>
      <t>. Victorian Government Printer, Reprinted by Queensberry Hill Press 1979, Melbourne, VIC, Australia, 644 pages.</t>
    </r>
  </si>
  <si>
    <r>
      <t xml:space="preserve">VDM, </t>
    </r>
    <r>
      <rPr>
        <b/>
        <sz val="10"/>
        <color theme="1"/>
        <rFont val="Arial"/>
        <family val="2"/>
      </rPr>
      <t>Annual Report (annual series)</t>
    </r>
    <r>
      <rPr>
        <sz val="10"/>
        <color theme="1"/>
        <rFont val="Arial"/>
        <family val="2"/>
      </rPr>
      <t>. Victorian Department of Mines (VDM; now Earth Resources Regulation, part of Department of Energy, Environment &amp; Climate Action), Melbourne, VIC, Australia, Years 1870 to 2007.</t>
    </r>
  </si>
  <si>
    <r>
      <t xml:space="preserve">VDM, </t>
    </r>
    <r>
      <rPr>
        <b/>
        <sz val="10"/>
        <color theme="1"/>
        <rFont val="Arial"/>
        <family val="2"/>
      </rPr>
      <t>Gold Fields Statistics (annual &amp; quarterly series)</t>
    </r>
    <r>
      <rPr>
        <sz val="10"/>
        <color theme="1"/>
        <rFont val="Arial"/>
        <family val="2"/>
      </rPr>
      <t>. Victorian Department of Mines (VDM; now Earth Resources Regulation, part of Department of Energy, Environment &amp; Climate Action), Melbourne, VIC, Australia, Years 1860 to 1918.</t>
    </r>
  </si>
  <si>
    <r>
      <t xml:space="preserve">VDM, </t>
    </r>
    <r>
      <rPr>
        <b/>
        <sz val="10"/>
        <color theme="1"/>
        <rFont val="Arial"/>
        <family val="2"/>
      </rPr>
      <t>Gold and Mineral Statistics (annual series)</t>
    </r>
    <r>
      <rPr>
        <sz val="10"/>
        <color theme="1"/>
        <rFont val="Arial"/>
        <family val="2"/>
      </rPr>
      <t>. Victorian Department of Mines (VDM; now Earth Resources Regulation, part of Department of Energy, Environment &amp; Climate Action), Melbourne, VIC, Australia, Years 1919 to 1949.</t>
    </r>
  </si>
  <si>
    <r>
      <t xml:space="preserve">VDM, </t>
    </r>
    <r>
      <rPr>
        <b/>
        <sz val="10"/>
        <color theme="1"/>
        <rFont val="Arial"/>
        <family val="2"/>
      </rPr>
      <t>Statistics Relating to the Mining Industry (annual series)</t>
    </r>
    <r>
      <rPr>
        <sz val="10"/>
        <color theme="1"/>
        <rFont val="Arial"/>
        <family val="2"/>
      </rPr>
      <t>. Victorian Department of Mines (VDM; now Earth Resources Regulation, part of Department of Energy, Environment &amp; Climate Action), Melbourne, VIC, Australia, Years 1950 to 1976.</t>
    </r>
  </si>
  <si>
    <r>
      <t xml:space="preserve">VDM, </t>
    </r>
    <r>
      <rPr>
        <b/>
        <sz val="10"/>
        <color theme="1"/>
        <rFont val="Arial"/>
        <family val="2"/>
      </rPr>
      <t>Statistical Review (annual series)</t>
    </r>
    <r>
      <rPr>
        <sz val="10"/>
        <color theme="1"/>
        <rFont val="Arial"/>
        <family val="2"/>
      </rPr>
      <t>. Victorian Department of Mines (VDM; now Earth Resources Regulation, part of Department of Energy, Environment &amp; Climate Action), Melbourne, VIC, Australia, Years 1997/98 to 2020/21.</t>
    </r>
  </si>
  <si>
    <r>
      <t xml:space="preserve">NSWDM, </t>
    </r>
    <r>
      <rPr>
        <b/>
        <sz val="10"/>
        <color theme="1"/>
        <rFont val="Arial"/>
        <family val="2"/>
      </rPr>
      <t>Annual Report (annual series)</t>
    </r>
    <r>
      <rPr>
        <sz val="10"/>
        <color theme="1"/>
        <rFont val="Arial"/>
        <family val="2"/>
      </rPr>
      <t>. New South Wales Department of Mines (NSWDM; now Resources Regulator, Department of Regional NSW), Sydney, NSW, Australia, Years 1875 to 1989/90.</t>
    </r>
  </si>
  <si>
    <r>
      <t xml:space="preserve">NSWDMR, </t>
    </r>
    <r>
      <rPr>
        <b/>
        <sz val="10"/>
        <color theme="1"/>
        <rFont val="Arial"/>
        <family val="2"/>
      </rPr>
      <t>Mineral Industry Review (annual series)</t>
    </r>
    <r>
      <rPr>
        <sz val="10"/>
        <color theme="1"/>
        <rFont val="Arial"/>
        <family val="2"/>
      </rPr>
      <t>. NSW Department of Mineral Resources (NSWDMR; now Resources Regulator, Department of Regional NSW), Sydney, NSW, Australia, Years 1980 to 2010.</t>
    </r>
  </si>
  <si>
    <r>
      <t xml:space="preserve">QDNRM, </t>
    </r>
    <r>
      <rPr>
        <b/>
        <sz val="10"/>
        <color theme="1"/>
        <rFont val="Arial"/>
        <family val="2"/>
      </rPr>
      <t>Queensland Minerals and Petroleum Review (annual series)</t>
    </r>
    <r>
      <rPr>
        <sz val="10"/>
        <color theme="1"/>
        <rFont val="Arial"/>
        <family val="2"/>
      </rPr>
      <t>. Queensland Department of Natural Resources and Mines (QDNRM; now Department of Resources), Brisbane, QLD, Australia, Years 2002 to 2008.</t>
    </r>
  </si>
  <si>
    <r>
      <t xml:space="preserve">QDNRM, </t>
    </r>
    <r>
      <rPr>
        <b/>
        <sz val="10"/>
        <color theme="1"/>
        <rFont val="Arial"/>
        <family val="2"/>
      </rPr>
      <t>Queensland Metalliferous and Industrial Minerals (annual series)</t>
    </r>
    <r>
      <rPr>
        <sz val="10"/>
        <color theme="1"/>
        <rFont val="Arial"/>
        <family val="2"/>
      </rPr>
      <t>. Queensland Department of Natural Resources and Mines (QDNRM; now Department of Resources), Brisbane, QLD, Australia, Years 2011 to 2016.</t>
    </r>
  </si>
  <si>
    <r>
      <t xml:space="preserve">SADM, </t>
    </r>
    <r>
      <rPr>
        <b/>
        <sz val="10"/>
        <color theme="1"/>
        <rFont val="Arial"/>
        <family val="2"/>
      </rPr>
      <t>Mining Review: A Short Review of Mining Operations in the State of South Australia (6-monthly series)</t>
    </r>
    <r>
      <rPr>
        <sz val="10"/>
        <color theme="1"/>
        <rFont val="Arial"/>
        <family val="2"/>
      </rPr>
      <t>. South Australian Department of Mines (SADM; now Department for Energy and Mining), Adelaide, SA, Australia, Years Dec. 1903 to Dec. 1988.</t>
    </r>
  </si>
  <si>
    <r>
      <t xml:space="preserve">SADM, </t>
    </r>
    <r>
      <rPr>
        <b/>
        <sz val="10"/>
        <color theme="1"/>
        <rFont val="Arial"/>
        <family val="2"/>
      </rPr>
      <t>Mineral Production Statistics (6-monthly series)</t>
    </r>
    <r>
      <rPr>
        <sz val="10"/>
        <color theme="1"/>
        <rFont val="Arial"/>
        <family val="2"/>
      </rPr>
      <t>. South Australian Department of Mines and Energy (SADME; now Department for Energy and Mining), Adelaide, SA, Australia, Years Dec. 1978 to Dec. 2021.</t>
    </r>
  </si>
  <si>
    <r>
      <t xml:space="preserve">DNT, </t>
    </r>
    <r>
      <rPr>
        <b/>
        <sz val="10"/>
        <color theme="1"/>
        <rFont val="Arial"/>
        <family val="2"/>
      </rPr>
      <t>Annual Report of the Administrators of the Northern Territory (annual series)</t>
    </r>
    <r>
      <rPr>
        <sz val="10"/>
        <color theme="1"/>
        <rFont val="Arial"/>
        <family val="2"/>
      </rPr>
      <t>. Commonwealth Department of the Northern Territory (DNT; note – department no longer exists), Darwin, NT, Australia, Years 1911 to 1969/70.</t>
    </r>
  </si>
  <si>
    <r>
      <t xml:space="preserve">Balfour, I S (Editor), 1989, </t>
    </r>
    <r>
      <rPr>
        <b/>
        <sz val="10"/>
        <color theme="1"/>
        <rFont val="Arial"/>
        <family val="2"/>
      </rPr>
      <t>Administrator's Reports for the Warramunga Gold Field (Tennant Creek) 1924-1969</t>
    </r>
    <r>
      <rPr>
        <sz val="10"/>
        <color theme="1"/>
        <rFont val="Arial"/>
        <family val="2"/>
      </rPr>
      <t>. NT Department of Mines and Energy (NTDME; now Mining and Energy within Department of Industry, Tourism and Trade), Darwin, NT, Australia.</t>
    </r>
  </si>
  <si>
    <r>
      <t xml:space="preserve">Balfour, I S (Editor), 1990, </t>
    </r>
    <r>
      <rPr>
        <b/>
        <sz val="10"/>
        <color theme="1"/>
        <rFont val="Arial"/>
        <family val="2"/>
      </rPr>
      <t>Government Resident's Reports - The Top End Goldfields (Agicondi, Waggaman, Daly River &amp; Katherine) 1870-1910</t>
    </r>
    <r>
      <rPr>
        <sz val="10"/>
        <color theme="1"/>
        <rFont val="Arial"/>
        <family val="2"/>
      </rPr>
      <t>. NT Department of Mines and Energy (NTDME; now Mining and Energy within Department of Industry, Tourism and Trade), Darwin, NT, Australia.</t>
    </r>
  </si>
  <si>
    <r>
      <t xml:space="preserve">Balfour, I S (Editor), 1991, </t>
    </r>
    <r>
      <rPr>
        <b/>
        <sz val="10"/>
        <color theme="1"/>
        <rFont val="Arial"/>
        <family val="2"/>
      </rPr>
      <t>Administrator's Reports - The Top End Goldfields (Agicondi, Waggaman, Daly River &amp; Katherine) 1911-1969</t>
    </r>
    <r>
      <rPr>
        <sz val="10"/>
        <color theme="1"/>
        <rFont val="Arial"/>
        <family val="2"/>
      </rPr>
      <t>. NT Department of Mines and Energy (NTDME; now Mining and Energy within Department of Industry, Tourism and Trade), Darwin, NT, Australia.</t>
    </r>
  </si>
  <si>
    <t>Company reports to the Australian Securities Exchange (ASX) (quarterly, annual, media releases) and websites.</t>
  </si>
  <si>
    <t>Scientific papers, technical monographs (e.g., bulletins, research reports, Australasian Institute of Mining and Metallurgy monographs, books and conference proceedings), textbooks, academic theses, conference presentations, etc.</t>
  </si>
  <si>
    <r>
      <t xml:space="preserve">USBoM, </t>
    </r>
    <r>
      <rPr>
        <b/>
        <sz val="10"/>
        <color theme="1"/>
        <rFont val="Arial"/>
        <family val="2"/>
      </rPr>
      <t>Minerals Yearbook</t>
    </r>
    <r>
      <rPr>
        <sz val="10"/>
        <color theme="1"/>
        <rFont val="Arial"/>
        <family val="2"/>
      </rPr>
      <t>. US Bureau of Mines (USBoM; no longer exists), Washington DC, USA, Years 1932 to 1993.</t>
    </r>
  </si>
  <si>
    <r>
      <t xml:space="preserve">USBoM, </t>
    </r>
    <r>
      <rPr>
        <b/>
        <sz val="10"/>
        <color theme="1"/>
        <rFont val="Arial"/>
        <family val="2"/>
      </rPr>
      <t>Mineral Commodity Summaries</t>
    </r>
    <r>
      <rPr>
        <sz val="10"/>
        <color theme="1"/>
        <rFont val="Arial"/>
        <family val="2"/>
      </rPr>
      <t>. US Bureau of Mines (USBoM; no longer exists), Washington DC, USA, Years 1978 to 1995.</t>
    </r>
  </si>
  <si>
    <r>
      <t xml:space="preserve">Anonymous (Editor), </t>
    </r>
    <r>
      <rPr>
        <b/>
        <sz val="10"/>
        <color theme="1"/>
        <rFont val="Arial"/>
        <family val="2"/>
      </rPr>
      <t>The Mineral Industry: Its Statistics, Technology and Trade</t>
    </r>
    <r>
      <rPr>
        <sz val="10"/>
        <color theme="1"/>
        <rFont val="Arial"/>
        <family val="2"/>
      </rPr>
      <t>. McGraw-Hill Book Company, Years 1892 to 1940, New York, USA (issues up to 1921 available from the Internet Archive).</t>
    </r>
  </si>
  <si>
    <r>
      <t xml:space="preserve">USGS, </t>
    </r>
    <r>
      <rPr>
        <b/>
        <sz val="10"/>
        <color theme="1"/>
        <rFont val="Arial"/>
        <family val="2"/>
      </rPr>
      <t>Minerals Yearbook</t>
    </r>
    <r>
      <rPr>
        <sz val="10"/>
        <color theme="1"/>
        <rFont val="Arial"/>
        <family val="2"/>
      </rPr>
      <t>. US Geological Survey (USGS), Washington DC, USA, Years 1994 to 2018 (including advance data releases to 2021), Volumes 1 Metals and Minerals and 3 International.</t>
    </r>
  </si>
  <si>
    <r>
      <t xml:space="preserve">USGS, </t>
    </r>
    <r>
      <rPr>
        <b/>
        <sz val="10"/>
        <color theme="1"/>
        <rFont val="Arial"/>
        <family val="2"/>
      </rPr>
      <t>Mineral Commodity Summaries</t>
    </r>
    <r>
      <rPr>
        <sz val="10"/>
        <color theme="1"/>
        <rFont val="Arial"/>
        <family val="2"/>
      </rPr>
      <t>. US Geological Survey (USGS), Reston, Virginia, USA, Years 1996 to 2023, www.usgs.gov/centers/national-minerals-information-center/mineral-commodity-summaries.</t>
    </r>
  </si>
  <si>
    <r>
      <t xml:space="preserve">Mudd, G M, 2009, </t>
    </r>
    <r>
      <rPr>
        <b/>
        <sz val="10"/>
        <color theme="1"/>
        <rFont val="Arial"/>
        <family val="2"/>
      </rPr>
      <t>The Sustainability of Mining in Australia: Key Production Trends and Their Environmental Implications for the Future</t>
    </r>
    <r>
      <rPr>
        <sz val="10"/>
        <color theme="1"/>
        <rFont val="Arial"/>
        <family val="2"/>
      </rPr>
      <t>. Department of Civil Engineering, Monash University and Mineral Policy Institute, Melbourne, VIC, Australia, October 2007; Revised April 2009, 277 pages.</t>
    </r>
  </si>
  <si>
    <t>No. Mines</t>
  </si>
  <si>
    <t>Iron
Ore</t>
  </si>
  <si>
    <r>
      <t>Wolfram
(as WO</t>
    </r>
    <r>
      <rPr>
        <vertAlign val="subscript"/>
        <sz val="10"/>
        <color theme="1"/>
        <rFont val="Arial"/>
        <family val="2"/>
      </rPr>
      <t>3</t>
    </r>
    <r>
      <rPr>
        <sz val="10"/>
        <color theme="1"/>
        <rFont val="Arial"/>
        <family val="2"/>
      </rPr>
      <t>)</t>
    </r>
  </si>
  <si>
    <r>
      <t>Uranium
(as U</t>
    </r>
    <r>
      <rPr>
        <vertAlign val="subscript"/>
        <sz val="10"/>
        <color theme="1"/>
        <rFont val="Arial"/>
        <family val="2"/>
      </rPr>
      <t>3</t>
    </r>
    <r>
      <rPr>
        <sz val="10"/>
        <color theme="1"/>
        <rFont val="Arial"/>
        <family val="2"/>
      </rPr>
      <t>O</t>
    </r>
    <r>
      <rPr>
        <vertAlign val="subscript"/>
        <sz val="10"/>
        <color theme="1"/>
        <rFont val="Arial"/>
        <family val="2"/>
      </rPr>
      <t>8</t>
    </r>
    <r>
      <rPr>
        <sz val="10"/>
        <color theme="1"/>
        <rFont val="Arial"/>
        <family val="2"/>
      </rPr>
      <t>)</t>
    </r>
  </si>
  <si>
    <t>Brown
Coal</t>
  </si>
  <si>
    <t>Platinum
Group
Elements</t>
  </si>
  <si>
    <t>Phosphate
Rock</t>
  </si>
  <si>
    <t>Rare
Earth
Oxides</t>
  </si>
  <si>
    <t>Mt PO4 rock</t>
  </si>
  <si>
    <t>Australia (cumulative)</t>
  </si>
  <si>
    <t>Australia (sum of mines &amp; fields)</t>
  </si>
  <si>
    <r>
      <t>1872-1970</t>
    </r>
    <r>
      <rPr>
        <vertAlign val="superscript"/>
        <sz val="10"/>
        <color theme="1"/>
        <rFont val="Arial"/>
        <family val="2"/>
      </rPr>
      <t>@</t>
    </r>
  </si>
  <si>
    <r>
      <t>1890-1962</t>
    </r>
    <r>
      <rPr>
        <vertAlign val="superscript"/>
        <sz val="10"/>
        <color theme="1"/>
        <rFont val="Arial"/>
        <family val="2"/>
      </rPr>
      <t>@</t>
    </r>
  </si>
  <si>
    <r>
      <t>1898-1984</t>
    </r>
    <r>
      <rPr>
        <vertAlign val="superscript"/>
        <sz val="10"/>
        <color theme="1"/>
        <rFont val="Arial"/>
        <family val="2"/>
      </rPr>
      <t>@</t>
    </r>
  </si>
  <si>
    <r>
      <t>1875-1959</t>
    </r>
    <r>
      <rPr>
        <vertAlign val="superscript"/>
        <sz val="10"/>
        <color theme="1"/>
        <rFont val="Arial"/>
        <family val="2"/>
      </rPr>
      <t>@</t>
    </r>
  </si>
  <si>
    <r>
      <t>1875-1964</t>
    </r>
    <r>
      <rPr>
        <vertAlign val="superscript"/>
        <sz val="10"/>
        <color theme="1"/>
        <rFont val="Arial"/>
        <family val="2"/>
      </rPr>
      <t>@</t>
    </r>
  </si>
  <si>
    <r>
      <t>1875-1958</t>
    </r>
    <r>
      <rPr>
        <vertAlign val="superscript"/>
        <sz val="10"/>
        <color theme="1"/>
        <rFont val="Arial"/>
        <family val="2"/>
      </rPr>
      <t>@</t>
    </r>
  </si>
  <si>
    <r>
      <t>1875-1962</t>
    </r>
    <r>
      <rPr>
        <vertAlign val="superscript"/>
        <sz val="10"/>
        <color theme="1"/>
        <rFont val="Arial"/>
        <family val="2"/>
      </rPr>
      <t>@</t>
    </r>
  </si>
  <si>
    <r>
      <t>1875-1960</t>
    </r>
    <r>
      <rPr>
        <vertAlign val="superscript"/>
        <sz val="10"/>
        <color theme="1"/>
        <rFont val="Arial"/>
        <family val="2"/>
      </rPr>
      <t>@</t>
    </r>
  </si>
  <si>
    <r>
      <t>1879-1954</t>
    </r>
    <r>
      <rPr>
        <vertAlign val="superscript"/>
        <sz val="10"/>
        <color theme="1"/>
        <rFont val="Arial"/>
        <family val="2"/>
      </rPr>
      <t>@</t>
    </r>
  </si>
  <si>
    <r>
      <t>1884-1968</t>
    </r>
    <r>
      <rPr>
        <vertAlign val="superscript"/>
        <sz val="10"/>
        <color theme="1"/>
        <rFont val="Arial"/>
        <family val="2"/>
      </rPr>
      <t>@</t>
    </r>
  </si>
  <si>
    <r>
      <t>1883-1937</t>
    </r>
    <r>
      <rPr>
        <vertAlign val="superscript"/>
        <sz val="10"/>
        <color theme="1"/>
        <rFont val="Arial"/>
        <family val="2"/>
      </rPr>
      <t>@</t>
    </r>
  </si>
  <si>
    <r>
      <t>1888-1958</t>
    </r>
    <r>
      <rPr>
        <vertAlign val="superscript"/>
        <sz val="10"/>
        <color theme="1"/>
        <rFont val="Arial"/>
        <family val="2"/>
      </rPr>
      <t>@</t>
    </r>
  </si>
  <si>
    <r>
      <t>1875-1959</t>
    </r>
    <r>
      <rPr>
        <vertAlign val="superscript"/>
        <sz val="10"/>
        <color theme="1"/>
        <rFont val="Arial"/>
        <family val="2"/>
      </rPr>
      <t>,@</t>
    </r>
  </si>
  <si>
    <t>1851-1883</t>
  </si>
  <si>
    <r>
      <t>1875-1964</t>
    </r>
    <r>
      <rPr>
        <vertAlign val="superscript"/>
        <sz val="10"/>
        <color theme="1"/>
        <rFont val="Arial"/>
        <family val="2"/>
      </rPr>
      <t>,@</t>
    </r>
  </si>
  <si>
    <r>
      <t>1877-1950</t>
    </r>
    <r>
      <rPr>
        <vertAlign val="superscript"/>
        <sz val="10"/>
        <color theme="1"/>
        <rFont val="Arial"/>
        <family val="2"/>
      </rPr>
      <t>,@</t>
    </r>
  </si>
  <si>
    <r>
      <t>1901-1942</t>
    </r>
    <r>
      <rPr>
        <vertAlign val="superscript"/>
        <sz val="10"/>
        <color theme="1"/>
        <rFont val="Arial"/>
        <family val="2"/>
      </rPr>
      <t>@</t>
    </r>
  </si>
  <si>
    <r>
      <t>1898-1941</t>
    </r>
    <r>
      <rPr>
        <vertAlign val="superscript"/>
        <sz val="10"/>
        <color theme="1"/>
        <rFont val="Arial"/>
        <family val="2"/>
      </rPr>
      <t>@</t>
    </r>
  </si>
  <si>
    <r>
      <t>1896-1940</t>
    </r>
    <r>
      <rPr>
        <vertAlign val="superscript"/>
        <sz val="10"/>
        <color theme="1"/>
        <rFont val="Arial"/>
        <family val="2"/>
      </rPr>
      <t>@</t>
    </r>
  </si>
  <si>
    <r>
      <t>1908-1941</t>
    </r>
    <r>
      <rPr>
        <vertAlign val="superscript"/>
        <sz val="10"/>
        <color theme="1"/>
        <rFont val="Arial"/>
        <family val="2"/>
      </rPr>
      <t>@</t>
    </r>
  </si>
  <si>
    <r>
      <t>1913-1935</t>
    </r>
    <r>
      <rPr>
        <vertAlign val="superscript"/>
        <sz val="10"/>
        <color theme="1"/>
        <rFont val="Arial"/>
        <family val="2"/>
      </rPr>
      <t>@</t>
    </r>
  </si>
  <si>
    <r>
      <t>1914-1939</t>
    </r>
    <r>
      <rPr>
        <vertAlign val="superscript"/>
        <sz val="10"/>
        <color theme="1"/>
        <rFont val="Arial"/>
        <family val="2"/>
      </rPr>
      <t>@</t>
    </r>
  </si>
  <si>
    <t>1902-1958</t>
  </si>
  <si>
    <t>1851-1983</t>
  </si>
  <si>
    <t>-</t>
  </si>
  <si>
    <t>Black
Coal</t>
  </si>
  <si>
    <t>Mt raw</t>
  </si>
  <si>
    <t>Australian Territories</t>
  </si>
  <si>
    <t>kt Li</t>
  </si>
  <si>
    <t>kt V</t>
  </si>
  <si>
    <t>Garnet</t>
  </si>
  <si>
    <t>kt garnet</t>
  </si>
  <si>
    <t>Ilmenite</t>
  </si>
  <si>
    <t>kt ilmenite</t>
  </si>
  <si>
    <t>Rutile</t>
  </si>
  <si>
    <t>Zircon</t>
  </si>
  <si>
    <t>Monazite</t>
  </si>
  <si>
    <t>Leucoxene</t>
  </si>
  <si>
    <t>kt leucoxene</t>
  </si>
  <si>
    <t>kt rutile</t>
  </si>
  <si>
    <t>kt zircon</t>
  </si>
  <si>
    <t>kt monazite</t>
  </si>
  <si>
    <t>• Data represents the contained metal or minerals within a saleable product leaving a mine gate (e.g., contained metal or minerals in concentrates, doré bars, direct shipping ore, refined metal, saleable ore). (Note: contained metal is not the same as payable metal, which is what a mine gets paid for after deductions by a smelter / refinery).</t>
  </si>
  <si>
    <t>Ratio (%)</t>
  </si>
  <si>
    <t>Mine Production Data</t>
  </si>
  <si>
    <t>Time Series Data</t>
  </si>
  <si>
    <t>Synthetic Rutile</t>
  </si>
  <si>
    <t>INCOMPLETE</t>
  </si>
  <si>
    <t>Smelters-Refineries / Territories</t>
  </si>
  <si>
    <t>kt</t>
  </si>
  <si>
    <t>Mt alumina</t>
  </si>
  <si>
    <r>
      <t>1967-2021</t>
    </r>
    <r>
      <rPr>
        <vertAlign val="superscript"/>
        <sz val="10"/>
        <color theme="1"/>
        <rFont val="Arial"/>
        <family val="2"/>
      </rPr>
      <t>#</t>
    </r>
  </si>
  <si>
    <t>Gove (bauxite &amp; alumina)</t>
  </si>
  <si>
    <t>Kwinana (alumina)</t>
  </si>
  <si>
    <t>Worsley (alumina)</t>
  </si>
  <si>
    <t>Pinjarra (alumina)</t>
  </si>
  <si>
    <t>Wagerup (alumina)</t>
  </si>
  <si>
    <r>
      <t>1963-2021</t>
    </r>
    <r>
      <rPr>
        <vertAlign val="superscript"/>
        <sz val="10"/>
        <color theme="1"/>
        <rFont val="Arial"/>
        <family val="2"/>
      </rPr>
      <t>#</t>
    </r>
  </si>
  <si>
    <r>
      <t>1971-2021</t>
    </r>
    <r>
      <rPr>
        <vertAlign val="superscript"/>
        <sz val="10"/>
        <color theme="1"/>
        <rFont val="Arial"/>
        <family val="2"/>
      </rPr>
      <t>#</t>
    </r>
  </si>
  <si>
    <t>Weipa (bauxite)</t>
  </si>
  <si>
    <t>Yarwun (alumina)</t>
  </si>
  <si>
    <t>Queensland Alumina Ltd (QAL) (alumina)</t>
  </si>
  <si>
    <t>Darling Ranges (all mines; bauxite)</t>
  </si>
  <si>
    <r>
      <t>1959-2021</t>
    </r>
    <r>
      <rPr>
        <vertAlign val="superscript"/>
        <sz val="10"/>
        <color theme="1"/>
        <rFont val="Arial"/>
        <family val="2"/>
      </rPr>
      <t>#</t>
    </r>
  </si>
  <si>
    <t>Mt bauxite</t>
  </si>
  <si>
    <t>1951-2000</t>
  </si>
  <si>
    <t>by 1900</t>
  </si>
  <si>
    <t>1901-1950</t>
  </si>
  <si>
    <t>2001-2021</t>
  </si>
  <si>
    <t>Bell Bay (alumina)</t>
  </si>
  <si>
    <t>1955-1975</t>
  </si>
  <si>
    <t>t Cr conc</t>
  </si>
  <si>
    <t>$/t Cr conc</t>
  </si>
  <si>
    <t>kt Cr conc</t>
  </si>
  <si>
    <t>Pilgangoora-Pilbara Minerals</t>
  </si>
  <si>
    <t>%Li</t>
  </si>
  <si>
    <t>Pilgangoora-Altura Mining</t>
  </si>
  <si>
    <t>Mount Cattlin</t>
  </si>
  <si>
    <r>
      <t>2010-2021</t>
    </r>
    <r>
      <rPr>
        <vertAlign val="superscript"/>
        <sz val="10"/>
        <color theme="1"/>
        <rFont val="Arial"/>
        <family val="2"/>
      </rPr>
      <t>@,#</t>
    </r>
  </si>
  <si>
    <t>Mount Marion</t>
  </si>
  <si>
    <t>2018-2020</t>
  </si>
  <si>
    <r>
      <t>%Li</t>
    </r>
    <r>
      <rPr>
        <vertAlign val="subscript"/>
        <sz val="10"/>
        <color theme="1"/>
        <rFont val="Arial"/>
        <family val="2"/>
      </rPr>
      <t>2</t>
    </r>
    <r>
      <rPr>
        <sz val="10"/>
        <color theme="1"/>
        <rFont val="Arial"/>
        <family val="2"/>
      </rPr>
      <t>O</t>
    </r>
  </si>
  <si>
    <t>Wodgina (Li)</t>
  </si>
  <si>
    <t>2017-2019</t>
  </si>
  <si>
    <t>Wolfram Camp (QLD) (W; early era)</t>
  </si>
  <si>
    <t>Wolfram Camp (QLD) (W; 1970s)</t>
  </si>
  <si>
    <t>Wolfram Camp (QLD) (W; alluvial)</t>
  </si>
  <si>
    <t>Wolfram Camp (QLD) (W; 2000s)</t>
  </si>
  <si>
    <t>Spodumene (Lithium)</t>
  </si>
  <si>
    <t>Bald Hill (Ta)</t>
  </si>
  <si>
    <r>
      <t>t Ta</t>
    </r>
    <r>
      <rPr>
        <vertAlign val="subscript"/>
        <sz val="10"/>
        <color theme="1"/>
        <rFont val="Arial"/>
        <family val="2"/>
      </rPr>
      <t>2</t>
    </r>
    <r>
      <rPr>
        <sz val="10"/>
        <color theme="1"/>
        <rFont val="Arial"/>
        <family val="2"/>
      </rPr>
      <t>O</t>
    </r>
    <r>
      <rPr>
        <vertAlign val="subscript"/>
        <sz val="10"/>
        <color theme="1"/>
        <rFont val="Arial"/>
        <family val="2"/>
      </rPr>
      <t>5</t>
    </r>
  </si>
  <si>
    <r>
      <t>t Ta</t>
    </r>
    <r>
      <rPr>
        <vertAlign val="subscript"/>
        <sz val="10"/>
        <color theme="1"/>
        <rFont val="Arial"/>
        <family val="2"/>
      </rPr>
      <t>2</t>
    </r>
    <r>
      <rPr>
        <sz val="10"/>
        <color theme="1"/>
        <rFont val="Arial"/>
        <family val="2"/>
      </rPr>
      <t>O</t>
    </r>
    <r>
      <rPr>
        <vertAlign val="subscript"/>
        <sz val="10"/>
        <color theme="1"/>
        <rFont val="Arial"/>
        <family val="2"/>
      </rPr>
      <t>5</t>
    </r>
    <r>
      <rPr>
        <sz val="10"/>
        <color theme="1"/>
        <rFont val="Arial"/>
        <family val="2"/>
      </rPr>
      <t xml:space="preserve"> conc</t>
    </r>
  </si>
  <si>
    <r>
      <t>g/t Ta</t>
    </r>
    <r>
      <rPr>
        <vertAlign val="subscript"/>
        <sz val="10"/>
        <color theme="1"/>
        <rFont val="Arial"/>
        <family val="2"/>
      </rPr>
      <t>2</t>
    </r>
    <r>
      <rPr>
        <sz val="10"/>
        <color theme="1"/>
        <rFont val="Arial"/>
        <family val="2"/>
      </rPr>
      <t>O</t>
    </r>
    <r>
      <rPr>
        <vertAlign val="subscript"/>
        <sz val="10"/>
        <color theme="1"/>
        <rFont val="Arial"/>
        <family val="2"/>
      </rPr>
      <t>5</t>
    </r>
  </si>
  <si>
    <t>Bald Hill (Li-Ta)</t>
  </si>
  <si>
    <t>This compilation has been developed over many, many years - all librarians, agency staff and colleagues who have helped along the way are kindly acknowledged. The current motivation to update and expand these data was to support Geoscience Australia's National Atlas of Mine Waste (search online).
Whilst much of this research has been compiled for academic research on sustainable mining, at times the efforts have enjoyed financial support from CSIRO and Geoscience Australia.
All indigenous groups and interests in lands where mining has occurred, continues at present or could in the future, are rightfully acknowledged.</t>
  </si>
  <si>
    <t>2002-2018</t>
  </si>
  <si>
    <t>Elizabeth Hill</t>
  </si>
  <si>
    <t>Bauxite Hills</t>
  </si>
  <si>
    <t>Mine Prod.</t>
  </si>
  <si>
    <t>• Very minor differences remain between mine production time series (e.g., mined Cu production in column BP) and totals in the Summary or Mine by Mine tabs.</t>
  </si>
  <si>
    <r>
      <t xml:space="preserve">Author: </t>
    </r>
    <r>
      <rPr>
        <b/>
        <sz val="20"/>
        <color rgb="FF0000CC"/>
        <rFont val="Arial"/>
        <family val="2"/>
      </rPr>
      <t>Gavin M. Mudd</t>
    </r>
  </si>
  <si>
    <t>• Any errors - or even additional data to amend or add - please contact the author.</t>
  </si>
  <si>
    <t>Mine / Project / Field</t>
  </si>
  <si>
    <r>
      <t xml:space="preserve">OLD GOLD FIELDS: </t>
    </r>
    <r>
      <rPr>
        <b/>
        <sz val="10"/>
        <color rgb="FFFF0000"/>
        <rFont val="Arial"/>
        <family val="2"/>
      </rPr>
      <t>WA</t>
    </r>
  </si>
  <si>
    <r>
      <t xml:space="preserve">OLD GOLD FIELDS: </t>
    </r>
    <r>
      <rPr>
        <b/>
        <sz val="10"/>
        <color rgb="FFFF0000"/>
        <rFont val="Arial"/>
        <family val="2"/>
      </rPr>
      <t>VIC</t>
    </r>
    <r>
      <rPr>
        <b/>
        <sz val="10"/>
        <color rgb="FF0000CC"/>
        <rFont val="Arial"/>
        <family val="2"/>
      </rPr>
      <t xml:space="preserve"> </t>
    </r>
    <r>
      <rPr>
        <b/>
        <sz val="10"/>
        <color rgb="FF800000"/>
        <rFont val="Arial"/>
        <family val="2"/>
      </rPr>
      <t>Quartz</t>
    </r>
  </si>
  <si>
    <r>
      <t xml:space="preserve">OLD GOLD FIELDS: </t>
    </r>
    <r>
      <rPr>
        <b/>
        <sz val="10"/>
        <color rgb="FFFF0000"/>
        <rFont val="Arial"/>
        <family val="2"/>
      </rPr>
      <t>VIC</t>
    </r>
    <r>
      <rPr>
        <b/>
        <sz val="10"/>
        <color rgb="FF0000CC"/>
        <rFont val="Arial"/>
        <family val="2"/>
      </rPr>
      <t xml:space="preserve"> </t>
    </r>
    <r>
      <rPr>
        <b/>
        <sz val="10"/>
        <color rgb="FF006600"/>
        <rFont val="Arial"/>
        <family val="2"/>
      </rPr>
      <t>Alluvial &amp; Cement</t>
    </r>
  </si>
  <si>
    <r>
      <t xml:space="preserve">OLD GOLD FIELDS: </t>
    </r>
    <r>
      <rPr>
        <b/>
        <sz val="10"/>
        <color rgb="FFFF0000"/>
        <rFont val="Arial"/>
        <family val="2"/>
      </rPr>
      <t>QLD</t>
    </r>
  </si>
  <si>
    <r>
      <t xml:space="preserve">OLD GOLD FIELDS: </t>
    </r>
    <r>
      <rPr>
        <b/>
        <sz val="10"/>
        <color rgb="FFFF0000"/>
        <rFont val="Arial"/>
        <family val="2"/>
      </rPr>
      <t>SA</t>
    </r>
  </si>
  <si>
    <r>
      <t xml:space="preserve">OLD GOLD FIELDS: </t>
    </r>
    <r>
      <rPr>
        <b/>
        <sz val="10"/>
        <color rgb="FFFF0000"/>
        <rFont val="Arial"/>
        <family val="2"/>
      </rPr>
      <t>TAS</t>
    </r>
  </si>
  <si>
    <r>
      <t xml:space="preserve">OLD GOLD FIELDS: </t>
    </r>
    <r>
      <rPr>
        <b/>
        <sz val="10"/>
        <color rgb="FFFF0000"/>
        <rFont val="Arial"/>
        <family val="2"/>
      </rPr>
      <t>NSW</t>
    </r>
    <r>
      <rPr>
        <b/>
        <sz val="10"/>
        <color rgb="FF0000CC"/>
        <rFont val="Arial"/>
        <family val="2"/>
      </rPr>
      <t xml:space="preserve"> </t>
    </r>
    <r>
      <rPr>
        <b/>
        <sz val="10"/>
        <color rgb="FF800000"/>
        <rFont val="Arial"/>
        <family val="2"/>
      </rPr>
      <t>Quartz</t>
    </r>
  </si>
  <si>
    <r>
      <t xml:space="preserve">OLD GOLD FIELDS: </t>
    </r>
    <r>
      <rPr>
        <b/>
        <sz val="10"/>
        <color rgb="FFFF0000"/>
        <rFont val="Arial"/>
        <family val="2"/>
      </rPr>
      <t>NSW</t>
    </r>
    <r>
      <rPr>
        <b/>
        <sz val="10"/>
        <color rgb="FF0000CC"/>
        <rFont val="Arial"/>
        <family val="2"/>
      </rPr>
      <t xml:space="preserve"> </t>
    </r>
    <r>
      <rPr>
        <b/>
        <sz val="10"/>
        <color rgb="FF006600"/>
        <rFont val="Arial"/>
        <family val="2"/>
      </rPr>
      <t>Alluvial</t>
    </r>
  </si>
  <si>
    <r>
      <t xml:space="preserve">OLD GOLD FIELDS: </t>
    </r>
    <r>
      <rPr>
        <b/>
        <sz val="10"/>
        <color rgb="FFFF0000"/>
        <rFont val="Arial"/>
        <family val="2"/>
      </rPr>
      <t>NT</t>
    </r>
    <r>
      <rPr>
        <b/>
        <sz val="10"/>
        <color rgb="FF0000CC"/>
        <rFont val="Arial"/>
        <family val="2"/>
      </rPr>
      <t xml:space="preserve"> </t>
    </r>
    <r>
      <rPr>
        <b/>
        <sz val="10"/>
        <color rgb="FF800000"/>
        <rFont val="Arial"/>
        <family val="2"/>
      </rPr>
      <t>Quartz</t>
    </r>
  </si>
  <si>
    <t>A Comprehensive Dataset for
Australian Mine Production, 1799-2021</t>
  </si>
  <si>
    <t>Ore Grades</t>
  </si>
  <si>
    <t>Ore</t>
  </si>
  <si>
    <t>Processed</t>
  </si>
  <si>
    <t>State /</t>
  </si>
  <si>
    <t>Territory</t>
  </si>
  <si>
    <t>Note: This synthesis does not include industrial and construction minerals and materials (e.g., aggregates, sand, barite, limestone, clays, dimension stone, etc).</t>
  </si>
  <si>
    <r>
      <t>Al</t>
    </r>
    <r>
      <rPr>
        <vertAlign val="subscript"/>
        <sz val="10"/>
        <color theme="1"/>
        <rFont val="Arial"/>
        <family val="2"/>
      </rPr>
      <t>2</t>
    </r>
    <r>
      <rPr>
        <sz val="10"/>
        <color theme="1"/>
        <rFont val="Arial"/>
        <family val="2"/>
      </rPr>
      <t>O</t>
    </r>
    <r>
      <rPr>
        <vertAlign val="subscript"/>
        <sz val="10"/>
        <color theme="1"/>
        <rFont val="Arial"/>
        <family val="2"/>
      </rPr>
      <t>3</t>
    </r>
  </si>
  <si>
    <t>Manganese conc (or ore)</t>
  </si>
  <si>
    <t>Fe Ore</t>
  </si>
  <si>
    <t>Ga</t>
  </si>
  <si>
    <t>V</t>
  </si>
  <si>
    <t>Li</t>
  </si>
  <si>
    <t>Mo</t>
  </si>
  <si>
    <t>Phosphate (rock or ore)</t>
  </si>
  <si>
    <t>Platinum Group Elements</t>
  </si>
  <si>
    <t>Pt</t>
  </si>
  <si>
    <t>Platinum</t>
  </si>
  <si>
    <t>Palladium</t>
  </si>
  <si>
    <t>Rhodium</t>
  </si>
  <si>
    <t>Pd</t>
  </si>
  <si>
    <t>Ruthenium</t>
  </si>
  <si>
    <t>Osmium</t>
  </si>
  <si>
    <t>Iridium</t>
  </si>
  <si>
    <t>REOs</t>
  </si>
  <si>
    <t>Rare Earth Oxides</t>
  </si>
  <si>
    <t>REEs</t>
  </si>
  <si>
    <t>Rare Earth Elements</t>
  </si>
  <si>
    <t>Ta</t>
  </si>
  <si>
    <t>Nb</t>
  </si>
  <si>
    <t>Cd</t>
  </si>
  <si>
    <t>HMS</t>
  </si>
  <si>
    <t>Heavy Mineral Sands</t>
  </si>
  <si>
    <t>Garnet (from HMS)</t>
  </si>
  <si>
    <t>Ilmenite (from HMS)</t>
  </si>
  <si>
    <r>
      <t>TiO</t>
    </r>
    <r>
      <rPr>
        <vertAlign val="subscript"/>
        <sz val="10"/>
        <color theme="1"/>
        <rFont val="Arial"/>
        <family val="2"/>
      </rPr>
      <t>2</t>
    </r>
  </si>
  <si>
    <t>Rutile (from HMS)</t>
  </si>
  <si>
    <r>
      <t>FeTiO</t>
    </r>
    <r>
      <rPr>
        <vertAlign val="subscript"/>
        <sz val="10"/>
        <color theme="1"/>
        <rFont val="Arial"/>
        <family val="2"/>
      </rPr>
      <t>3</t>
    </r>
  </si>
  <si>
    <r>
      <t>ZrSiO</t>
    </r>
    <r>
      <rPr>
        <vertAlign val="subscript"/>
        <sz val="10"/>
        <color theme="1"/>
        <rFont val="Arial"/>
        <family val="2"/>
      </rPr>
      <t>4</t>
    </r>
  </si>
  <si>
    <t>Zircon (from HMS)</t>
  </si>
  <si>
    <t>Leucoxene (from HMS)</t>
  </si>
  <si>
    <r>
      <t>impure TiO</t>
    </r>
    <r>
      <rPr>
        <vertAlign val="subscript"/>
        <sz val="10"/>
        <color theme="1"/>
        <rFont val="Arial"/>
        <family val="2"/>
      </rPr>
      <t>2</t>
    </r>
  </si>
  <si>
    <t>Monazite (from HMS)</t>
  </si>
  <si>
    <t>DATA INCLUDED</t>
  </si>
  <si>
    <t>Mt conc</t>
  </si>
  <si>
    <t>(in no particular order)</t>
  </si>
  <si>
    <r>
      <t>2019-2021</t>
    </r>
    <r>
      <rPr>
        <vertAlign val="superscript"/>
        <sz val="10"/>
        <color theme="1"/>
        <rFont val="Arial"/>
        <family val="2"/>
      </rPr>
      <t>@,#</t>
    </r>
  </si>
  <si>
    <r>
      <t>2011-2021</t>
    </r>
    <r>
      <rPr>
        <vertAlign val="superscript"/>
        <sz val="10"/>
        <color theme="1"/>
        <rFont val="Arial"/>
        <family val="2"/>
      </rPr>
      <t>@,#</t>
    </r>
  </si>
  <si>
    <r>
      <t xml:space="preserve">Any use of this data must include a correct citation to this source, along with the journal paper in </t>
    </r>
    <r>
      <rPr>
        <b/>
        <i/>
        <sz val="11"/>
        <color rgb="FFFFFF00"/>
        <rFont val="Arial"/>
        <family val="2"/>
      </rPr>
      <t>Nature Scientific Data</t>
    </r>
    <r>
      <rPr>
        <b/>
        <sz val="11"/>
        <color rgb="FFFFFF00"/>
        <rFont val="Arial"/>
        <family val="2"/>
      </rPr>
      <t>.</t>
    </r>
  </si>
  <si>
    <t>Op</t>
  </si>
  <si>
    <t>C&amp;M</t>
  </si>
  <si>
    <t>Au-Cu</t>
  </si>
  <si>
    <t>Cu-Au-Ag</t>
  </si>
  <si>
    <t>Cu-Au</t>
  </si>
  <si>
    <t>Rehab</t>
  </si>
  <si>
    <t>Cu-Zn-Ag</t>
  </si>
  <si>
    <t>Cu-Zn-Pb-Ag-Au</t>
  </si>
  <si>
    <t>Cu-U-Au-Ag</t>
  </si>
  <si>
    <t>Aban</t>
  </si>
  <si>
    <t>Pb-Zn-Ag-Au</t>
  </si>
  <si>
    <t>Au-Pb-Zn-Ag</t>
  </si>
  <si>
    <t>Au-Cu-Ag</t>
  </si>
  <si>
    <t>Au-Ag</t>
  </si>
  <si>
    <t>Pb-Zn-Ag</t>
  </si>
  <si>
    <t>Au-Cu-Pb-Zn-Ag</t>
  </si>
  <si>
    <t>Au-Sb</t>
  </si>
  <si>
    <t>Pb-Zn-Ag-Cu-Au</t>
  </si>
  <si>
    <t>Fe-Cu</t>
  </si>
  <si>
    <t>Closed</t>
  </si>
  <si>
    <t>Ra-U</t>
  </si>
  <si>
    <t>Cu-Ag</t>
  </si>
  <si>
    <t>Pb-Ag</t>
  </si>
  <si>
    <t>Ni-Cu-Co-PGE</t>
  </si>
  <si>
    <t>Ni-Cu-Co</t>
  </si>
  <si>
    <t>Ni-Co</t>
  </si>
  <si>
    <t>Pb-Zn</t>
  </si>
  <si>
    <t>Pb-Zn-Cu-Ag</t>
  </si>
  <si>
    <t>Cu-Ag-Au</t>
  </si>
  <si>
    <t>Cu-Au-Ag-Pb</t>
  </si>
  <si>
    <t>Pb-Au-Ag</t>
  </si>
  <si>
    <t>Cu-Pb-Zn-Ag-Au</t>
  </si>
  <si>
    <t>Pb-Au-Cu-Ag</t>
  </si>
  <si>
    <t>Pb-Ag-Zn</t>
  </si>
  <si>
    <t>Zn-Ag</t>
  </si>
  <si>
    <t>Sn-Cu</t>
  </si>
  <si>
    <t>Sn-As</t>
  </si>
  <si>
    <t>Sn-W</t>
  </si>
  <si>
    <t>Fe-W</t>
  </si>
  <si>
    <t>W-Mo-Bi</t>
  </si>
  <si>
    <t>Cr</t>
  </si>
  <si>
    <t>diamonds</t>
  </si>
  <si>
    <t>phosphate</t>
  </si>
  <si>
    <t>brown coal</t>
  </si>
  <si>
    <t>alumina</t>
  </si>
  <si>
    <t>bauxite</t>
  </si>
  <si>
    <t>bauxite-alumina</t>
  </si>
  <si>
    <t>PGE</t>
  </si>
  <si>
    <t>Li-Ta</t>
  </si>
  <si>
    <t>Pb-Ag-Zn-Au</t>
  </si>
  <si>
    <t>Pb-Cu-Ag-Au</t>
  </si>
  <si>
    <t>Status</t>
  </si>
  <si>
    <t>Metals / Minerals</t>
  </si>
  <si>
    <t>Lady Annie (HL)</t>
  </si>
  <si>
    <r>
      <t>2007-2015</t>
    </r>
    <r>
      <rPr>
        <vertAlign val="superscript"/>
        <sz val="10"/>
        <color theme="1"/>
        <rFont val="Arial"/>
        <family val="2"/>
      </rPr>
      <t>@</t>
    </r>
  </si>
  <si>
    <t>Mount Charlotte</t>
  </si>
  <si>
    <t>Fimiston</t>
  </si>
  <si>
    <r>
      <t xml:space="preserve">ND - No Data. </t>
    </r>
    <r>
      <rPr>
        <b/>
        <vertAlign val="superscript"/>
        <sz val="10"/>
        <color rgb="FF0000CC"/>
        <rFont val="Arial"/>
        <family val="2"/>
      </rPr>
      <t>E</t>
    </r>
    <r>
      <rPr>
        <b/>
        <sz val="10"/>
        <color rgb="FF0000CC"/>
        <rFont val="Arial"/>
        <family val="2"/>
      </rPr>
      <t xml:space="preserve">Estimated and/or incomplete data. </t>
    </r>
    <r>
      <rPr>
        <b/>
        <vertAlign val="superscript"/>
        <sz val="10"/>
        <color rgb="FF0000CC"/>
        <rFont val="Arial"/>
        <family val="2"/>
      </rPr>
      <t>#</t>
    </r>
    <r>
      <rPr>
        <b/>
        <sz val="10"/>
        <color rgb="FF0000CC"/>
        <rFont val="Arial"/>
        <family val="2"/>
      </rPr>
      <t xml:space="preserve">Still in operation at year end 2021 (or year shown); </t>
    </r>
    <r>
      <rPr>
        <b/>
        <vertAlign val="superscript"/>
        <sz val="10"/>
        <color rgb="FF0000CC"/>
        <rFont val="Arial"/>
        <family val="2"/>
      </rPr>
      <t>@</t>
    </r>
    <r>
      <rPr>
        <b/>
        <sz val="10"/>
        <color rgb="FF0000CC"/>
        <rFont val="Arial"/>
        <family val="2"/>
      </rPr>
      <t xml:space="preserve">Production not continuous during the time period stated; </t>
    </r>
    <r>
      <rPr>
        <b/>
        <vertAlign val="superscript"/>
        <sz val="10"/>
        <color rgb="FF0000CC"/>
        <rFont val="Arial"/>
        <family val="2"/>
      </rPr>
      <t>$</t>
    </r>
    <r>
      <rPr>
        <b/>
        <sz val="10"/>
        <color rgb="FF0000CC"/>
        <rFont val="Arial"/>
        <family val="2"/>
      </rPr>
      <t xml:space="preserve">Earlier production in field data; </t>
    </r>
    <r>
      <rPr>
        <b/>
        <vertAlign val="superscript"/>
        <sz val="10"/>
        <color rgb="FF0000CC"/>
        <rFont val="Arial"/>
        <family val="2"/>
      </rPr>
      <t>E</t>
    </r>
    <r>
      <rPr>
        <b/>
        <sz val="10"/>
        <color rgb="FF0000CC"/>
        <rFont val="Arial"/>
        <family val="2"/>
      </rPr>
      <t>Includes some estimated data.</t>
    </r>
  </si>
  <si>
    <r>
      <t>30.7</t>
    </r>
    <r>
      <rPr>
        <vertAlign val="superscript"/>
        <sz val="10"/>
        <rFont val="Arial"/>
        <family val="2"/>
      </rPr>
      <t>E</t>
    </r>
  </si>
  <si>
    <r>
      <t>1.12</t>
    </r>
    <r>
      <rPr>
        <vertAlign val="superscript"/>
        <sz val="10"/>
        <color theme="1"/>
        <rFont val="Arial"/>
        <family val="2"/>
      </rPr>
      <t>E</t>
    </r>
  </si>
  <si>
    <r>
      <t>0.6</t>
    </r>
    <r>
      <rPr>
        <vertAlign val="superscript"/>
        <sz val="10"/>
        <color theme="1"/>
        <rFont val="Arial"/>
        <family val="2"/>
      </rPr>
      <t>E</t>
    </r>
  </si>
  <si>
    <r>
      <t>0.5</t>
    </r>
    <r>
      <rPr>
        <vertAlign val="superscript"/>
        <sz val="10"/>
        <color theme="1"/>
        <rFont val="Arial"/>
        <family val="2"/>
      </rPr>
      <t>E</t>
    </r>
  </si>
  <si>
    <r>
      <t>5.20</t>
    </r>
    <r>
      <rPr>
        <vertAlign val="superscript"/>
        <sz val="10"/>
        <color theme="1"/>
        <rFont val="Arial"/>
        <family val="2"/>
      </rPr>
      <t>E</t>
    </r>
  </si>
  <si>
    <r>
      <t>0.1</t>
    </r>
    <r>
      <rPr>
        <vertAlign val="superscript"/>
        <sz val="10"/>
        <color theme="1"/>
        <rFont val="Arial"/>
        <family val="2"/>
      </rPr>
      <t>E</t>
    </r>
  </si>
  <si>
    <r>
      <t>2.85</t>
    </r>
    <r>
      <rPr>
        <vertAlign val="superscript"/>
        <sz val="10"/>
        <color theme="1"/>
        <rFont val="Arial"/>
        <family val="2"/>
      </rPr>
      <t>E</t>
    </r>
  </si>
  <si>
    <r>
      <t>0.22</t>
    </r>
    <r>
      <rPr>
        <vertAlign val="superscript"/>
        <sz val="10"/>
        <color theme="1"/>
        <rFont val="Arial"/>
        <family val="2"/>
      </rPr>
      <t>E</t>
    </r>
  </si>
  <si>
    <r>
      <t>0.91</t>
    </r>
    <r>
      <rPr>
        <vertAlign val="superscript"/>
        <sz val="10"/>
        <color theme="1"/>
        <rFont val="Arial"/>
        <family val="2"/>
      </rPr>
      <t>E</t>
    </r>
  </si>
  <si>
    <r>
      <t>40.7</t>
    </r>
    <r>
      <rPr>
        <vertAlign val="superscript"/>
        <sz val="10"/>
        <color theme="1"/>
        <rFont val="Arial"/>
        <family val="2"/>
      </rPr>
      <t>E</t>
    </r>
  </si>
  <si>
    <r>
      <t>2.16</t>
    </r>
    <r>
      <rPr>
        <vertAlign val="superscript"/>
        <sz val="10"/>
        <color theme="1"/>
        <rFont val="Arial"/>
        <family val="2"/>
      </rPr>
      <t>E</t>
    </r>
  </si>
  <si>
    <r>
      <t>2.86</t>
    </r>
    <r>
      <rPr>
        <vertAlign val="superscript"/>
        <sz val="10"/>
        <color theme="1"/>
        <rFont val="Arial"/>
        <family val="2"/>
      </rPr>
      <t>E</t>
    </r>
  </si>
  <si>
    <r>
      <t>14.1</t>
    </r>
    <r>
      <rPr>
        <vertAlign val="superscript"/>
        <sz val="10"/>
        <color theme="1"/>
        <rFont val="Arial"/>
        <family val="2"/>
      </rPr>
      <t>E</t>
    </r>
  </si>
  <si>
    <r>
      <t>0.70</t>
    </r>
    <r>
      <rPr>
        <vertAlign val="superscript"/>
        <sz val="10"/>
        <color theme="1"/>
        <rFont val="Arial"/>
        <family val="2"/>
      </rPr>
      <t>E</t>
    </r>
  </si>
  <si>
    <r>
      <t>13.3</t>
    </r>
    <r>
      <rPr>
        <vertAlign val="superscript"/>
        <sz val="10"/>
        <color theme="1"/>
        <rFont val="Arial"/>
        <family val="2"/>
      </rPr>
      <t>E</t>
    </r>
  </si>
  <si>
    <r>
      <t>0.41</t>
    </r>
    <r>
      <rPr>
        <vertAlign val="superscript"/>
        <sz val="10"/>
        <color theme="1"/>
        <rFont val="Arial"/>
        <family val="2"/>
      </rPr>
      <t>E</t>
    </r>
  </si>
  <si>
    <r>
      <t>4.1</t>
    </r>
    <r>
      <rPr>
        <vertAlign val="superscript"/>
        <sz val="10"/>
        <color theme="1"/>
        <rFont val="Arial"/>
        <family val="2"/>
      </rPr>
      <t>E</t>
    </r>
  </si>
  <si>
    <r>
      <t>1.2</t>
    </r>
    <r>
      <rPr>
        <vertAlign val="superscript"/>
        <sz val="10"/>
        <color theme="1"/>
        <rFont val="Arial"/>
        <family val="2"/>
      </rPr>
      <t>E</t>
    </r>
  </si>
  <si>
    <r>
      <t>0.26</t>
    </r>
    <r>
      <rPr>
        <vertAlign val="superscript"/>
        <sz val="10"/>
        <color theme="1"/>
        <rFont val="Arial"/>
        <family val="2"/>
      </rPr>
      <t>E</t>
    </r>
  </si>
  <si>
    <r>
      <t>27.4</t>
    </r>
    <r>
      <rPr>
        <vertAlign val="superscript"/>
        <sz val="10"/>
        <color theme="1"/>
        <rFont val="Arial"/>
        <family val="2"/>
      </rPr>
      <t>E</t>
    </r>
  </si>
  <si>
    <r>
      <t>2.61</t>
    </r>
    <r>
      <rPr>
        <vertAlign val="superscript"/>
        <sz val="10"/>
        <color theme="1"/>
        <rFont val="Arial"/>
        <family val="2"/>
      </rPr>
      <t>E</t>
    </r>
  </si>
  <si>
    <r>
      <t>0.526</t>
    </r>
    <r>
      <rPr>
        <vertAlign val="superscript"/>
        <sz val="10"/>
        <color theme="1"/>
        <rFont val="Arial"/>
        <family val="2"/>
      </rPr>
      <t>E</t>
    </r>
  </si>
  <si>
    <r>
      <t>1.6</t>
    </r>
    <r>
      <rPr>
        <vertAlign val="superscript"/>
        <sz val="10"/>
        <color theme="1"/>
        <rFont val="Arial"/>
        <family val="2"/>
      </rPr>
      <t>E</t>
    </r>
  </si>
  <si>
    <r>
      <t>2.2</t>
    </r>
    <r>
      <rPr>
        <vertAlign val="superscript"/>
        <sz val="10"/>
        <color theme="1"/>
        <rFont val="Arial"/>
        <family val="2"/>
      </rPr>
      <t>E</t>
    </r>
  </si>
  <si>
    <r>
      <t>44.9</t>
    </r>
    <r>
      <rPr>
        <vertAlign val="superscript"/>
        <sz val="10"/>
        <color theme="1"/>
        <rFont val="Arial"/>
        <family val="2"/>
      </rPr>
      <t>E</t>
    </r>
  </si>
  <si>
    <r>
      <t>138</t>
    </r>
    <r>
      <rPr>
        <vertAlign val="superscript"/>
        <sz val="10"/>
        <color theme="1"/>
        <rFont val="Arial"/>
        <family val="2"/>
      </rPr>
      <t>E</t>
    </r>
  </si>
  <si>
    <r>
      <t>0.43</t>
    </r>
    <r>
      <rPr>
        <vertAlign val="superscript"/>
        <sz val="10"/>
        <color theme="1"/>
        <rFont val="Arial"/>
        <family val="2"/>
      </rPr>
      <t>E</t>
    </r>
  </si>
  <si>
    <r>
      <t>4.2</t>
    </r>
    <r>
      <rPr>
        <vertAlign val="superscript"/>
        <sz val="10"/>
        <color theme="1"/>
        <rFont val="Arial"/>
        <family val="2"/>
      </rPr>
      <t>E</t>
    </r>
  </si>
  <si>
    <r>
      <t>12.1</t>
    </r>
    <r>
      <rPr>
        <vertAlign val="superscript"/>
        <sz val="10"/>
        <color theme="1"/>
        <rFont val="Arial"/>
        <family val="2"/>
      </rPr>
      <t>E</t>
    </r>
  </si>
  <si>
    <r>
      <t>351</t>
    </r>
    <r>
      <rPr>
        <vertAlign val="superscript"/>
        <sz val="10"/>
        <color theme="1"/>
        <rFont val="Arial"/>
        <family val="2"/>
      </rPr>
      <t>E</t>
    </r>
  </si>
  <si>
    <r>
      <t>10.6</t>
    </r>
    <r>
      <rPr>
        <vertAlign val="superscript"/>
        <sz val="10"/>
        <color theme="1"/>
        <rFont val="Arial"/>
        <family val="2"/>
      </rPr>
      <t>E</t>
    </r>
  </si>
  <si>
    <r>
      <t>14.6</t>
    </r>
    <r>
      <rPr>
        <vertAlign val="superscript"/>
        <sz val="10"/>
        <color theme="1"/>
        <rFont val="Arial"/>
        <family val="2"/>
      </rPr>
      <t>E</t>
    </r>
  </si>
  <si>
    <r>
      <t>7.6</t>
    </r>
    <r>
      <rPr>
        <vertAlign val="superscript"/>
        <sz val="10"/>
        <color theme="1"/>
        <rFont val="Arial"/>
        <family val="2"/>
      </rPr>
      <t>E</t>
    </r>
  </si>
  <si>
    <r>
      <t>11.3</t>
    </r>
    <r>
      <rPr>
        <vertAlign val="superscript"/>
        <sz val="10"/>
        <color theme="1"/>
        <rFont val="Arial"/>
        <family val="2"/>
      </rPr>
      <t>E</t>
    </r>
  </si>
  <si>
    <r>
      <t>15.8</t>
    </r>
    <r>
      <rPr>
        <vertAlign val="superscript"/>
        <sz val="10"/>
        <color theme="1"/>
        <rFont val="Arial"/>
        <family val="2"/>
      </rPr>
      <t>E</t>
    </r>
  </si>
  <si>
    <r>
      <t>5.8</t>
    </r>
    <r>
      <rPr>
        <vertAlign val="superscript"/>
        <sz val="10"/>
        <color theme="1"/>
        <rFont val="Arial"/>
        <family val="2"/>
      </rPr>
      <t>E</t>
    </r>
  </si>
  <si>
    <r>
      <t>560</t>
    </r>
    <r>
      <rPr>
        <vertAlign val="superscript"/>
        <sz val="10"/>
        <color theme="1"/>
        <rFont val="Arial"/>
        <family val="2"/>
      </rPr>
      <t>E</t>
    </r>
  </si>
  <si>
    <r>
      <t>146</t>
    </r>
    <r>
      <rPr>
        <vertAlign val="superscript"/>
        <sz val="10"/>
        <color theme="1"/>
        <rFont val="Arial"/>
        <family val="2"/>
      </rPr>
      <t>E</t>
    </r>
  </si>
  <si>
    <r>
      <t>480</t>
    </r>
    <r>
      <rPr>
        <vertAlign val="superscript"/>
        <sz val="10"/>
        <color theme="1"/>
        <rFont val="Arial"/>
        <family val="2"/>
      </rPr>
      <t>E</t>
    </r>
  </si>
  <si>
    <r>
      <t>538</t>
    </r>
    <r>
      <rPr>
        <vertAlign val="superscript"/>
        <sz val="10"/>
        <color theme="1"/>
        <rFont val="Arial"/>
        <family val="2"/>
      </rPr>
      <t>E</t>
    </r>
  </si>
  <si>
    <r>
      <t>1.28</t>
    </r>
    <r>
      <rPr>
        <vertAlign val="superscript"/>
        <sz val="10"/>
        <color theme="1"/>
        <rFont val="Arial"/>
        <family val="2"/>
      </rPr>
      <t>E</t>
    </r>
  </si>
  <si>
    <r>
      <t>47.4</t>
    </r>
    <r>
      <rPr>
        <vertAlign val="superscript"/>
        <sz val="10"/>
        <color theme="1"/>
        <rFont val="Arial"/>
        <family val="2"/>
      </rPr>
      <t>E</t>
    </r>
  </si>
  <si>
    <r>
      <t>0.75</t>
    </r>
    <r>
      <rPr>
        <vertAlign val="superscript"/>
        <sz val="10"/>
        <color theme="1"/>
        <rFont val="Arial"/>
        <family val="2"/>
      </rPr>
      <t>E</t>
    </r>
  </si>
  <si>
    <r>
      <t>0.11</t>
    </r>
    <r>
      <rPr>
        <vertAlign val="superscript"/>
        <sz val="10"/>
        <color theme="1"/>
        <rFont val="Arial"/>
        <family val="2"/>
      </rPr>
      <t>E</t>
    </r>
  </si>
  <si>
    <r>
      <t>268.6</t>
    </r>
    <r>
      <rPr>
        <vertAlign val="superscript"/>
        <sz val="10"/>
        <color theme="1"/>
        <rFont val="Arial"/>
        <family val="2"/>
      </rPr>
      <t>E</t>
    </r>
  </si>
  <si>
    <r>
      <t>0.59</t>
    </r>
    <r>
      <rPr>
        <vertAlign val="superscript"/>
        <sz val="10"/>
        <color theme="1"/>
        <rFont val="Arial"/>
        <family val="2"/>
      </rPr>
      <t>E</t>
    </r>
  </si>
  <si>
    <r>
      <t>1.72</t>
    </r>
    <r>
      <rPr>
        <vertAlign val="superscript"/>
        <sz val="10"/>
        <color theme="1"/>
        <rFont val="Arial"/>
        <family val="2"/>
      </rPr>
      <t>E</t>
    </r>
  </si>
  <si>
    <r>
      <t>78.8</t>
    </r>
    <r>
      <rPr>
        <vertAlign val="superscript"/>
        <sz val="10"/>
        <color theme="1"/>
        <rFont val="Arial"/>
        <family val="2"/>
      </rPr>
      <t>E</t>
    </r>
  </si>
  <si>
    <r>
      <t>54.4</t>
    </r>
    <r>
      <rPr>
        <vertAlign val="superscript"/>
        <sz val="10"/>
        <color theme="1"/>
        <rFont val="Arial"/>
        <family val="2"/>
      </rPr>
      <t>E</t>
    </r>
  </si>
  <si>
    <r>
      <t>0.15</t>
    </r>
    <r>
      <rPr>
        <vertAlign val="superscript"/>
        <sz val="10"/>
        <color theme="1"/>
        <rFont val="Arial"/>
        <family val="2"/>
      </rPr>
      <t>E</t>
    </r>
  </si>
  <si>
    <r>
      <t>80.0</t>
    </r>
    <r>
      <rPr>
        <vertAlign val="superscript"/>
        <sz val="10"/>
        <color theme="1"/>
        <rFont val="Arial"/>
        <family val="2"/>
      </rPr>
      <t>E</t>
    </r>
  </si>
  <si>
    <r>
      <t>1.13</t>
    </r>
    <r>
      <rPr>
        <vertAlign val="superscript"/>
        <sz val="10"/>
        <color theme="1"/>
        <rFont val="Arial"/>
        <family val="2"/>
      </rPr>
      <t>E</t>
    </r>
  </si>
  <si>
    <r>
      <t>0.082</t>
    </r>
    <r>
      <rPr>
        <vertAlign val="superscript"/>
        <sz val="10"/>
        <color theme="1"/>
        <rFont val="Arial"/>
        <family val="2"/>
      </rPr>
      <t>E</t>
    </r>
  </si>
  <si>
    <r>
      <t>0.03</t>
    </r>
    <r>
      <rPr>
        <vertAlign val="superscript"/>
        <sz val="10"/>
        <color theme="1"/>
        <rFont val="Arial"/>
        <family val="2"/>
      </rPr>
      <t>E</t>
    </r>
  </si>
  <si>
    <r>
      <t>9.7</t>
    </r>
    <r>
      <rPr>
        <vertAlign val="superscript"/>
        <sz val="10"/>
        <color theme="1"/>
        <rFont val="Arial"/>
        <family val="2"/>
      </rPr>
      <t>E</t>
    </r>
  </si>
  <si>
    <r>
      <t>4.7</t>
    </r>
    <r>
      <rPr>
        <vertAlign val="superscript"/>
        <sz val="10"/>
        <color theme="1"/>
        <rFont val="Arial"/>
        <family val="2"/>
      </rPr>
      <t>E</t>
    </r>
  </si>
  <si>
    <r>
      <t>0.16</t>
    </r>
    <r>
      <rPr>
        <vertAlign val="superscript"/>
        <sz val="10"/>
        <color theme="1"/>
        <rFont val="Arial"/>
        <family val="2"/>
      </rPr>
      <t>E</t>
    </r>
  </si>
  <si>
    <r>
      <t>0.0089</t>
    </r>
    <r>
      <rPr>
        <vertAlign val="superscript"/>
        <sz val="10"/>
        <color theme="1"/>
        <rFont val="Arial"/>
        <family val="2"/>
      </rPr>
      <t>E</t>
    </r>
  </si>
  <si>
    <r>
      <t>0.18</t>
    </r>
    <r>
      <rPr>
        <vertAlign val="superscript"/>
        <sz val="10"/>
        <color theme="1"/>
        <rFont val="Arial"/>
        <family val="2"/>
      </rPr>
      <t>E</t>
    </r>
  </si>
  <si>
    <r>
      <t>1.9</t>
    </r>
    <r>
      <rPr>
        <vertAlign val="superscript"/>
        <sz val="10"/>
        <color theme="1"/>
        <rFont val="Arial"/>
        <family val="2"/>
      </rPr>
      <t>E</t>
    </r>
  </si>
  <si>
    <r>
      <t>0.044</t>
    </r>
    <r>
      <rPr>
        <vertAlign val="superscript"/>
        <sz val="10"/>
        <color theme="1"/>
        <rFont val="Arial"/>
        <family val="2"/>
      </rPr>
      <t>E</t>
    </r>
  </si>
  <si>
    <r>
      <t>160</t>
    </r>
    <r>
      <rPr>
        <vertAlign val="superscript"/>
        <sz val="10"/>
        <color theme="1"/>
        <rFont val="Arial"/>
        <family val="2"/>
      </rPr>
      <t>E</t>
    </r>
  </si>
  <si>
    <r>
      <t>1.5</t>
    </r>
    <r>
      <rPr>
        <vertAlign val="superscript"/>
        <sz val="10"/>
        <color theme="1"/>
        <rFont val="Arial"/>
        <family val="2"/>
      </rPr>
      <t>E</t>
    </r>
  </si>
  <si>
    <r>
      <t>8.5</t>
    </r>
    <r>
      <rPr>
        <vertAlign val="superscript"/>
        <sz val="10"/>
        <color theme="1"/>
        <rFont val="Arial"/>
        <family val="2"/>
      </rPr>
      <t>E</t>
    </r>
  </si>
  <si>
    <r>
      <t>2.5</t>
    </r>
    <r>
      <rPr>
        <vertAlign val="superscript"/>
        <sz val="10"/>
        <color theme="1"/>
        <rFont val="Arial"/>
        <family val="2"/>
      </rPr>
      <t>E</t>
    </r>
  </si>
  <si>
    <r>
      <t>0.006</t>
    </r>
    <r>
      <rPr>
        <vertAlign val="superscript"/>
        <sz val="10"/>
        <color theme="1"/>
        <rFont val="Arial"/>
        <family val="2"/>
      </rPr>
      <t>E</t>
    </r>
  </si>
  <si>
    <r>
      <t>20</t>
    </r>
    <r>
      <rPr>
        <vertAlign val="superscript"/>
        <sz val="10"/>
        <color theme="1"/>
        <rFont val="Arial"/>
        <family val="2"/>
      </rPr>
      <t>E</t>
    </r>
  </si>
  <si>
    <r>
      <t>31.5</t>
    </r>
    <r>
      <rPr>
        <vertAlign val="superscript"/>
        <sz val="10"/>
        <color theme="1"/>
        <rFont val="Arial"/>
        <family val="2"/>
      </rPr>
      <t>E</t>
    </r>
  </si>
  <si>
    <r>
      <t>31.4</t>
    </r>
    <r>
      <rPr>
        <vertAlign val="superscript"/>
        <sz val="10"/>
        <color theme="1"/>
        <rFont val="Arial"/>
        <family val="2"/>
      </rPr>
      <t>E</t>
    </r>
  </si>
  <si>
    <r>
      <t>0.3</t>
    </r>
    <r>
      <rPr>
        <vertAlign val="superscript"/>
        <sz val="10"/>
        <color theme="1"/>
        <rFont val="Arial"/>
        <family val="2"/>
      </rPr>
      <t>E</t>
    </r>
  </si>
  <si>
    <r>
      <t>18.7</t>
    </r>
    <r>
      <rPr>
        <vertAlign val="superscript"/>
        <sz val="10"/>
        <color theme="1"/>
        <rFont val="Arial"/>
        <family val="2"/>
      </rPr>
      <t>E</t>
    </r>
  </si>
  <si>
    <r>
      <t>3.0</t>
    </r>
    <r>
      <rPr>
        <vertAlign val="superscript"/>
        <sz val="10"/>
        <color theme="1"/>
        <rFont val="Arial"/>
        <family val="2"/>
      </rPr>
      <t>E</t>
    </r>
  </si>
  <si>
    <r>
      <t>2</t>
    </r>
    <r>
      <rPr>
        <vertAlign val="superscript"/>
        <sz val="10"/>
        <color theme="1"/>
        <rFont val="Arial"/>
        <family val="2"/>
      </rPr>
      <t>E</t>
    </r>
  </si>
  <si>
    <r>
      <t>8.8</t>
    </r>
    <r>
      <rPr>
        <vertAlign val="superscript"/>
        <sz val="10"/>
        <color theme="1"/>
        <rFont val="Arial"/>
        <family val="2"/>
      </rPr>
      <t>E</t>
    </r>
  </si>
  <si>
    <r>
      <t>1.08</t>
    </r>
    <r>
      <rPr>
        <vertAlign val="superscript"/>
        <sz val="10"/>
        <color theme="1"/>
        <rFont val="Arial"/>
        <family val="2"/>
      </rPr>
      <t>E</t>
    </r>
  </si>
  <si>
    <r>
      <t>0.25</t>
    </r>
    <r>
      <rPr>
        <vertAlign val="superscript"/>
        <sz val="10"/>
        <color theme="1"/>
        <rFont val="Arial"/>
        <family val="2"/>
      </rPr>
      <t>E</t>
    </r>
  </si>
  <si>
    <r>
      <t>39</t>
    </r>
    <r>
      <rPr>
        <vertAlign val="superscript"/>
        <sz val="10"/>
        <color theme="1"/>
        <rFont val="Arial"/>
        <family val="2"/>
      </rPr>
      <t>E</t>
    </r>
  </si>
  <si>
    <r>
      <t>66</t>
    </r>
    <r>
      <rPr>
        <vertAlign val="superscript"/>
        <sz val="10"/>
        <color theme="1"/>
        <rFont val="Arial"/>
        <family val="2"/>
      </rPr>
      <t>E</t>
    </r>
  </si>
  <si>
    <r>
      <t>19.7</t>
    </r>
    <r>
      <rPr>
        <vertAlign val="superscript"/>
        <sz val="10"/>
        <color theme="1"/>
        <rFont val="Arial"/>
        <family val="2"/>
      </rPr>
      <t>E</t>
    </r>
  </si>
  <si>
    <r>
      <t>88</t>
    </r>
    <r>
      <rPr>
        <vertAlign val="superscript"/>
        <sz val="10"/>
        <color theme="1"/>
        <rFont val="Arial"/>
        <family val="2"/>
      </rPr>
      <t>E</t>
    </r>
  </si>
  <si>
    <r>
      <t>5.68</t>
    </r>
    <r>
      <rPr>
        <vertAlign val="superscript"/>
        <sz val="10"/>
        <color theme="1"/>
        <rFont val="Arial"/>
        <family val="2"/>
      </rPr>
      <t>E</t>
    </r>
  </si>
  <si>
    <r>
      <t>0.69</t>
    </r>
    <r>
      <rPr>
        <vertAlign val="superscript"/>
        <sz val="10"/>
        <color theme="1"/>
        <rFont val="Arial"/>
        <family val="2"/>
      </rPr>
      <t>E</t>
    </r>
  </si>
  <si>
    <r>
      <t>0.99</t>
    </r>
    <r>
      <rPr>
        <vertAlign val="superscript"/>
        <sz val="10"/>
        <color theme="1"/>
        <rFont val="Arial"/>
        <family val="2"/>
      </rPr>
      <t>E</t>
    </r>
  </si>
  <si>
    <r>
      <t>1.49</t>
    </r>
    <r>
      <rPr>
        <vertAlign val="superscript"/>
        <sz val="10"/>
        <color theme="1"/>
        <rFont val="Arial"/>
        <family val="2"/>
      </rPr>
      <t>E</t>
    </r>
  </si>
  <si>
    <r>
      <t>0.40</t>
    </r>
    <r>
      <rPr>
        <vertAlign val="superscript"/>
        <sz val="10"/>
        <color theme="1"/>
        <rFont val="Arial"/>
        <family val="2"/>
      </rPr>
      <t>E</t>
    </r>
  </si>
  <si>
    <r>
      <t>1.50</t>
    </r>
    <r>
      <rPr>
        <vertAlign val="superscript"/>
        <sz val="10"/>
        <color theme="1"/>
        <rFont val="Arial"/>
        <family val="2"/>
      </rPr>
      <t>E</t>
    </r>
  </si>
  <si>
    <r>
      <t>0.34</t>
    </r>
    <r>
      <rPr>
        <vertAlign val="superscript"/>
        <sz val="10"/>
        <color theme="1"/>
        <rFont val="Arial"/>
        <family val="2"/>
      </rPr>
      <t>E</t>
    </r>
  </si>
  <si>
    <r>
      <t>1.76</t>
    </r>
    <r>
      <rPr>
        <vertAlign val="superscript"/>
        <sz val="10"/>
        <color theme="1"/>
        <rFont val="Arial"/>
        <family val="2"/>
      </rPr>
      <t>E</t>
    </r>
  </si>
  <si>
    <r>
      <t>0.88</t>
    </r>
    <r>
      <rPr>
        <vertAlign val="superscript"/>
        <sz val="10"/>
        <color theme="1"/>
        <rFont val="Arial"/>
        <family val="2"/>
      </rPr>
      <t>E</t>
    </r>
  </si>
  <si>
    <r>
      <t>0.79</t>
    </r>
    <r>
      <rPr>
        <vertAlign val="superscript"/>
        <sz val="10"/>
        <color theme="1"/>
        <rFont val="Arial"/>
        <family val="2"/>
      </rPr>
      <t>E</t>
    </r>
  </si>
  <si>
    <r>
      <t>0.38</t>
    </r>
    <r>
      <rPr>
        <vertAlign val="superscript"/>
        <sz val="10"/>
        <color theme="1"/>
        <rFont val="Arial"/>
        <family val="2"/>
      </rPr>
      <t>E</t>
    </r>
  </si>
  <si>
    <r>
      <t>0.13</t>
    </r>
    <r>
      <rPr>
        <vertAlign val="superscript"/>
        <sz val="10"/>
        <color theme="1"/>
        <rFont val="Arial"/>
        <family val="2"/>
      </rPr>
      <t>E</t>
    </r>
  </si>
  <si>
    <r>
      <t>9.12</t>
    </r>
    <r>
      <rPr>
        <vertAlign val="superscript"/>
        <sz val="10"/>
        <color theme="1"/>
        <rFont val="Arial"/>
        <family val="2"/>
      </rPr>
      <t>E</t>
    </r>
  </si>
  <si>
    <r>
      <t>0.65</t>
    </r>
    <r>
      <rPr>
        <vertAlign val="superscript"/>
        <sz val="10"/>
        <color theme="1"/>
        <rFont val="Arial"/>
        <family val="2"/>
      </rPr>
      <t>E</t>
    </r>
  </si>
  <si>
    <r>
      <t>0.27</t>
    </r>
    <r>
      <rPr>
        <vertAlign val="superscript"/>
        <sz val="10"/>
        <color theme="1"/>
        <rFont val="Arial"/>
        <family val="2"/>
      </rPr>
      <t>E</t>
    </r>
  </si>
  <si>
    <r>
      <t>2.3</t>
    </r>
    <r>
      <rPr>
        <vertAlign val="superscript"/>
        <sz val="10"/>
        <color theme="1"/>
        <rFont val="Arial"/>
        <family val="2"/>
      </rPr>
      <t>E</t>
    </r>
  </si>
  <si>
    <r>
      <t>0.32</t>
    </r>
    <r>
      <rPr>
        <vertAlign val="superscript"/>
        <sz val="10"/>
        <color theme="1"/>
        <rFont val="Arial"/>
        <family val="2"/>
      </rPr>
      <t>E</t>
    </r>
  </si>
  <si>
    <r>
      <t>0.33</t>
    </r>
    <r>
      <rPr>
        <vertAlign val="superscript"/>
        <sz val="10"/>
        <color theme="1"/>
        <rFont val="Arial"/>
        <family val="2"/>
      </rPr>
      <t>E</t>
    </r>
  </si>
  <si>
    <r>
      <t>0.45</t>
    </r>
    <r>
      <rPr>
        <vertAlign val="superscript"/>
        <sz val="10"/>
        <color theme="1"/>
        <rFont val="Arial"/>
        <family val="2"/>
      </rPr>
      <t>E</t>
    </r>
  </si>
  <si>
    <r>
      <t>0.21</t>
    </r>
    <r>
      <rPr>
        <vertAlign val="superscript"/>
        <sz val="10"/>
        <color theme="1"/>
        <rFont val="Arial"/>
        <family val="2"/>
      </rPr>
      <t>E</t>
    </r>
  </si>
  <si>
    <r>
      <t>0.51</t>
    </r>
    <r>
      <rPr>
        <vertAlign val="superscript"/>
        <sz val="10"/>
        <color theme="1"/>
        <rFont val="Arial"/>
        <family val="2"/>
      </rPr>
      <t>E</t>
    </r>
  </si>
  <si>
    <r>
      <t>27.5</t>
    </r>
    <r>
      <rPr>
        <vertAlign val="superscript"/>
        <sz val="10"/>
        <color theme="1"/>
        <rFont val="Arial"/>
        <family val="2"/>
      </rPr>
      <t>E</t>
    </r>
  </si>
  <si>
    <r>
      <t>0.51% Mo</t>
    </r>
    <r>
      <rPr>
        <vertAlign val="superscript"/>
        <sz val="10"/>
        <color theme="1"/>
        <rFont val="Arial"/>
        <family val="2"/>
      </rPr>
      <t>E</t>
    </r>
  </si>
  <si>
    <r>
      <t>0.42% Mo</t>
    </r>
    <r>
      <rPr>
        <vertAlign val="superscript"/>
        <sz val="10"/>
        <color theme="1"/>
        <rFont val="Arial"/>
        <family val="2"/>
      </rPr>
      <t>E</t>
    </r>
  </si>
  <si>
    <r>
      <t>1.1% Bi</t>
    </r>
    <r>
      <rPr>
        <vertAlign val="superscript"/>
        <sz val="10"/>
        <color theme="1"/>
        <rFont val="Arial"/>
        <family val="2"/>
      </rPr>
      <t>E</t>
    </r>
  </si>
  <si>
    <r>
      <t>0.43% Bi</t>
    </r>
    <r>
      <rPr>
        <vertAlign val="superscript"/>
        <sz val="10"/>
        <color theme="1"/>
        <rFont val="Arial"/>
        <family val="2"/>
      </rPr>
      <t>E</t>
    </r>
  </si>
  <si>
    <r>
      <t>1.1</t>
    </r>
    <r>
      <rPr>
        <vertAlign val="superscript"/>
        <sz val="10"/>
        <color theme="1"/>
        <rFont val="Arial"/>
        <family val="2"/>
      </rPr>
      <t>E</t>
    </r>
  </si>
  <si>
    <r>
      <t>1.4</t>
    </r>
    <r>
      <rPr>
        <vertAlign val="superscript"/>
        <sz val="10"/>
        <color theme="1"/>
        <rFont val="Arial"/>
        <family val="2"/>
      </rPr>
      <t>E</t>
    </r>
  </si>
  <si>
    <r>
      <t>0.058</t>
    </r>
    <r>
      <rPr>
        <vertAlign val="superscript"/>
        <sz val="10"/>
        <color theme="1"/>
        <rFont val="Arial"/>
        <family val="2"/>
      </rPr>
      <t>E</t>
    </r>
  </si>
  <si>
    <r>
      <t>0.029</t>
    </r>
    <r>
      <rPr>
        <vertAlign val="superscript"/>
        <sz val="10"/>
        <color theme="1"/>
        <rFont val="Arial"/>
        <family val="2"/>
      </rPr>
      <t>E</t>
    </r>
  </si>
  <si>
    <r>
      <t>0.86</t>
    </r>
    <r>
      <rPr>
        <vertAlign val="superscript"/>
        <sz val="10"/>
        <color theme="1"/>
        <rFont val="Arial"/>
        <family val="2"/>
      </rPr>
      <t>E</t>
    </r>
  </si>
  <si>
    <r>
      <t>0.85</t>
    </r>
    <r>
      <rPr>
        <vertAlign val="superscript"/>
        <sz val="10"/>
        <color theme="1"/>
        <rFont val="Arial"/>
        <family val="2"/>
      </rPr>
      <t>E</t>
    </r>
  </si>
  <si>
    <r>
      <t>10.7</t>
    </r>
    <r>
      <rPr>
        <vertAlign val="superscript"/>
        <sz val="10"/>
        <color theme="1"/>
        <rFont val="Arial"/>
        <family val="2"/>
      </rPr>
      <t>E</t>
    </r>
  </si>
  <si>
    <r>
      <t>0.063</t>
    </r>
    <r>
      <rPr>
        <vertAlign val="superscript"/>
        <sz val="10"/>
        <color theme="1"/>
        <rFont val="Arial"/>
        <family val="2"/>
      </rPr>
      <t>E</t>
    </r>
  </si>
  <si>
    <r>
      <t>0.055</t>
    </r>
    <r>
      <rPr>
        <vertAlign val="superscript"/>
        <sz val="10"/>
        <color theme="1"/>
        <rFont val="Arial"/>
        <family val="2"/>
      </rPr>
      <t>E</t>
    </r>
  </si>
  <si>
    <r>
      <t>0.08</t>
    </r>
    <r>
      <rPr>
        <vertAlign val="superscript"/>
        <sz val="10"/>
        <color theme="1"/>
        <rFont val="Arial"/>
        <family val="2"/>
      </rPr>
      <t>E</t>
    </r>
  </si>
  <si>
    <r>
      <t>11.0</t>
    </r>
    <r>
      <rPr>
        <vertAlign val="superscript"/>
        <sz val="10"/>
        <color theme="1"/>
        <rFont val="Arial"/>
        <family val="2"/>
      </rPr>
      <t>E</t>
    </r>
  </si>
  <si>
    <r>
      <t>1.0</t>
    </r>
    <r>
      <rPr>
        <vertAlign val="superscript"/>
        <sz val="10"/>
        <color theme="1"/>
        <rFont val="Arial"/>
        <family val="2"/>
      </rPr>
      <t>E</t>
    </r>
  </si>
  <si>
    <r>
      <t>0.8</t>
    </r>
    <r>
      <rPr>
        <vertAlign val="superscript"/>
        <sz val="10"/>
        <color theme="1"/>
        <rFont val="Arial"/>
        <family val="2"/>
      </rPr>
      <t>E</t>
    </r>
  </si>
  <si>
    <r>
      <t>27.6</t>
    </r>
    <r>
      <rPr>
        <vertAlign val="superscript"/>
        <sz val="10"/>
        <color theme="1"/>
        <rFont val="Arial"/>
        <family val="2"/>
      </rPr>
      <t>E</t>
    </r>
  </si>
  <si>
    <r>
      <t>114.1</t>
    </r>
    <r>
      <rPr>
        <b/>
        <vertAlign val="superscript"/>
        <sz val="10"/>
        <color rgb="FF0000CC"/>
        <rFont val="Arial"/>
        <family val="2"/>
      </rPr>
      <t>E</t>
    </r>
  </si>
  <si>
    <r>
      <t>24.6</t>
    </r>
    <r>
      <rPr>
        <vertAlign val="superscript"/>
        <sz val="10"/>
        <color theme="1"/>
        <rFont val="Arial"/>
        <family val="2"/>
      </rPr>
      <t>E</t>
    </r>
  </si>
  <si>
    <r>
      <t>28.0</t>
    </r>
    <r>
      <rPr>
        <vertAlign val="superscript"/>
        <sz val="10"/>
        <color theme="1"/>
        <rFont val="Arial"/>
        <family val="2"/>
      </rPr>
      <t>E</t>
    </r>
  </si>
  <si>
    <r>
      <t>0.35</t>
    </r>
    <r>
      <rPr>
        <vertAlign val="superscript"/>
        <sz val="10"/>
        <color theme="1"/>
        <rFont val="Arial"/>
        <family val="2"/>
      </rPr>
      <t>E</t>
    </r>
  </si>
  <si>
    <r>
      <t>311.7</t>
    </r>
    <r>
      <rPr>
        <vertAlign val="superscript"/>
        <sz val="10"/>
        <color theme="1"/>
        <rFont val="Arial"/>
        <family val="2"/>
      </rPr>
      <t>E</t>
    </r>
  </si>
  <si>
    <r>
      <t>6</t>
    </r>
    <r>
      <rPr>
        <vertAlign val="superscript"/>
        <sz val="10"/>
        <color theme="1"/>
        <rFont val="Arial"/>
        <family val="2"/>
      </rPr>
      <t>E</t>
    </r>
  </si>
  <si>
    <r>
      <t>21.7</t>
    </r>
    <r>
      <rPr>
        <vertAlign val="superscript"/>
        <sz val="10"/>
        <color theme="1"/>
        <rFont val="Arial"/>
        <family val="2"/>
      </rPr>
      <t>E</t>
    </r>
  </si>
  <si>
    <r>
      <t>4.0</t>
    </r>
    <r>
      <rPr>
        <vertAlign val="superscript"/>
        <sz val="10"/>
        <color theme="1"/>
        <rFont val="Arial"/>
        <family val="2"/>
      </rPr>
      <t>E</t>
    </r>
  </si>
  <si>
    <r>
      <t>27.2</t>
    </r>
    <r>
      <rPr>
        <vertAlign val="superscript"/>
        <sz val="10"/>
        <color theme="1"/>
        <rFont val="Arial"/>
        <family val="2"/>
      </rPr>
      <t>E</t>
    </r>
  </si>
  <si>
    <r>
      <t>30.5</t>
    </r>
    <r>
      <rPr>
        <vertAlign val="superscript"/>
        <sz val="10"/>
        <color theme="1"/>
        <rFont val="Arial"/>
        <family val="2"/>
      </rPr>
      <t>E</t>
    </r>
  </si>
  <si>
    <r>
      <t>23.1</t>
    </r>
    <r>
      <rPr>
        <vertAlign val="superscript"/>
        <sz val="10"/>
        <color theme="1"/>
        <rFont val="Arial"/>
        <family val="2"/>
      </rPr>
      <t>E</t>
    </r>
  </si>
  <si>
    <r>
      <t>7.74</t>
    </r>
    <r>
      <rPr>
        <vertAlign val="superscript"/>
        <sz val="10"/>
        <color theme="1"/>
        <rFont val="Arial"/>
        <family val="2"/>
      </rPr>
      <t>E</t>
    </r>
  </si>
  <si>
    <r>
      <t>32.3</t>
    </r>
    <r>
      <rPr>
        <vertAlign val="superscript"/>
        <sz val="10"/>
        <color theme="1"/>
        <rFont val="Arial"/>
        <family val="2"/>
      </rPr>
      <t>E</t>
    </r>
  </si>
  <si>
    <r>
      <t>13.6</t>
    </r>
    <r>
      <rPr>
        <vertAlign val="superscript"/>
        <sz val="10"/>
        <color theme="1"/>
        <rFont val="Arial"/>
        <family val="2"/>
      </rPr>
      <t>E</t>
    </r>
  </si>
  <si>
    <r>
      <t>0.10</t>
    </r>
    <r>
      <rPr>
        <vertAlign val="superscript"/>
        <sz val="10"/>
        <color theme="1"/>
        <rFont val="Arial"/>
        <family val="2"/>
      </rPr>
      <t>E</t>
    </r>
  </si>
  <si>
    <r>
      <t>1.7</t>
    </r>
    <r>
      <rPr>
        <vertAlign val="superscript"/>
        <sz val="10"/>
        <color theme="1"/>
        <rFont val="Arial"/>
        <family val="2"/>
      </rPr>
      <t>E</t>
    </r>
  </si>
  <si>
    <r>
      <t>0.55</t>
    </r>
    <r>
      <rPr>
        <vertAlign val="superscript"/>
        <sz val="10"/>
        <color theme="1"/>
        <rFont val="Arial"/>
        <family val="2"/>
      </rPr>
      <t>E</t>
    </r>
  </si>
  <si>
    <r>
      <t>30</t>
    </r>
    <r>
      <rPr>
        <vertAlign val="superscript"/>
        <sz val="10"/>
        <color theme="1"/>
        <rFont val="Arial"/>
        <family val="2"/>
      </rPr>
      <t>E</t>
    </r>
  </si>
  <si>
    <r>
      <t>0.00015</t>
    </r>
    <r>
      <rPr>
        <vertAlign val="superscript"/>
        <sz val="10"/>
        <color theme="1"/>
        <rFont val="Arial"/>
        <family val="2"/>
      </rPr>
      <t>E</t>
    </r>
  </si>
  <si>
    <r>
      <rPr>
        <b/>
        <sz val="12"/>
        <color rgb="FF0000CC"/>
        <rFont val="Arial"/>
        <family val="2"/>
      </rPr>
      <t xml:space="preserve">Version 1.4b (22 May 2023)
</t>
    </r>
    <r>
      <rPr>
        <b/>
        <sz val="10"/>
        <color rgb="FFFF0000"/>
        <rFont val="Arial"/>
        <family val="2"/>
      </rPr>
      <t>(previously v1.0 24 January 2023, 1.1 30 January 2023, 1.2 16 February 2023, 1.3 21 February 2023, 1.4a 8 May 2023)</t>
    </r>
  </si>
  <si>
    <r>
      <t>2.7</t>
    </r>
    <r>
      <rPr>
        <vertAlign val="superscript"/>
        <sz val="10"/>
        <color theme="1"/>
        <rFont val="Arial"/>
        <family val="2"/>
      </rPr>
      <t>E</t>
    </r>
  </si>
  <si>
    <r>
      <t>2,340</t>
    </r>
    <r>
      <rPr>
        <vertAlign val="superscript"/>
        <sz val="10"/>
        <color theme="1"/>
        <rFont val="Arial"/>
        <family val="2"/>
      </rPr>
      <t>E</t>
    </r>
  </si>
  <si>
    <r>
      <t>17.5</t>
    </r>
    <r>
      <rPr>
        <vertAlign val="superscript"/>
        <sz val="10"/>
        <color theme="1"/>
        <rFont val="Arial"/>
        <family val="2"/>
      </rPr>
      <t>E</t>
    </r>
  </si>
  <si>
    <r>
      <t>23.3</t>
    </r>
    <r>
      <rPr>
        <vertAlign val="superscript"/>
        <sz val="10"/>
        <color theme="1"/>
        <rFont val="Arial"/>
        <family val="2"/>
      </rPr>
      <t>E</t>
    </r>
  </si>
  <si>
    <r>
      <t>52.4</t>
    </r>
    <r>
      <rPr>
        <vertAlign val="superscript"/>
        <sz val="10"/>
        <color theme="1"/>
        <rFont val="Arial"/>
        <family val="2"/>
      </rPr>
      <t>E</t>
    </r>
  </si>
  <si>
    <r>
      <t>124</t>
    </r>
    <r>
      <rPr>
        <vertAlign val="superscript"/>
        <sz val="10"/>
        <color theme="1"/>
        <rFont val="Arial"/>
        <family val="2"/>
      </rPr>
      <t>E</t>
    </r>
  </si>
  <si>
    <r>
      <t>535.4</t>
    </r>
    <r>
      <rPr>
        <vertAlign val="superscript"/>
        <sz val="10"/>
        <color theme="1"/>
        <rFont val="Arial"/>
        <family val="2"/>
      </rPr>
      <t>E</t>
    </r>
  </si>
  <si>
    <r>
      <t>32.8</t>
    </r>
    <r>
      <rPr>
        <vertAlign val="superscript"/>
        <sz val="10"/>
        <color theme="1"/>
        <rFont val="Arial"/>
        <family val="2"/>
      </rPr>
      <t>E</t>
    </r>
  </si>
  <si>
    <r>
      <t>105.8</t>
    </r>
    <r>
      <rPr>
        <vertAlign val="superscript"/>
        <sz val="10"/>
        <color theme="1"/>
        <rFont val="Arial"/>
        <family val="2"/>
      </rPr>
      <t>E</t>
    </r>
  </si>
  <si>
    <r>
      <t>170</t>
    </r>
    <r>
      <rPr>
        <vertAlign val="superscript"/>
        <sz val="10"/>
        <color theme="1"/>
        <rFont val="Arial"/>
        <family val="2"/>
      </rPr>
      <t>E</t>
    </r>
  </si>
  <si>
    <r>
      <t>937</t>
    </r>
    <r>
      <rPr>
        <vertAlign val="superscript"/>
        <sz val="10"/>
        <color theme="1"/>
        <rFont val="Arial"/>
        <family val="2"/>
      </rPr>
      <t>E</t>
    </r>
  </si>
  <si>
    <r>
      <t>28</t>
    </r>
    <r>
      <rPr>
        <vertAlign val="superscript"/>
        <sz val="10"/>
        <color theme="1"/>
        <rFont val="Arial"/>
        <family val="2"/>
      </rPr>
      <t>E</t>
    </r>
  </si>
  <si>
    <r>
      <t>6,933</t>
    </r>
    <r>
      <rPr>
        <vertAlign val="superscript"/>
        <sz val="10"/>
        <color theme="1"/>
        <rFont val="Arial"/>
        <family val="2"/>
      </rPr>
      <t>E</t>
    </r>
  </si>
  <si>
    <r>
      <t>2,922</t>
    </r>
    <r>
      <rPr>
        <vertAlign val="superscript"/>
        <sz val="10"/>
        <color theme="1"/>
        <rFont val="Arial"/>
        <family val="2"/>
      </rPr>
      <t>E</t>
    </r>
  </si>
  <si>
    <r>
      <t>1,266</t>
    </r>
    <r>
      <rPr>
        <vertAlign val="superscript"/>
        <sz val="10"/>
        <color theme="1"/>
        <rFont val="Arial"/>
        <family val="2"/>
      </rPr>
      <t>E</t>
    </r>
  </si>
  <si>
    <r>
      <t>28.25</t>
    </r>
    <r>
      <rPr>
        <vertAlign val="superscript"/>
        <sz val="10"/>
        <color theme="1"/>
        <rFont val="Arial"/>
        <family val="2"/>
      </rPr>
      <t>E</t>
    </r>
  </si>
  <si>
    <r>
      <t>4.39</t>
    </r>
    <r>
      <rPr>
        <vertAlign val="superscript"/>
        <sz val="10"/>
        <color theme="1"/>
        <rFont val="Arial"/>
        <family val="2"/>
      </rPr>
      <t>E</t>
    </r>
  </si>
  <si>
    <r>
      <t>87.7</t>
    </r>
    <r>
      <rPr>
        <vertAlign val="superscript"/>
        <sz val="10"/>
        <color theme="1"/>
        <rFont val="Arial"/>
        <family val="2"/>
      </rPr>
      <t>E</t>
    </r>
  </si>
  <si>
    <r>
      <t>8.94</t>
    </r>
    <r>
      <rPr>
        <vertAlign val="superscript"/>
        <sz val="10"/>
        <color theme="1"/>
        <rFont val="Arial"/>
        <family val="2"/>
      </rPr>
      <t>E</t>
    </r>
  </si>
  <si>
    <r>
      <t>26.09</t>
    </r>
    <r>
      <rPr>
        <vertAlign val="superscript"/>
        <sz val="10"/>
        <color theme="1"/>
        <rFont val="Arial"/>
        <family val="2"/>
      </rPr>
      <t>E</t>
    </r>
  </si>
  <si>
    <r>
      <t>28.87</t>
    </r>
    <r>
      <rPr>
        <vertAlign val="superscript"/>
        <sz val="10"/>
        <color theme="1"/>
        <rFont val="Arial"/>
        <family val="2"/>
      </rPr>
      <t>E</t>
    </r>
  </si>
  <si>
    <r>
      <t>11.15</t>
    </r>
    <r>
      <rPr>
        <vertAlign val="superscript"/>
        <sz val="10"/>
        <color theme="1"/>
        <rFont val="Arial"/>
        <family val="2"/>
      </rPr>
      <t>E</t>
    </r>
  </si>
  <si>
    <r>
      <t>31.7</t>
    </r>
    <r>
      <rPr>
        <vertAlign val="superscript"/>
        <sz val="10"/>
        <color theme="1"/>
        <rFont val="Arial"/>
        <family val="2"/>
      </rPr>
      <t>E</t>
    </r>
  </si>
  <si>
    <r>
      <t>21.0</t>
    </r>
    <r>
      <rPr>
        <vertAlign val="superscript"/>
        <sz val="10"/>
        <color theme="1"/>
        <rFont val="Arial"/>
        <family val="2"/>
      </rPr>
      <t>E</t>
    </r>
  </si>
  <si>
    <r>
      <t>38.83</t>
    </r>
    <r>
      <rPr>
        <vertAlign val="superscript"/>
        <sz val="10"/>
        <color theme="1"/>
        <rFont val="Arial"/>
        <family val="2"/>
      </rPr>
      <t>E</t>
    </r>
  </si>
  <si>
    <r>
      <t>13.15</t>
    </r>
    <r>
      <rPr>
        <vertAlign val="superscript"/>
        <sz val="10"/>
        <color theme="1"/>
        <rFont val="Arial"/>
        <family val="2"/>
      </rPr>
      <t>E</t>
    </r>
  </si>
  <si>
    <r>
      <t>2,391</t>
    </r>
    <r>
      <rPr>
        <vertAlign val="superscript"/>
        <sz val="10"/>
        <color theme="1"/>
        <rFont val="Arial"/>
        <family val="2"/>
      </rPr>
      <t>E</t>
    </r>
  </si>
  <si>
    <r>
      <t>462.5</t>
    </r>
    <r>
      <rPr>
        <vertAlign val="superscript"/>
        <sz val="10"/>
        <color theme="1"/>
        <rFont val="Arial"/>
        <family val="2"/>
      </rPr>
      <t>E</t>
    </r>
  </si>
  <si>
    <r>
      <t>23.65</t>
    </r>
    <r>
      <rPr>
        <vertAlign val="superscript"/>
        <sz val="10"/>
        <color theme="1"/>
        <rFont val="Arial"/>
        <family val="2"/>
      </rPr>
      <t>E</t>
    </r>
  </si>
  <si>
    <r>
      <t>24.00</t>
    </r>
    <r>
      <rPr>
        <vertAlign val="superscript"/>
        <sz val="10"/>
        <color theme="1"/>
        <rFont val="Arial"/>
        <family val="2"/>
      </rPr>
      <t>E</t>
    </r>
  </si>
  <si>
    <r>
      <t>21.8</t>
    </r>
    <r>
      <rPr>
        <vertAlign val="superscript"/>
        <sz val="10"/>
        <color theme="1"/>
        <rFont val="Arial"/>
        <family val="2"/>
      </rPr>
      <t>E</t>
    </r>
  </si>
  <si>
    <r>
      <t>22.5</t>
    </r>
    <r>
      <rPr>
        <vertAlign val="superscript"/>
        <sz val="10"/>
        <color theme="1"/>
        <rFont val="Arial"/>
        <family val="2"/>
      </rPr>
      <t>E</t>
    </r>
  </si>
  <si>
    <r>
      <t>21.22</t>
    </r>
    <r>
      <rPr>
        <vertAlign val="superscript"/>
        <sz val="10"/>
        <color theme="1"/>
        <rFont val="Arial"/>
        <family val="2"/>
      </rPr>
      <t>E</t>
    </r>
  </si>
  <si>
    <r>
      <t>91.23</t>
    </r>
    <r>
      <rPr>
        <vertAlign val="superscript"/>
        <sz val="10"/>
        <color theme="1"/>
        <rFont val="Arial"/>
        <family val="2"/>
      </rPr>
      <t>E</t>
    </r>
  </si>
  <si>
    <r>
      <t>56.5</t>
    </r>
    <r>
      <rPr>
        <vertAlign val="superscript"/>
        <sz val="10"/>
        <color theme="1"/>
        <rFont val="Arial"/>
        <family val="2"/>
      </rPr>
      <t>E</t>
    </r>
  </si>
  <si>
    <r>
      <t>25.1</t>
    </r>
    <r>
      <rPr>
        <vertAlign val="superscript"/>
        <sz val="10"/>
        <color theme="1"/>
        <rFont val="Arial"/>
        <family val="2"/>
      </rPr>
      <t>E</t>
    </r>
  </si>
  <si>
    <r>
      <t>7.0</t>
    </r>
    <r>
      <rPr>
        <vertAlign val="superscript"/>
        <sz val="10"/>
        <color theme="1"/>
        <rFont val="Arial"/>
        <family val="2"/>
      </rPr>
      <t>E</t>
    </r>
  </si>
  <si>
    <r>
      <t>25.0</t>
    </r>
    <r>
      <rPr>
        <vertAlign val="superscript"/>
        <sz val="10"/>
        <color theme="1"/>
        <rFont val="Arial"/>
        <family val="2"/>
      </rPr>
      <t>E</t>
    </r>
  </si>
  <si>
    <r>
      <t>474.3</t>
    </r>
    <r>
      <rPr>
        <vertAlign val="superscript"/>
        <sz val="10"/>
        <color theme="1"/>
        <rFont val="Arial"/>
        <family val="2"/>
      </rPr>
      <t>E</t>
    </r>
  </si>
  <si>
    <r>
      <t>37.2</t>
    </r>
    <r>
      <rPr>
        <vertAlign val="superscript"/>
        <sz val="10"/>
        <color theme="1"/>
        <rFont val="Arial"/>
        <family val="2"/>
      </rPr>
      <t>E</t>
    </r>
  </si>
  <si>
    <r>
      <t>24.56</t>
    </r>
    <r>
      <rPr>
        <vertAlign val="superscript"/>
        <sz val="10"/>
        <color theme="1"/>
        <rFont val="Arial"/>
        <family val="2"/>
      </rPr>
      <t>E</t>
    </r>
  </si>
  <si>
    <r>
      <t>16.84</t>
    </r>
    <r>
      <rPr>
        <vertAlign val="superscript"/>
        <sz val="10"/>
        <color theme="1"/>
        <rFont val="Arial"/>
        <family val="2"/>
      </rPr>
      <t>E</t>
    </r>
  </si>
  <si>
    <r>
      <t>90.7</t>
    </r>
    <r>
      <rPr>
        <vertAlign val="superscript"/>
        <sz val="10"/>
        <color theme="1"/>
        <rFont val="Arial"/>
        <family val="2"/>
      </rPr>
      <t>E</t>
    </r>
  </si>
  <si>
    <r>
      <t>60.8</t>
    </r>
    <r>
      <rPr>
        <vertAlign val="superscript"/>
        <sz val="10"/>
        <color theme="1"/>
        <rFont val="Arial"/>
        <family val="2"/>
      </rPr>
      <t>E</t>
    </r>
  </si>
  <si>
    <r>
      <t>25</t>
    </r>
    <r>
      <rPr>
        <vertAlign val="superscript"/>
        <sz val="10"/>
        <color theme="1"/>
        <rFont val="Arial"/>
        <family val="2"/>
      </rPr>
      <t>E</t>
    </r>
  </si>
  <si>
    <r>
      <t>5,196</t>
    </r>
    <r>
      <rPr>
        <vertAlign val="superscript"/>
        <sz val="10"/>
        <color theme="1"/>
        <rFont val="Arial"/>
        <family val="2"/>
      </rPr>
      <t>E</t>
    </r>
  </si>
  <si>
    <r>
      <t>27.15</t>
    </r>
    <r>
      <rPr>
        <vertAlign val="superscript"/>
        <sz val="10"/>
        <color theme="1"/>
        <rFont val="Arial"/>
        <family val="2"/>
      </rPr>
      <t>E</t>
    </r>
  </si>
  <si>
    <r>
      <t>107</t>
    </r>
    <r>
      <rPr>
        <vertAlign val="superscript"/>
        <sz val="10"/>
        <color theme="1"/>
        <rFont val="Arial"/>
        <family val="2"/>
      </rPr>
      <t>E</t>
    </r>
  </si>
  <si>
    <r>
      <rPr>
        <sz val="10"/>
        <color theme="1"/>
        <rFont val="Arial"/>
        <family val="2"/>
      </rPr>
      <t>1.5</t>
    </r>
    <r>
      <rPr>
        <vertAlign val="superscript"/>
        <sz val="10"/>
        <color theme="1"/>
        <rFont val="Arial"/>
        <family val="2"/>
      </rPr>
      <t>E</t>
    </r>
  </si>
  <si>
    <r>
      <rPr>
        <sz val="10"/>
        <color theme="1"/>
        <rFont val="Arial"/>
        <family val="2"/>
      </rPr>
      <t>20</t>
    </r>
    <r>
      <rPr>
        <vertAlign val="superscript"/>
        <sz val="10"/>
        <color theme="1"/>
        <rFont val="Arial"/>
        <family val="2"/>
      </rPr>
      <t>E</t>
    </r>
  </si>
  <si>
    <r>
      <rPr>
        <sz val="10"/>
        <color theme="1"/>
        <rFont val="Arial"/>
        <family val="2"/>
      </rPr>
      <t>1.0</t>
    </r>
    <r>
      <rPr>
        <vertAlign val="superscript"/>
        <sz val="10"/>
        <color theme="1"/>
        <rFont val="Arial"/>
        <family val="2"/>
      </rPr>
      <t>E</t>
    </r>
  </si>
  <si>
    <r>
      <rPr>
        <sz val="10"/>
        <color theme="1"/>
        <rFont val="Arial"/>
        <family val="2"/>
      </rPr>
      <t>66.7</t>
    </r>
    <r>
      <rPr>
        <vertAlign val="superscript"/>
        <sz val="10"/>
        <color theme="1"/>
        <rFont val="Arial"/>
        <family val="2"/>
      </rPr>
      <t>E</t>
    </r>
  </si>
  <si>
    <r>
      <rPr>
        <sz val="10"/>
        <color theme="1"/>
        <rFont val="Arial"/>
        <family val="2"/>
      </rPr>
      <t>1,403</t>
    </r>
    <r>
      <rPr>
        <vertAlign val="superscript"/>
        <sz val="10"/>
        <color theme="1"/>
        <rFont val="Arial"/>
        <family val="2"/>
      </rPr>
      <t>E</t>
    </r>
  </si>
  <si>
    <r>
      <rPr>
        <sz val="10"/>
        <color theme="1"/>
        <rFont val="Arial"/>
        <family val="2"/>
      </rPr>
      <t>23.0</t>
    </r>
    <r>
      <rPr>
        <vertAlign val="superscript"/>
        <sz val="10"/>
        <color theme="1"/>
        <rFont val="Arial"/>
        <family val="2"/>
      </rPr>
      <t>E</t>
    </r>
  </si>
  <si>
    <r>
      <rPr>
        <sz val="10"/>
        <color theme="1"/>
        <rFont val="Arial"/>
        <family val="2"/>
      </rPr>
      <t>5,942</t>
    </r>
    <r>
      <rPr>
        <vertAlign val="superscript"/>
        <sz val="10"/>
        <color theme="1"/>
        <rFont val="Arial"/>
        <family val="2"/>
      </rPr>
      <t>E</t>
    </r>
  </si>
  <si>
    <r>
      <rPr>
        <sz val="10"/>
        <color theme="1"/>
        <rFont val="Arial"/>
        <family val="2"/>
      </rPr>
      <t>25.0</t>
    </r>
    <r>
      <rPr>
        <vertAlign val="superscript"/>
        <sz val="10"/>
        <color theme="1"/>
        <rFont val="Arial"/>
        <family val="2"/>
      </rPr>
      <t>E</t>
    </r>
  </si>
  <si>
    <r>
      <rPr>
        <sz val="10"/>
        <color theme="1"/>
        <rFont val="Arial"/>
        <family val="2"/>
      </rPr>
      <t>5.13</t>
    </r>
    <r>
      <rPr>
        <vertAlign val="superscript"/>
        <sz val="10"/>
        <color theme="1"/>
        <rFont val="Arial"/>
        <family val="2"/>
      </rPr>
      <t>E</t>
    </r>
  </si>
  <si>
    <r>
      <rPr>
        <sz val="10"/>
        <color theme="1"/>
        <rFont val="Arial"/>
        <family val="2"/>
      </rPr>
      <t>36.3</t>
    </r>
    <r>
      <rPr>
        <vertAlign val="superscript"/>
        <sz val="10"/>
        <color theme="1"/>
        <rFont val="Arial"/>
        <family val="2"/>
      </rPr>
      <t>E</t>
    </r>
  </si>
  <si>
    <r>
      <rPr>
        <sz val="10"/>
        <color theme="1"/>
        <rFont val="Arial"/>
        <family val="2"/>
      </rPr>
      <t>37.5</t>
    </r>
    <r>
      <rPr>
        <vertAlign val="superscript"/>
        <sz val="10"/>
        <color theme="1"/>
        <rFont val="Arial"/>
        <family val="2"/>
      </rPr>
      <t>E</t>
    </r>
  </si>
  <si>
    <r>
      <rPr>
        <sz val="10"/>
        <color theme="1"/>
        <rFont val="Arial"/>
        <family val="2"/>
      </rPr>
      <t>25.9</t>
    </r>
    <r>
      <rPr>
        <vertAlign val="superscript"/>
        <sz val="10"/>
        <color theme="1"/>
        <rFont val="Arial"/>
        <family val="2"/>
      </rPr>
      <t>E</t>
    </r>
  </si>
  <si>
    <r>
      <rPr>
        <sz val="10"/>
        <color theme="1"/>
        <rFont val="Arial"/>
        <family val="2"/>
      </rPr>
      <t>34,692</t>
    </r>
    <r>
      <rPr>
        <vertAlign val="superscript"/>
        <sz val="10"/>
        <color theme="1"/>
        <rFont val="Arial"/>
        <family val="2"/>
      </rPr>
      <t>E</t>
    </r>
  </si>
  <si>
    <r>
      <t>24.1</t>
    </r>
    <r>
      <rPr>
        <vertAlign val="superscript"/>
        <sz val="10"/>
        <color theme="1"/>
        <rFont val="Arial"/>
        <family val="2"/>
      </rPr>
      <t>E</t>
    </r>
  </si>
  <si>
    <r>
      <t>7.7</t>
    </r>
    <r>
      <rPr>
        <vertAlign val="superscript"/>
        <sz val="10"/>
        <color theme="1"/>
        <rFont val="Arial"/>
        <family val="2"/>
      </rPr>
      <t>E</t>
    </r>
  </si>
  <si>
    <r>
      <t>285</t>
    </r>
    <r>
      <rPr>
        <vertAlign val="superscript"/>
        <sz val="10"/>
        <color theme="1"/>
        <rFont val="Arial"/>
        <family val="2"/>
      </rPr>
      <t>E</t>
    </r>
  </si>
  <si>
    <r>
      <t>3.7</t>
    </r>
    <r>
      <rPr>
        <vertAlign val="superscript"/>
        <sz val="10"/>
        <color theme="1"/>
        <rFont val="Arial"/>
        <family val="2"/>
      </rPr>
      <t>E</t>
    </r>
  </si>
  <si>
    <r>
      <t>538.9</t>
    </r>
    <r>
      <rPr>
        <vertAlign val="superscript"/>
        <sz val="10"/>
        <color theme="1"/>
        <rFont val="Arial"/>
        <family val="2"/>
      </rPr>
      <t>E</t>
    </r>
  </si>
  <si>
    <r>
      <rPr>
        <sz val="10"/>
        <color theme="1"/>
        <rFont val="Arial"/>
        <family val="2"/>
      </rPr>
      <t>9.7</t>
    </r>
    <r>
      <rPr>
        <vertAlign val="superscript"/>
        <sz val="10"/>
        <color theme="1"/>
        <rFont val="Arial"/>
        <family val="2"/>
      </rPr>
      <t>E</t>
    </r>
  </si>
  <si>
    <r>
      <rPr>
        <sz val="10"/>
        <color theme="1"/>
        <rFont val="Arial"/>
        <family val="2"/>
      </rPr>
      <t>4.7</t>
    </r>
    <r>
      <rPr>
        <vertAlign val="superscript"/>
        <sz val="10"/>
        <color theme="1"/>
        <rFont val="Arial"/>
        <family val="2"/>
      </rPr>
      <t>E</t>
    </r>
  </si>
  <si>
    <r>
      <rPr>
        <sz val="10"/>
        <color theme="1"/>
        <rFont val="Arial"/>
        <family val="2"/>
      </rPr>
      <t>0.0089</t>
    </r>
    <r>
      <rPr>
        <vertAlign val="superscript"/>
        <sz val="10"/>
        <color theme="1"/>
        <rFont val="Arial"/>
        <family val="2"/>
      </rPr>
      <t>E</t>
    </r>
  </si>
  <si>
    <r>
      <rPr>
        <sz val="10"/>
        <color theme="1"/>
        <rFont val="Arial"/>
        <family val="2"/>
      </rPr>
      <t>5.2</t>
    </r>
    <r>
      <rPr>
        <vertAlign val="superscript"/>
        <sz val="10"/>
        <color theme="1"/>
        <rFont val="Arial"/>
        <family val="2"/>
      </rPr>
      <t>E</t>
    </r>
  </si>
  <si>
    <r>
      <t>29.7</t>
    </r>
    <r>
      <rPr>
        <vertAlign val="superscript"/>
        <sz val="10"/>
        <color theme="1"/>
        <rFont val="Arial"/>
        <family val="2"/>
      </rPr>
      <t>E</t>
    </r>
  </si>
  <si>
    <r>
      <rPr>
        <sz val="10"/>
        <color theme="1"/>
        <rFont val="Arial"/>
        <family val="2"/>
      </rPr>
      <t>3.7</t>
    </r>
    <r>
      <rPr>
        <vertAlign val="superscript"/>
        <sz val="10"/>
        <color theme="1"/>
        <rFont val="Arial"/>
        <family val="2"/>
      </rPr>
      <t>E</t>
    </r>
  </si>
  <si>
    <r>
      <rPr>
        <sz val="10"/>
        <color theme="1"/>
        <rFont val="Arial"/>
        <family val="2"/>
      </rPr>
      <t>152</t>
    </r>
    <r>
      <rPr>
        <vertAlign val="superscript"/>
        <sz val="10"/>
        <color theme="1"/>
        <rFont val="Arial"/>
        <family val="2"/>
      </rPr>
      <t>E</t>
    </r>
  </si>
  <si>
    <r>
      <rPr>
        <sz val="10"/>
        <color theme="1"/>
        <rFont val="Arial"/>
        <family val="2"/>
      </rPr>
      <t>80</t>
    </r>
    <r>
      <rPr>
        <vertAlign val="superscript"/>
        <sz val="10"/>
        <color theme="1"/>
        <rFont val="Arial"/>
        <family val="2"/>
      </rPr>
      <t>E</t>
    </r>
  </si>
  <si>
    <r>
      <rPr>
        <sz val="10"/>
        <color theme="1"/>
        <rFont val="Arial"/>
        <family val="2"/>
      </rPr>
      <t>22.7</t>
    </r>
    <r>
      <rPr>
        <vertAlign val="superscript"/>
        <sz val="10"/>
        <color theme="1"/>
        <rFont val="Arial"/>
        <family val="2"/>
      </rPr>
      <t>E</t>
    </r>
  </si>
  <si>
    <r>
      <rPr>
        <sz val="10"/>
        <color theme="1"/>
        <rFont val="Arial"/>
        <family val="2"/>
      </rPr>
      <t>1,070</t>
    </r>
    <r>
      <rPr>
        <vertAlign val="superscript"/>
        <sz val="10"/>
        <color theme="1"/>
        <rFont val="Arial"/>
        <family val="2"/>
      </rPr>
      <t>E</t>
    </r>
  </si>
  <si>
    <r>
      <rPr>
        <sz val="10"/>
        <color theme="1"/>
        <rFont val="Arial"/>
        <family val="2"/>
      </rPr>
      <t>1,649</t>
    </r>
    <r>
      <rPr>
        <vertAlign val="superscript"/>
        <sz val="10"/>
        <color theme="1"/>
        <rFont val="Arial"/>
        <family val="2"/>
      </rPr>
      <t>E</t>
    </r>
  </si>
  <si>
    <r>
      <rPr>
        <sz val="10"/>
        <color theme="1"/>
        <rFont val="Arial"/>
        <family val="2"/>
      </rPr>
      <t>30.1</t>
    </r>
    <r>
      <rPr>
        <vertAlign val="superscript"/>
        <sz val="10"/>
        <color theme="1"/>
        <rFont val="Arial"/>
        <family val="2"/>
      </rPr>
      <t>E</t>
    </r>
  </si>
  <si>
    <r>
      <rPr>
        <sz val="10"/>
        <color theme="1"/>
        <rFont val="Arial"/>
        <family val="2"/>
      </rPr>
      <t>26.5</t>
    </r>
    <r>
      <rPr>
        <vertAlign val="superscript"/>
        <sz val="10"/>
        <color theme="1"/>
        <rFont val="Arial"/>
        <family val="2"/>
      </rPr>
      <t>E</t>
    </r>
  </si>
  <si>
    <r>
      <rPr>
        <sz val="10"/>
        <color theme="1"/>
        <rFont val="Arial"/>
        <family val="2"/>
      </rPr>
      <t>17.4</t>
    </r>
    <r>
      <rPr>
        <vertAlign val="superscript"/>
        <sz val="10"/>
        <color theme="1"/>
        <rFont val="Arial"/>
        <family val="2"/>
      </rPr>
      <t>E</t>
    </r>
  </si>
  <si>
    <r>
      <rPr>
        <sz val="10"/>
        <color theme="1"/>
        <rFont val="Arial"/>
        <family val="2"/>
      </rPr>
      <t>21.7</t>
    </r>
    <r>
      <rPr>
        <vertAlign val="superscript"/>
        <sz val="10"/>
        <color theme="1"/>
        <rFont val="Arial"/>
        <family val="2"/>
      </rPr>
      <t>E</t>
    </r>
  </si>
  <si>
    <r>
      <rPr>
        <sz val="10"/>
        <color theme="1"/>
        <rFont val="Arial"/>
        <family val="2"/>
      </rPr>
      <t>51.8</t>
    </r>
    <r>
      <rPr>
        <vertAlign val="superscript"/>
        <sz val="10"/>
        <color theme="1"/>
        <rFont val="Arial"/>
        <family val="2"/>
      </rPr>
      <t>E</t>
    </r>
  </si>
  <si>
    <r>
      <rPr>
        <sz val="10"/>
        <color theme="1"/>
        <rFont val="Arial"/>
        <family val="2"/>
      </rPr>
      <t>2.1</t>
    </r>
    <r>
      <rPr>
        <vertAlign val="superscript"/>
        <sz val="10"/>
        <color theme="1"/>
        <rFont val="Arial"/>
        <family val="2"/>
      </rPr>
      <t>E</t>
    </r>
  </si>
  <si>
    <r>
      <rPr>
        <sz val="10"/>
        <color theme="1"/>
        <rFont val="Arial"/>
        <family val="2"/>
      </rPr>
      <t>24.3</t>
    </r>
    <r>
      <rPr>
        <vertAlign val="superscript"/>
        <sz val="10"/>
        <color theme="1"/>
        <rFont val="Arial"/>
        <family val="2"/>
      </rPr>
      <t>E</t>
    </r>
  </si>
  <si>
    <r>
      <rPr>
        <sz val="10"/>
        <color theme="1"/>
        <rFont val="Arial"/>
        <family val="2"/>
      </rPr>
      <t>27.4</t>
    </r>
    <r>
      <rPr>
        <vertAlign val="superscript"/>
        <sz val="10"/>
        <color theme="1"/>
        <rFont val="Arial"/>
        <family val="2"/>
      </rPr>
      <t>E</t>
    </r>
  </si>
  <si>
    <r>
      <rPr>
        <sz val="10"/>
        <color theme="1"/>
        <rFont val="Arial"/>
        <family val="2"/>
      </rPr>
      <t>12.4</t>
    </r>
    <r>
      <rPr>
        <vertAlign val="superscript"/>
        <sz val="10"/>
        <color theme="1"/>
        <rFont val="Arial"/>
        <family val="2"/>
      </rPr>
      <t>E</t>
    </r>
  </si>
  <si>
    <r>
      <rPr>
        <sz val="10"/>
        <color theme="1"/>
        <rFont val="Arial"/>
        <family val="2"/>
      </rPr>
      <t>43.7</t>
    </r>
    <r>
      <rPr>
        <vertAlign val="superscript"/>
        <sz val="10"/>
        <color theme="1"/>
        <rFont val="Arial"/>
        <family val="2"/>
      </rPr>
      <t>E</t>
    </r>
  </si>
  <si>
    <r>
      <rPr>
        <sz val="10"/>
        <color theme="1"/>
        <rFont val="Arial"/>
        <family val="2"/>
      </rPr>
      <t>120.8</t>
    </r>
    <r>
      <rPr>
        <vertAlign val="superscript"/>
        <sz val="10"/>
        <color theme="1"/>
        <rFont val="Arial"/>
        <family val="2"/>
      </rPr>
      <t>E</t>
    </r>
  </si>
  <si>
    <r>
      <rPr>
        <sz val="10"/>
        <color theme="1"/>
        <rFont val="Arial"/>
        <family val="2"/>
      </rPr>
      <t>43.9</t>
    </r>
    <r>
      <rPr>
        <vertAlign val="superscript"/>
        <sz val="10"/>
        <color theme="1"/>
        <rFont val="Arial"/>
        <family val="2"/>
      </rPr>
      <t>E</t>
    </r>
  </si>
  <si>
    <r>
      <rPr>
        <sz val="10"/>
        <color theme="1"/>
        <rFont val="Arial"/>
        <family val="2"/>
      </rPr>
      <t>46.0</t>
    </r>
    <r>
      <rPr>
        <vertAlign val="superscript"/>
        <sz val="10"/>
        <color theme="1"/>
        <rFont val="Arial"/>
        <family val="2"/>
      </rPr>
      <t>E</t>
    </r>
  </si>
  <si>
    <r>
      <rPr>
        <sz val="10"/>
        <color theme="1"/>
        <rFont val="Arial"/>
        <family val="2"/>
      </rPr>
      <t>132.9</t>
    </r>
    <r>
      <rPr>
        <vertAlign val="superscript"/>
        <sz val="10"/>
        <color theme="1"/>
        <rFont val="Arial"/>
        <family val="2"/>
      </rPr>
      <t>E</t>
    </r>
  </si>
  <si>
    <r>
      <rPr>
        <sz val="10"/>
        <color theme="1"/>
        <rFont val="Arial"/>
        <family val="2"/>
      </rPr>
      <t>45.33</t>
    </r>
    <r>
      <rPr>
        <vertAlign val="superscript"/>
        <sz val="10"/>
        <color theme="1"/>
        <rFont val="Arial"/>
        <family val="2"/>
      </rPr>
      <t>E</t>
    </r>
  </si>
  <si>
    <r>
      <rPr>
        <sz val="10"/>
        <color theme="1"/>
        <rFont val="Arial"/>
        <family val="2"/>
      </rPr>
      <t>11.87</t>
    </r>
    <r>
      <rPr>
        <vertAlign val="superscript"/>
        <sz val="10"/>
        <color theme="1"/>
        <rFont val="Arial"/>
        <family val="2"/>
      </rPr>
      <t>E</t>
    </r>
  </si>
  <si>
    <r>
      <rPr>
        <sz val="10"/>
        <color theme="1"/>
        <rFont val="Arial"/>
        <family val="2"/>
      </rPr>
      <t>456</t>
    </r>
    <r>
      <rPr>
        <vertAlign val="superscript"/>
        <sz val="10"/>
        <color theme="1"/>
        <rFont val="Arial"/>
        <family val="2"/>
      </rPr>
      <t>E</t>
    </r>
  </si>
  <si>
    <r>
      <rPr>
        <sz val="10"/>
        <color theme="1"/>
        <rFont val="Arial"/>
        <family val="2"/>
      </rPr>
      <t>515.9</t>
    </r>
    <r>
      <rPr>
        <vertAlign val="superscript"/>
        <sz val="10"/>
        <color theme="1"/>
        <rFont val="Arial"/>
        <family val="2"/>
      </rPr>
      <t>E</t>
    </r>
  </si>
  <si>
    <r>
      <rPr>
        <sz val="10"/>
        <color theme="1"/>
        <rFont val="Arial"/>
        <family val="2"/>
      </rPr>
      <t>49.50</t>
    </r>
    <r>
      <rPr>
        <vertAlign val="superscript"/>
        <sz val="10"/>
        <color theme="1"/>
        <rFont val="Arial"/>
        <family val="2"/>
      </rPr>
      <t>E</t>
    </r>
  </si>
  <si>
    <r>
      <rPr>
        <sz val="10"/>
        <color theme="1"/>
        <rFont val="Arial"/>
        <family val="2"/>
      </rPr>
      <t>1.37</t>
    </r>
    <r>
      <rPr>
        <vertAlign val="superscript"/>
        <sz val="10"/>
        <color theme="1"/>
        <rFont val="Arial"/>
        <family val="2"/>
      </rPr>
      <t>E</t>
    </r>
  </si>
  <si>
    <r>
      <rPr>
        <sz val="10"/>
        <color theme="1"/>
        <rFont val="Arial"/>
        <family val="2"/>
      </rPr>
      <t>24</t>
    </r>
    <r>
      <rPr>
        <vertAlign val="superscript"/>
        <sz val="10"/>
        <color theme="1"/>
        <rFont val="Arial"/>
        <family val="2"/>
      </rPr>
      <t>E</t>
    </r>
  </si>
  <si>
    <r>
      <rPr>
        <sz val="10"/>
        <color theme="1"/>
        <rFont val="Arial"/>
        <family val="2"/>
      </rPr>
      <t>120</t>
    </r>
    <r>
      <rPr>
        <vertAlign val="superscript"/>
        <sz val="10"/>
        <color theme="1"/>
        <rFont val="Arial"/>
        <family val="2"/>
      </rPr>
      <t>E</t>
    </r>
  </si>
  <si>
    <r>
      <rPr>
        <sz val="10"/>
        <color theme="1"/>
        <rFont val="Arial"/>
        <family val="2"/>
      </rPr>
      <t>3.2</t>
    </r>
    <r>
      <rPr>
        <vertAlign val="superscript"/>
        <sz val="10"/>
        <color theme="1"/>
        <rFont val="Arial"/>
        <family val="2"/>
      </rPr>
      <t>E</t>
    </r>
  </si>
  <si>
    <r>
      <rPr>
        <sz val="10"/>
        <color theme="1"/>
        <rFont val="Arial"/>
        <family val="2"/>
      </rPr>
      <t>49.9</t>
    </r>
    <r>
      <rPr>
        <vertAlign val="superscript"/>
        <sz val="10"/>
        <color theme="1"/>
        <rFont val="Arial"/>
        <family val="2"/>
      </rPr>
      <t>E</t>
    </r>
  </si>
  <si>
    <r>
      <rPr>
        <sz val="10"/>
        <color theme="1"/>
        <rFont val="Arial"/>
        <family val="2"/>
      </rPr>
      <t>4,174</t>
    </r>
    <r>
      <rPr>
        <vertAlign val="superscript"/>
        <sz val="10"/>
        <color theme="1"/>
        <rFont val="Arial"/>
        <family val="2"/>
      </rPr>
      <t>E</t>
    </r>
  </si>
  <si>
    <r>
      <rPr>
        <sz val="10"/>
        <color theme="1"/>
        <rFont val="Arial"/>
        <family val="2"/>
      </rPr>
      <t>579</t>
    </r>
    <r>
      <rPr>
        <vertAlign val="superscript"/>
        <sz val="10"/>
        <color theme="1"/>
        <rFont val="Arial"/>
        <family val="2"/>
      </rPr>
      <t>E</t>
    </r>
  </si>
  <si>
    <r>
      <rPr>
        <sz val="10"/>
        <color theme="1"/>
        <rFont val="Arial"/>
        <family val="2"/>
      </rPr>
      <t>51.1</t>
    </r>
    <r>
      <rPr>
        <vertAlign val="superscript"/>
        <sz val="10"/>
        <color theme="1"/>
        <rFont val="Arial"/>
        <family val="2"/>
      </rPr>
      <t>E</t>
    </r>
  </si>
  <si>
    <r>
      <rPr>
        <sz val="10"/>
        <color theme="1"/>
        <rFont val="Arial"/>
        <family val="2"/>
      </rPr>
      <t>2,367</t>
    </r>
    <r>
      <rPr>
        <vertAlign val="superscript"/>
        <sz val="10"/>
        <color theme="1"/>
        <rFont val="Arial"/>
        <family val="2"/>
      </rPr>
      <t>E</t>
    </r>
  </si>
  <si>
    <r>
      <rPr>
        <sz val="10"/>
        <color theme="1"/>
        <rFont val="Arial"/>
        <family val="2"/>
      </rPr>
      <t>83.5</t>
    </r>
    <r>
      <rPr>
        <vertAlign val="superscript"/>
        <sz val="10"/>
        <color theme="1"/>
        <rFont val="Arial"/>
        <family val="2"/>
      </rPr>
      <t>E</t>
    </r>
  </si>
  <si>
    <r>
      <rPr>
        <sz val="10"/>
        <color theme="1"/>
        <rFont val="Arial"/>
        <family val="2"/>
      </rPr>
      <t>51.4</t>
    </r>
    <r>
      <rPr>
        <vertAlign val="superscript"/>
        <sz val="10"/>
        <color theme="1"/>
        <rFont val="Arial"/>
        <family val="2"/>
      </rPr>
      <t>E</t>
    </r>
  </si>
  <si>
    <r>
      <rPr>
        <sz val="10"/>
        <color theme="1"/>
        <rFont val="Arial"/>
        <family val="2"/>
      </rPr>
      <t>3,200</t>
    </r>
    <r>
      <rPr>
        <vertAlign val="superscript"/>
        <sz val="10"/>
        <color theme="1"/>
        <rFont val="Arial"/>
        <family val="2"/>
      </rPr>
      <t>E</t>
    </r>
  </si>
  <si>
    <r>
      <rPr>
        <sz val="10"/>
        <color theme="1"/>
        <rFont val="Arial"/>
        <family val="2"/>
      </rPr>
      <t>44.2</t>
    </r>
    <r>
      <rPr>
        <vertAlign val="superscript"/>
        <sz val="10"/>
        <color theme="1"/>
        <rFont val="Arial"/>
        <family val="2"/>
      </rPr>
      <t>E</t>
    </r>
  </si>
  <si>
    <r>
      <rPr>
        <sz val="10"/>
        <color theme="1"/>
        <rFont val="Arial"/>
        <family val="2"/>
      </rPr>
      <t>5.6</t>
    </r>
    <r>
      <rPr>
        <vertAlign val="superscript"/>
        <sz val="10"/>
        <color theme="1"/>
        <rFont val="Arial"/>
        <family val="2"/>
      </rPr>
      <t>E</t>
    </r>
  </si>
  <si>
    <r>
      <rPr>
        <sz val="10"/>
        <color theme="1"/>
        <rFont val="Arial"/>
        <family val="2"/>
      </rPr>
      <t>1,360</t>
    </r>
    <r>
      <rPr>
        <vertAlign val="superscript"/>
        <sz val="10"/>
        <color theme="1"/>
        <rFont val="Arial"/>
        <family val="2"/>
      </rPr>
      <t>E</t>
    </r>
  </si>
  <si>
    <r>
      <rPr>
        <sz val="10"/>
        <color theme="1"/>
        <rFont val="Arial"/>
        <family val="2"/>
      </rPr>
      <t>1,679</t>
    </r>
    <r>
      <rPr>
        <vertAlign val="superscript"/>
        <sz val="10"/>
        <color theme="1"/>
        <rFont val="Arial"/>
        <family val="2"/>
      </rPr>
      <t>E</t>
    </r>
  </si>
  <si>
    <r>
      <rPr>
        <sz val="10"/>
        <color theme="1"/>
        <rFont val="Arial"/>
        <family val="2"/>
      </rPr>
      <t>47.3</t>
    </r>
    <r>
      <rPr>
        <vertAlign val="superscript"/>
        <sz val="10"/>
        <color theme="1"/>
        <rFont val="Arial"/>
        <family val="2"/>
      </rPr>
      <t>E</t>
    </r>
  </si>
  <si>
    <r>
      <rPr>
        <sz val="10"/>
        <color theme="1"/>
        <rFont val="Arial"/>
        <family val="2"/>
      </rPr>
      <t>426.0</t>
    </r>
    <r>
      <rPr>
        <vertAlign val="superscript"/>
        <sz val="10"/>
        <color theme="1"/>
        <rFont val="Arial"/>
        <family val="2"/>
      </rPr>
      <t>E</t>
    </r>
  </si>
  <si>
    <r>
      <rPr>
        <sz val="10"/>
        <color theme="1"/>
        <rFont val="Arial"/>
        <family val="2"/>
      </rPr>
      <t>56.6</t>
    </r>
    <r>
      <rPr>
        <vertAlign val="superscript"/>
        <sz val="10"/>
        <color theme="1"/>
        <rFont val="Arial"/>
        <family val="2"/>
      </rPr>
      <t>E</t>
    </r>
  </si>
  <si>
    <r>
      <t>6,691</t>
    </r>
    <r>
      <rPr>
        <vertAlign val="superscript"/>
        <sz val="10"/>
        <rFont val="Arial"/>
        <family val="2"/>
      </rPr>
      <t>E</t>
    </r>
  </si>
  <si>
    <r>
      <t>70.8</t>
    </r>
    <r>
      <rPr>
        <vertAlign val="superscript"/>
        <sz val="10"/>
        <rFont val="Arial"/>
        <family val="2"/>
      </rPr>
      <t>E</t>
    </r>
  </si>
  <si>
    <r>
      <t>2,088</t>
    </r>
    <r>
      <rPr>
        <vertAlign val="superscript"/>
        <sz val="10"/>
        <rFont val="Arial"/>
        <family val="2"/>
      </rPr>
      <t>E</t>
    </r>
  </si>
  <si>
    <r>
      <t>2,881</t>
    </r>
    <r>
      <rPr>
        <vertAlign val="superscript"/>
        <sz val="10"/>
        <rFont val="Arial"/>
        <family val="2"/>
      </rPr>
      <t>E</t>
    </r>
  </si>
  <si>
    <r>
      <t>50</t>
    </r>
    <r>
      <rPr>
        <vertAlign val="superscript"/>
        <sz val="10"/>
        <rFont val="Arial"/>
        <family val="2"/>
      </rPr>
      <t>E</t>
    </r>
  </si>
  <si>
    <r>
      <rPr>
        <sz val="10"/>
        <color theme="1"/>
        <rFont val="Arial"/>
        <family val="2"/>
      </rPr>
      <t>1,267</t>
    </r>
    <r>
      <rPr>
        <vertAlign val="superscript"/>
        <sz val="10"/>
        <color theme="1"/>
        <rFont val="Arial"/>
        <family val="2"/>
      </rPr>
      <t>E</t>
    </r>
  </si>
  <si>
    <r>
      <rPr>
        <sz val="10"/>
        <color theme="1"/>
        <rFont val="Arial"/>
        <family val="2"/>
      </rPr>
      <t>63.03</t>
    </r>
    <r>
      <rPr>
        <vertAlign val="superscript"/>
        <sz val="10"/>
        <color theme="1"/>
        <rFont val="Arial"/>
        <family val="2"/>
      </rPr>
      <t>E</t>
    </r>
  </si>
  <si>
    <r>
      <rPr>
        <sz val="10"/>
        <color theme="1"/>
        <rFont val="Arial"/>
        <family val="2"/>
      </rPr>
      <t>239</t>
    </r>
    <r>
      <rPr>
        <vertAlign val="superscript"/>
        <sz val="10"/>
        <color theme="1"/>
        <rFont val="Arial"/>
        <family val="2"/>
      </rPr>
      <t>E</t>
    </r>
  </si>
  <si>
    <r>
      <rPr>
        <sz val="10"/>
        <color theme="1"/>
        <rFont val="Arial"/>
        <family val="2"/>
      </rPr>
      <t>13,176</t>
    </r>
    <r>
      <rPr>
        <vertAlign val="superscript"/>
        <sz val="10"/>
        <color theme="1"/>
        <rFont val="Arial"/>
        <family val="2"/>
      </rPr>
      <t>E</t>
    </r>
  </si>
  <si>
    <r>
      <rPr>
        <sz val="10"/>
        <color theme="1"/>
        <rFont val="Arial"/>
        <family val="2"/>
      </rPr>
      <t>57.25</t>
    </r>
    <r>
      <rPr>
        <vertAlign val="superscript"/>
        <sz val="10"/>
        <color theme="1"/>
        <rFont val="Arial"/>
        <family val="2"/>
      </rPr>
      <t>E</t>
    </r>
  </si>
  <si>
    <r>
      <rPr>
        <sz val="10"/>
        <color theme="1"/>
        <rFont val="Arial"/>
        <family val="2"/>
      </rPr>
      <t>134</t>
    </r>
    <r>
      <rPr>
        <vertAlign val="superscript"/>
        <sz val="10"/>
        <color theme="1"/>
        <rFont val="Arial"/>
        <family val="2"/>
      </rPr>
      <t>E</t>
    </r>
  </si>
  <si>
    <r>
      <rPr>
        <sz val="10"/>
        <color theme="1"/>
        <rFont val="Arial"/>
        <family val="2"/>
      </rPr>
      <t>5.1</t>
    </r>
    <r>
      <rPr>
        <vertAlign val="superscript"/>
        <sz val="10"/>
        <color theme="1"/>
        <rFont val="Arial"/>
        <family val="2"/>
      </rPr>
      <t>E</t>
    </r>
  </si>
  <si>
    <r>
      <rPr>
        <sz val="10"/>
        <color theme="1"/>
        <rFont val="Arial"/>
        <family val="2"/>
      </rPr>
      <t>36</t>
    </r>
    <r>
      <rPr>
        <vertAlign val="superscript"/>
        <sz val="10"/>
        <color theme="1"/>
        <rFont val="Arial"/>
        <family val="2"/>
      </rPr>
      <t>E</t>
    </r>
  </si>
  <si>
    <r>
      <rPr>
        <sz val="10"/>
        <color theme="1"/>
        <rFont val="Arial"/>
        <family val="2"/>
      </rPr>
      <t>96.1</t>
    </r>
    <r>
      <rPr>
        <vertAlign val="superscript"/>
        <sz val="10"/>
        <color theme="1"/>
        <rFont val="Arial"/>
        <family val="2"/>
      </rPr>
      <t>E</t>
    </r>
  </si>
  <si>
    <r>
      <rPr>
        <sz val="10"/>
        <color theme="1"/>
        <rFont val="Arial"/>
        <family val="2"/>
      </rPr>
      <t>2.3</t>
    </r>
    <r>
      <rPr>
        <vertAlign val="superscript"/>
        <sz val="10"/>
        <color theme="1"/>
        <rFont val="Arial"/>
        <family val="2"/>
      </rPr>
      <t>E</t>
    </r>
  </si>
  <si>
    <r>
      <rPr>
        <sz val="10"/>
        <color theme="1"/>
        <rFont val="Arial"/>
        <family val="2"/>
      </rPr>
      <t>51.3</t>
    </r>
    <r>
      <rPr>
        <vertAlign val="superscript"/>
        <sz val="10"/>
        <color theme="1"/>
        <rFont val="Arial"/>
        <family val="2"/>
      </rPr>
      <t>E</t>
    </r>
  </si>
  <si>
    <r>
      <rPr>
        <sz val="10"/>
        <color theme="1"/>
        <rFont val="Arial"/>
        <family val="2"/>
      </rPr>
      <t>23,862</t>
    </r>
    <r>
      <rPr>
        <vertAlign val="superscript"/>
        <sz val="10"/>
        <color theme="1"/>
        <rFont val="Arial"/>
        <family val="2"/>
      </rPr>
      <t>E</t>
    </r>
  </si>
  <si>
    <r>
      <rPr>
        <sz val="10"/>
        <color theme="1"/>
        <rFont val="Arial"/>
        <family val="2"/>
      </rPr>
      <t>1,107</t>
    </r>
    <r>
      <rPr>
        <vertAlign val="superscript"/>
        <sz val="10"/>
        <color theme="1"/>
        <rFont val="Arial"/>
        <family val="2"/>
      </rPr>
      <t>E</t>
    </r>
  </si>
  <si>
    <r>
      <rPr>
        <sz val="10"/>
        <color theme="1"/>
        <rFont val="Arial"/>
        <family val="2"/>
      </rPr>
      <t>6.9</t>
    </r>
    <r>
      <rPr>
        <vertAlign val="superscript"/>
        <sz val="10"/>
        <color theme="1"/>
        <rFont val="Arial"/>
        <family val="2"/>
      </rPr>
      <t>E</t>
    </r>
  </si>
  <si>
    <r>
      <rPr>
        <sz val="10"/>
        <color theme="1"/>
        <rFont val="Arial"/>
        <family val="2"/>
      </rPr>
      <t>46.9</t>
    </r>
    <r>
      <rPr>
        <vertAlign val="superscript"/>
        <sz val="10"/>
        <color theme="1"/>
        <rFont val="Arial"/>
        <family val="2"/>
      </rPr>
      <t>E</t>
    </r>
  </si>
  <si>
    <r>
      <rPr>
        <sz val="10"/>
        <color theme="1"/>
        <rFont val="Arial"/>
        <family val="2"/>
      </rPr>
      <t>20,569</t>
    </r>
    <r>
      <rPr>
        <vertAlign val="superscript"/>
        <sz val="10"/>
        <color theme="1"/>
        <rFont val="Arial"/>
        <family val="2"/>
      </rPr>
      <t>E</t>
    </r>
  </si>
  <si>
    <r>
      <rPr>
        <sz val="10"/>
        <color theme="1"/>
        <rFont val="Arial"/>
        <family val="2"/>
      </rPr>
      <t>848</t>
    </r>
    <r>
      <rPr>
        <vertAlign val="superscript"/>
        <sz val="10"/>
        <color theme="1"/>
        <rFont val="Arial"/>
        <family val="2"/>
      </rPr>
      <t>E</t>
    </r>
  </si>
  <si>
    <r>
      <rPr>
        <sz val="10"/>
        <color theme="1"/>
        <rFont val="Arial"/>
        <family val="2"/>
      </rPr>
      <t>707.1</t>
    </r>
    <r>
      <rPr>
        <vertAlign val="superscript"/>
        <sz val="10"/>
        <color theme="1"/>
        <rFont val="Arial"/>
        <family val="2"/>
      </rPr>
      <t>E</t>
    </r>
  </si>
  <si>
    <r>
      <rPr>
        <sz val="10"/>
        <color theme="1"/>
        <rFont val="Arial"/>
        <family val="2"/>
      </rPr>
      <t>2.7</t>
    </r>
    <r>
      <rPr>
        <vertAlign val="superscript"/>
        <sz val="10"/>
        <color theme="1"/>
        <rFont val="Arial"/>
        <family val="2"/>
      </rPr>
      <t>E</t>
    </r>
  </si>
  <si>
    <r>
      <t>50</t>
    </r>
    <r>
      <rPr>
        <vertAlign val="superscript"/>
        <sz val="10"/>
        <color theme="1"/>
        <rFont val="Arial"/>
        <family val="2"/>
      </rPr>
      <t>E</t>
    </r>
  </si>
  <si>
    <r>
      <rPr>
        <sz val="10"/>
        <color theme="1"/>
        <rFont val="Arial"/>
        <family val="2"/>
      </rPr>
      <t>1.1</t>
    </r>
    <r>
      <rPr>
        <vertAlign val="superscript"/>
        <sz val="10"/>
        <color theme="1"/>
        <rFont val="Arial"/>
        <family val="2"/>
      </rPr>
      <t>E</t>
    </r>
  </si>
  <si>
    <r>
      <rPr>
        <sz val="10"/>
        <color theme="1"/>
        <rFont val="Arial"/>
        <family val="2"/>
      </rPr>
      <t>2,565</t>
    </r>
    <r>
      <rPr>
        <vertAlign val="superscript"/>
        <sz val="10"/>
        <color theme="1"/>
        <rFont val="Arial"/>
        <family val="2"/>
      </rPr>
      <t>E</t>
    </r>
  </si>
  <si>
    <r>
      <rPr>
        <sz val="10"/>
        <color theme="1"/>
        <rFont val="Arial"/>
        <family val="2"/>
      </rPr>
      <t>3.4</t>
    </r>
    <r>
      <rPr>
        <vertAlign val="superscript"/>
        <sz val="10"/>
        <color theme="1"/>
        <rFont val="Arial"/>
        <family val="2"/>
      </rPr>
      <t>E</t>
    </r>
  </si>
  <si>
    <r>
      <rPr>
        <sz val="10"/>
        <color theme="1"/>
        <rFont val="Arial"/>
        <family val="2"/>
      </rPr>
      <t>3.0</t>
    </r>
    <r>
      <rPr>
        <vertAlign val="superscript"/>
        <sz val="10"/>
        <color theme="1"/>
        <rFont val="Arial"/>
        <family val="2"/>
      </rPr>
      <t>E</t>
    </r>
  </si>
  <si>
    <r>
      <rPr>
        <sz val="10"/>
        <color theme="1"/>
        <rFont val="Arial"/>
        <family val="2"/>
      </rPr>
      <t>1,010</t>
    </r>
    <r>
      <rPr>
        <vertAlign val="superscript"/>
        <sz val="10"/>
        <color theme="1"/>
        <rFont val="Arial"/>
        <family val="2"/>
      </rPr>
      <t>E</t>
    </r>
  </si>
  <si>
    <r>
      <rPr>
        <sz val="10"/>
        <color theme="1"/>
        <rFont val="Arial"/>
        <family val="2"/>
      </rPr>
      <t>1.8</t>
    </r>
    <r>
      <rPr>
        <vertAlign val="superscript"/>
        <sz val="10"/>
        <color theme="1"/>
        <rFont val="Arial"/>
        <family val="2"/>
      </rPr>
      <t>E</t>
    </r>
  </si>
  <si>
    <r>
      <rPr>
        <sz val="10"/>
        <color theme="1"/>
        <rFont val="Arial"/>
        <family val="2"/>
      </rPr>
      <t>8.5</t>
    </r>
    <r>
      <rPr>
        <vertAlign val="superscript"/>
        <sz val="10"/>
        <color theme="1"/>
        <rFont val="Arial"/>
        <family val="2"/>
      </rPr>
      <t>E</t>
    </r>
  </si>
  <si>
    <r>
      <rPr>
        <sz val="10"/>
        <color theme="1"/>
        <rFont val="Arial"/>
        <family val="2"/>
      </rPr>
      <t>57.8</t>
    </r>
    <r>
      <rPr>
        <vertAlign val="superscript"/>
        <sz val="10"/>
        <color theme="1"/>
        <rFont val="Arial"/>
        <family val="2"/>
      </rPr>
      <t>E</t>
    </r>
  </si>
  <si>
    <r>
      <rPr>
        <sz val="10"/>
        <color theme="1"/>
        <rFont val="Arial"/>
        <family val="2"/>
      </rPr>
      <t>169.7</t>
    </r>
    <r>
      <rPr>
        <vertAlign val="superscript"/>
        <sz val="10"/>
        <color theme="1"/>
        <rFont val="Arial"/>
        <family val="2"/>
      </rPr>
      <t>E</t>
    </r>
  </si>
  <si>
    <r>
      <rPr>
        <sz val="10"/>
        <color theme="1"/>
        <rFont val="Arial"/>
        <family val="2"/>
      </rPr>
      <t>5,411</t>
    </r>
    <r>
      <rPr>
        <vertAlign val="superscript"/>
        <sz val="10"/>
        <color theme="1"/>
        <rFont val="Arial"/>
        <family val="2"/>
      </rPr>
      <t>E</t>
    </r>
  </si>
  <si>
    <r>
      <rPr>
        <sz val="10"/>
        <color theme="1"/>
        <rFont val="Arial"/>
        <family val="2"/>
      </rPr>
      <t>13,211</t>
    </r>
    <r>
      <rPr>
        <vertAlign val="superscript"/>
        <sz val="10"/>
        <color theme="1"/>
        <rFont val="Arial"/>
        <family val="2"/>
      </rPr>
      <t>E</t>
    </r>
  </si>
  <si>
    <r>
      <rPr>
        <sz val="10"/>
        <color theme="1"/>
        <rFont val="Arial"/>
        <family val="2"/>
      </rPr>
      <t>9,517</t>
    </r>
    <r>
      <rPr>
        <vertAlign val="superscript"/>
        <sz val="10"/>
        <color theme="1"/>
        <rFont val="Arial"/>
        <family val="2"/>
      </rPr>
      <t>E</t>
    </r>
  </si>
  <si>
    <r>
      <rPr>
        <sz val="10"/>
        <color theme="1"/>
        <rFont val="Arial"/>
        <family val="2"/>
      </rPr>
      <t>553.6</t>
    </r>
    <r>
      <rPr>
        <vertAlign val="superscript"/>
        <sz val="10"/>
        <color theme="1"/>
        <rFont val="Arial"/>
        <family val="2"/>
      </rPr>
      <t>E</t>
    </r>
  </si>
  <si>
    <r>
      <rPr>
        <sz val="10"/>
        <color theme="1"/>
        <rFont val="Arial"/>
        <family val="2"/>
      </rPr>
      <t>782.3</t>
    </r>
    <r>
      <rPr>
        <vertAlign val="superscript"/>
        <sz val="10"/>
        <color theme="1"/>
        <rFont val="Arial"/>
        <family val="2"/>
      </rPr>
      <t>E</t>
    </r>
  </si>
  <si>
    <r>
      <rPr>
        <sz val="10"/>
        <color theme="1"/>
        <rFont val="Arial"/>
        <family val="2"/>
      </rPr>
      <t>1.16</t>
    </r>
    <r>
      <rPr>
        <vertAlign val="superscript"/>
        <sz val="10"/>
        <color theme="1"/>
        <rFont val="Arial"/>
        <family val="2"/>
      </rPr>
      <t>E</t>
    </r>
  </si>
  <si>
    <r>
      <rPr>
        <sz val="10"/>
        <color theme="1"/>
        <rFont val="Arial"/>
        <family val="2"/>
      </rPr>
      <t>0.18</t>
    </r>
    <r>
      <rPr>
        <vertAlign val="superscript"/>
        <sz val="10"/>
        <color theme="1"/>
        <rFont val="Arial"/>
        <family val="2"/>
      </rPr>
      <t>E</t>
    </r>
  </si>
  <si>
    <r>
      <rPr>
        <sz val="10"/>
        <color theme="1"/>
        <rFont val="Arial"/>
        <family val="2"/>
      </rPr>
      <t>0.62</t>
    </r>
    <r>
      <rPr>
        <vertAlign val="superscript"/>
        <sz val="10"/>
        <color theme="1"/>
        <rFont val="Arial"/>
        <family val="2"/>
      </rPr>
      <t>E</t>
    </r>
  </si>
  <si>
    <r>
      <rPr>
        <sz val="10"/>
        <color theme="1"/>
        <rFont val="Arial"/>
        <family val="2"/>
      </rPr>
      <t>0.15</t>
    </r>
    <r>
      <rPr>
        <vertAlign val="superscript"/>
        <sz val="10"/>
        <color theme="1"/>
        <rFont val="Arial"/>
        <family val="2"/>
      </rPr>
      <t>E</t>
    </r>
  </si>
  <si>
    <r>
      <rPr>
        <sz val="10"/>
        <color theme="1"/>
        <rFont val="Arial"/>
        <family val="2"/>
      </rPr>
      <t>1.05</t>
    </r>
    <r>
      <rPr>
        <vertAlign val="superscript"/>
        <sz val="10"/>
        <color theme="1"/>
        <rFont val="Arial"/>
        <family val="2"/>
      </rPr>
      <t>E</t>
    </r>
  </si>
  <si>
    <r>
      <rPr>
        <sz val="10"/>
        <color theme="1"/>
        <rFont val="Arial"/>
        <family val="2"/>
      </rPr>
      <t>0.11</t>
    </r>
    <r>
      <rPr>
        <vertAlign val="superscript"/>
        <sz val="10"/>
        <color theme="1"/>
        <rFont val="Arial"/>
        <family val="2"/>
      </rPr>
      <t>E</t>
    </r>
  </si>
  <si>
    <r>
      <rPr>
        <sz val="10"/>
        <color theme="1"/>
        <rFont val="Arial"/>
        <family val="2"/>
      </rPr>
      <t>0.78</t>
    </r>
    <r>
      <rPr>
        <vertAlign val="superscript"/>
        <sz val="10"/>
        <color theme="1"/>
        <rFont val="Arial"/>
        <family val="2"/>
      </rPr>
      <t>E</t>
    </r>
  </si>
  <si>
    <r>
      <t>22.9</t>
    </r>
    <r>
      <rPr>
        <vertAlign val="superscript"/>
        <sz val="10"/>
        <color theme="1"/>
        <rFont val="Arial"/>
        <family val="2"/>
      </rPr>
      <t>E</t>
    </r>
  </si>
  <si>
    <r>
      <t>12.5</t>
    </r>
    <r>
      <rPr>
        <vertAlign val="superscript"/>
        <sz val="10"/>
        <color theme="1"/>
        <rFont val="Arial"/>
        <family val="2"/>
      </rPr>
      <t>E</t>
    </r>
  </si>
  <si>
    <r>
      <rPr>
        <sz val="10"/>
        <color theme="1"/>
        <rFont val="Arial"/>
        <family val="2"/>
      </rPr>
      <t>0.93</t>
    </r>
    <r>
      <rPr>
        <vertAlign val="superscript"/>
        <sz val="10"/>
        <color theme="1"/>
        <rFont val="Arial"/>
        <family val="2"/>
      </rPr>
      <t>E</t>
    </r>
  </si>
  <si>
    <r>
      <rPr>
        <sz val="10"/>
        <color theme="1"/>
        <rFont val="Arial"/>
        <family val="2"/>
      </rPr>
      <t>4.1</t>
    </r>
    <r>
      <rPr>
        <vertAlign val="superscript"/>
        <sz val="10"/>
        <color theme="1"/>
        <rFont val="Arial"/>
        <family val="2"/>
      </rPr>
      <t>E</t>
    </r>
  </si>
  <si>
    <r>
      <rPr>
        <sz val="10"/>
        <color theme="1"/>
        <rFont val="Arial"/>
        <family val="2"/>
      </rPr>
      <t>0.17</t>
    </r>
    <r>
      <rPr>
        <vertAlign val="superscript"/>
        <sz val="10"/>
        <color theme="1"/>
        <rFont val="Arial"/>
        <family val="2"/>
      </rPr>
      <t>E</t>
    </r>
  </si>
  <si>
    <r>
      <rPr>
        <sz val="10"/>
        <color theme="1"/>
        <rFont val="Arial"/>
        <family val="2"/>
      </rPr>
      <t>0.57</t>
    </r>
    <r>
      <rPr>
        <vertAlign val="superscript"/>
        <sz val="10"/>
        <color theme="1"/>
        <rFont val="Arial"/>
        <family val="2"/>
      </rPr>
      <t>E</t>
    </r>
  </si>
  <si>
    <r>
      <rPr>
        <sz val="10"/>
        <color theme="1"/>
        <rFont val="Arial"/>
        <family val="2"/>
      </rPr>
      <t>0.19</t>
    </r>
    <r>
      <rPr>
        <vertAlign val="superscript"/>
        <sz val="10"/>
        <color theme="1"/>
        <rFont val="Arial"/>
        <family val="2"/>
      </rPr>
      <t>E</t>
    </r>
  </si>
  <si>
    <r>
      <rPr>
        <sz val="10"/>
        <color theme="1"/>
        <rFont val="Arial"/>
        <family val="2"/>
      </rPr>
      <t>0.98</t>
    </r>
    <r>
      <rPr>
        <vertAlign val="superscript"/>
        <sz val="10"/>
        <color theme="1"/>
        <rFont val="Arial"/>
        <family val="2"/>
      </rPr>
      <t>E</t>
    </r>
  </si>
  <si>
    <r>
      <rPr>
        <sz val="10"/>
        <color theme="1"/>
        <rFont val="Arial"/>
        <family val="2"/>
      </rPr>
      <t>15.3</t>
    </r>
    <r>
      <rPr>
        <vertAlign val="superscript"/>
        <sz val="10"/>
        <color theme="1"/>
        <rFont val="Arial"/>
        <family val="2"/>
      </rPr>
      <t>E</t>
    </r>
  </si>
  <si>
    <r>
      <rPr>
        <sz val="10"/>
        <color theme="1"/>
        <rFont val="Arial"/>
        <family val="2"/>
      </rPr>
      <t>219.3</t>
    </r>
    <r>
      <rPr>
        <vertAlign val="superscript"/>
        <sz val="10"/>
        <color theme="1"/>
        <rFont val="Arial"/>
        <family val="2"/>
      </rPr>
      <t>E</t>
    </r>
  </si>
  <si>
    <r>
      <rPr>
        <sz val="10"/>
        <color theme="1"/>
        <rFont val="Arial"/>
        <family val="2"/>
      </rPr>
      <t>749.0</t>
    </r>
    <r>
      <rPr>
        <vertAlign val="superscript"/>
        <sz val="10"/>
        <color theme="1"/>
        <rFont val="Arial"/>
        <family val="2"/>
      </rPr>
      <t>E</t>
    </r>
  </si>
  <si>
    <r>
      <rPr>
        <sz val="10"/>
        <color theme="1"/>
        <rFont val="Arial"/>
        <family val="2"/>
      </rPr>
      <t>75.3</t>
    </r>
    <r>
      <rPr>
        <vertAlign val="superscript"/>
        <sz val="10"/>
        <color theme="1"/>
        <rFont val="Arial"/>
        <family val="2"/>
      </rPr>
      <t>E</t>
    </r>
  </si>
  <si>
    <r>
      <rPr>
        <sz val="10"/>
        <color theme="1"/>
        <rFont val="Arial"/>
        <family val="2"/>
      </rPr>
      <t>16.7</t>
    </r>
    <r>
      <rPr>
        <vertAlign val="superscript"/>
        <sz val="10"/>
        <color theme="1"/>
        <rFont val="Arial"/>
        <family val="2"/>
      </rPr>
      <t>E</t>
    </r>
  </si>
  <si>
    <r>
      <t>1.25</t>
    </r>
    <r>
      <rPr>
        <vertAlign val="superscript"/>
        <sz val="10"/>
        <color theme="1"/>
        <rFont val="Arial"/>
        <family val="2"/>
      </rPr>
      <t>E</t>
    </r>
  </si>
  <si>
    <r>
      <t>0.30</t>
    </r>
    <r>
      <rPr>
        <vertAlign val="superscript"/>
        <sz val="10"/>
        <color theme="1"/>
        <rFont val="Arial"/>
        <family val="2"/>
      </rPr>
      <t>E</t>
    </r>
  </si>
  <si>
    <r>
      <rPr>
        <sz val="10"/>
        <color theme="1"/>
        <rFont val="Arial"/>
        <family val="2"/>
      </rPr>
      <t>65</t>
    </r>
    <r>
      <rPr>
        <vertAlign val="superscript"/>
        <sz val="10"/>
        <color theme="1"/>
        <rFont val="Arial"/>
        <family val="2"/>
      </rPr>
      <t>E</t>
    </r>
  </si>
  <si>
    <r>
      <rPr>
        <sz val="10"/>
        <color theme="1"/>
        <rFont val="Arial"/>
        <family val="2"/>
      </rPr>
      <t>70</t>
    </r>
    <r>
      <rPr>
        <vertAlign val="superscript"/>
        <sz val="10"/>
        <color theme="1"/>
        <rFont val="Arial"/>
        <family val="2"/>
      </rPr>
      <t>E</t>
    </r>
  </si>
  <si>
    <r>
      <rPr>
        <sz val="10"/>
        <color theme="1"/>
        <rFont val="Arial"/>
        <family val="2"/>
      </rPr>
      <t>64</t>
    </r>
    <r>
      <rPr>
        <vertAlign val="superscript"/>
        <sz val="10"/>
        <color theme="1"/>
        <rFont val="Arial"/>
        <family val="2"/>
      </rPr>
      <t>E</t>
    </r>
  </si>
  <si>
    <r>
      <rPr>
        <sz val="10"/>
        <color theme="1"/>
        <rFont val="Arial"/>
        <family val="2"/>
      </rPr>
      <t>40.8</t>
    </r>
    <r>
      <rPr>
        <vertAlign val="superscript"/>
        <sz val="10"/>
        <color theme="1"/>
        <rFont val="Arial"/>
        <family val="2"/>
      </rPr>
      <t>E</t>
    </r>
  </si>
  <si>
    <r>
      <rPr>
        <sz val="10"/>
        <color theme="1"/>
        <rFont val="Arial"/>
        <family val="2"/>
      </rPr>
      <t>71.2</t>
    </r>
    <r>
      <rPr>
        <vertAlign val="superscript"/>
        <sz val="10"/>
        <color theme="1"/>
        <rFont val="Arial"/>
        <family val="2"/>
      </rPr>
      <t>E</t>
    </r>
  </si>
  <si>
    <r>
      <rPr>
        <sz val="10"/>
        <color theme="1"/>
        <rFont val="Arial"/>
        <family val="2"/>
      </rPr>
      <t>72.6</t>
    </r>
    <r>
      <rPr>
        <vertAlign val="superscript"/>
        <sz val="10"/>
        <color theme="1"/>
        <rFont val="Arial"/>
        <family val="2"/>
      </rPr>
      <t>E</t>
    </r>
  </si>
  <si>
    <r>
      <rPr>
        <sz val="10"/>
        <color theme="1"/>
        <rFont val="Arial"/>
        <family val="2"/>
      </rPr>
      <t>71.4</t>
    </r>
    <r>
      <rPr>
        <vertAlign val="superscript"/>
        <sz val="10"/>
        <color theme="1"/>
        <rFont val="Arial"/>
        <family val="2"/>
      </rPr>
      <t>E</t>
    </r>
  </si>
  <si>
    <r>
      <rPr>
        <sz val="10"/>
        <color theme="1"/>
        <rFont val="Arial"/>
        <family val="2"/>
      </rPr>
      <t>69.0</t>
    </r>
    <r>
      <rPr>
        <vertAlign val="superscript"/>
        <sz val="10"/>
        <color theme="1"/>
        <rFont val="Arial"/>
        <family val="2"/>
      </rPr>
      <t>E</t>
    </r>
  </si>
  <si>
    <r>
      <rPr>
        <sz val="10"/>
        <color theme="1"/>
        <rFont val="Arial"/>
        <family val="2"/>
      </rPr>
      <t>67.1</t>
    </r>
    <r>
      <rPr>
        <vertAlign val="superscript"/>
        <sz val="10"/>
        <color theme="1"/>
        <rFont val="Arial"/>
        <family val="2"/>
      </rPr>
      <t>E</t>
    </r>
  </si>
  <si>
    <r>
      <rPr>
        <sz val="10"/>
        <color theme="1"/>
        <rFont val="Arial"/>
        <family val="2"/>
      </rPr>
      <t>67.5</t>
    </r>
    <r>
      <rPr>
        <vertAlign val="superscript"/>
        <sz val="10"/>
        <color theme="1"/>
        <rFont val="Arial"/>
        <family val="2"/>
      </rPr>
      <t>E</t>
    </r>
  </si>
  <si>
    <r>
      <rPr>
        <sz val="10"/>
        <color theme="1"/>
        <rFont val="Arial"/>
        <family val="2"/>
      </rPr>
      <t>68.5</t>
    </r>
    <r>
      <rPr>
        <vertAlign val="superscript"/>
        <sz val="10"/>
        <color theme="1"/>
        <rFont val="Arial"/>
        <family val="2"/>
      </rPr>
      <t>E</t>
    </r>
  </si>
  <si>
    <r>
      <rPr>
        <sz val="10"/>
        <color theme="1"/>
        <rFont val="Arial"/>
        <family val="2"/>
      </rPr>
      <t>0.69</t>
    </r>
    <r>
      <rPr>
        <vertAlign val="superscript"/>
        <sz val="10"/>
        <color theme="1"/>
        <rFont val="Arial"/>
        <family val="2"/>
      </rPr>
      <t>E</t>
    </r>
  </si>
  <si>
    <r>
      <rPr>
        <sz val="10"/>
        <color theme="1"/>
        <rFont val="Arial"/>
        <family val="2"/>
      </rPr>
      <t>71.6</t>
    </r>
    <r>
      <rPr>
        <vertAlign val="superscript"/>
        <sz val="10"/>
        <color theme="1"/>
        <rFont val="Arial"/>
        <family val="2"/>
      </rPr>
      <t>E</t>
    </r>
  </si>
  <si>
    <r>
      <rPr>
        <sz val="10"/>
        <color theme="1"/>
        <rFont val="Arial"/>
        <family val="2"/>
      </rPr>
      <t>72.7</t>
    </r>
    <r>
      <rPr>
        <vertAlign val="superscript"/>
        <sz val="10"/>
        <color theme="1"/>
        <rFont val="Arial"/>
        <family val="2"/>
      </rPr>
      <t>E</t>
    </r>
  </si>
  <si>
    <r>
      <rPr>
        <sz val="10"/>
        <color theme="1"/>
        <rFont val="Arial"/>
        <family val="2"/>
      </rPr>
      <t>13.7</t>
    </r>
    <r>
      <rPr>
        <vertAlign val="superscript"/>
        <sz val="10"/>
        <color theme="1"/>
        <rFont val="Arial"/>
        <family val="2"/>
      </rPr>
      <t>E</t>
    </r>
  </si>
  <si>
    <r>
      <rPr>
        <sz val="10"/>
        <color theme="1"/>
        <rFont val="Arial"/>
        <family val="2"/>
      </rPr>
      <t>70.2</t>
    </r>
    <r>
      <rPr>
        <vertAlign val="superscript"/>
        <sz val="10"/>
        <color theme="1"/>
        <rFont val="Arial"/>
        <family val="2"/>
      </rPr>
      <t>E</t>
    </r>
  </si>
  <si>
    <r>
      <rPr>
        <sz val="10"/>
        <color theme="1"/>
        <rFont val="Arial"/>
        <family val="2"/>
      </rPr>
      <t>69.8</t>
    </r>
    <r>
      <rPr>
        <vertAlign val="superscript"/>
        <sz val="10"/>
        <color theme="1"/>
        <rFont val="Arial"/>
        <family val="2"/>
      </rPr>
      <t>E</t>
    </r>
  </si>
  <si>
    <r>
      <rPr>
        <sz val="10"/>
        <color theme="1"/>
        <rFont val="Arial"/>
        <family val="2"/>
      </rPr>
      <t>53.0</t>
    </r>
    <r>
      <rPr>
        <vertAlign val="superscript"/>
        <sz val="10"/>
        <color theme="1"/>
        <rFont val="Arial"/>
        <family val="2"/>
      </rPr>
      <t>E</t>
    </r>
  </si>
  <si>
    <r>
      <rPr>
        <sz val="10"/>
        <color theme="1"/>
        <rFont val="Arial"/>
        <family val="2"/>
      </rPr>
      <t>68.6</t>
    </r>
    <r>
      <rPr>
        <vertAlign val="superscript"/>
        <sz val="10"/>
        <color theme="1"/>
        <rFont val="Arial"/>
        <family val="2"/>
      </rPr>
      <t>E</t>
    </r>
  </si>
  <si>
    <r>
      <rPr>
        <sz val="10"/>
        <color theme="1"/>
        <rFont val="Arial"/>
        <family val="2"/>
      </rPr>
      <t>3.32</t>
    </r>
    <r>
      <rPr>
        <vertAlign val="superscript"/>
        <sz val="10"/>
        <color theme="1"/>
        <rFont val="Arial"/>
        <family val="2"/>
      </rPr>
      <t>E</t>
    </r>
  </si>
  <si>
    <r>
      <rPr>
        <sz val="10"/>
        <color theme="1"/>
        <rFont val="Arial"/>
        <family val="2"/>
      </rPr>
      <t>3.60</t>
    </r>
    <r>
      <rPr>
        <vertAlign val="superscript"/>
        <sz val="10"/>
        <color theme="1"/>
        <rFont val="Arial"/>
        <family val="2"/>
      </rPr>
      <t>E</t>
    </r>
  </si>
  <si>
    <r>
      <rPr>
        <sz val="10"/>
        <color theme="1"/>
        <rFont val="Arial"/>
        <family val="2"/>
      </rPr>
      <t>66.0</t>
    </r>
    <r>
      <rPr>
        <vertAlign val="superscript"/>
        <sz val="10"/>
        <color theme="1"/>
        <rFont val="Arial"/>
        <family val="2"/>
      </rPr>
      <t>E</t>
    </r>
  </si>
  <si>
    <r>
      <rPr>
        <sz val="10"/>
        <color theme="1"/>
        <rFont val="Arial"/>
        <family val="2"/>
      </rPr>
      <t>60</t>
    </r>
    <r>
      <rPr>
        <vertAlign val="superscript"/>
        <sz val="10"/>
        <color theme="1"/>
        <rFont val="Arial"/>
        <family val="2"/>
      </rPr>
      <t>E</t>
    </r>
  </si>
  <si>
    <r>
      <rPr>
        <sz val="10"/>
        <color theme="1"/>
        <rFont val="Arial"/>
        <family val="2"/>
      </rPr>
      <t>4.98</t>
    </r>
    <r>
      <rPr>
        <vertAlign val="superscript"/>
        <sz val="10"/>
        <color theme="1"/>
        <rFont val="Arial"/>
        <family val="2"/>
      </rPr>
      <t>E</t>
    </r>
  </si>
  <si>
    <r>
      <rPr>
        <sz val="10"/>
        <color theme="1"/>
        <rFont val="Arial"/>
        <family val="2"/>
      </rPr>
      <t>50.1</t>
    </r>
    <r>
      <rPr>
        <vertAlign val="superscript"/>
        <sz val="10"/>
        <color theme="1"/>
        <rFont val="Arial"/>
        <family val="2"/>
      </rPr>
      <t>E</t>
    </r>
  </si>
  <si>
    <r>
      <rPr>
        <sz val="10"/>
        <color theme="1"/>
        <rFont val="Arial"/>
        <family val="2"/>
      </rPr>
      <t>48.4</t>
    </r>
    <r>
      <rPr>
        <vertAlign val="superscript"/>
        <sz val="10"/>
        <color theme="1"/>
        <rFont val="Arial"/>
        <family val="2"/>
      </rPr>
      <t>E</t>
    </r>
  </si>
  <si>
    <r>
      <rPr>
        <sz val="10"/>
        <color theme="1"/>
        <rFont val="Arial"/>
        <family val="2"/>
      </rPr>
      <t>65.2</t>
    </r>
    <r>
      <rPr>
        <vertAlign val="superscript"/>
        <sz val="10"/>
        <color theme="1"/>
        <rFont val="Arial"/>
        <family val="2"/>
      </rPr>
      <t>E</t>
    </r>
  </si>
  <si>
    <r>
      <rPr>
        <sz val="10"/>
        <color theme="1"/>
        <rFont val="Arial"/>
        <family val="2"/>
      </rPr>
      <t>64.6</t>
    </r>
    <r>
      <rPr>
        <vertAlign val="superscript"/>
        <sz val="10"/>
        <color theme="1"/>
        <rFont val="Arial"/>
        <family val="2"/>
      </rPr>
      <t>E</t>
    </r>
  </si>
  <si>
    <r>
      <rPr>
        <sz val="10"/>
        <color theme="1"/>
        <rFont val="Arial"/>
        <family val="2"/>
      </rPr>
      <t>25.1</t>
    </r>
    <r>
      <rPr>
        <vertAlign val="superscript"/>
        <sz val="10"/>
        <color theme="1"/>
        <rFont val="Arial"/>
        <family val="2"/>
      </rPr>
      <t>E</t>
    </r>
  </si>
  <si>
    <r>
      <rPr>
        <sz val="10"/>
        <color theme="1"/>
        <rFont val="Arial"/>
        <family val="2"/>
      </rPr>
      <t>21.1</t>
    </r>
    <r>
      <rPr>
        <vertAlign val="superscript"/>
        <sz val="10"/>
        <color theme="1"/>
        <rFont val="Arial"/>
        <family val="2"/>
      </rPr>
      <t>E</t>
    </r>
  </si>
  <si>
    <r>
      <rPr>
        <sz val="10"/>
        <color theme="1"/>
        <rFont val="Arial"/>
        <family val="2"/>
      </rPr>
      <t>30.4</t>
    </r>
    <r>
      <rPr>
        <vertAlign val="superscript"/>
        <sz val="10"/>
        <color theme="1"/>
        <rFont val="Arial"/>
        <family val="2"/>
      </rPr>
      <t>E</t>
    </r>
  </si>
  <si>
    <r>
      <rPr>
        <sz val="10"/>
        <color theme="1"/>
        <rFont val="Arial"/>
        <family val="2"/>
      </rPr>
      <t>65.3</t>
    </r>
    <r>
      <rPr>
        <vertAlign val="superscript"/>
        <sz val="10"/>
        <color theme="1"/>
        <rFont val="Arial"/>
        <family val="2"/>
      </rPr>
      <t>E</t>
    </r>
  </si>
  <si>
    <r>
      <rPr>
        <sz val="10"/>
        <color theme="1"/>
        <rFont val="Arial"/>
        <family val="2"/>
      </rPr>
      <t>114</t>
    </r>
    <r>
      <rPr>
        <vertAlign val="superscript"/>
        <sz val="10"/>
        <color theme="1"/>
        <rFont val="Arial"/>
        <family val="2"/>
      </rPr>
      <t>E</t>
    </r>
  </si>
  <si>
    <r>
      <rPr>
        <sz val="10"/>
        <color theme="1"/>
        <rFont val="Arial"/>
        <family val="2"/>
      </rPr>
      <t>39.7</t>
    </r>
    <r>
      <rPr>
        <vertAlign val="superscript"/>
        <sz val="10"/>
        <color theme="1"/>
        <rFont val="Arial"/>
        <family val="2"/>
      </rPr>
      <t>E</t>
    </r>
  </si>
  <si>
    <r>
      <rPr>
        <sz val="10"/>
        <color theme="1"/>
        <rFont val="Arial"/>
        <family val="2"/>
      </rPr>
      <t>14.14</t>
    </r>
    <r>
      <rPr>
        <vertAlign val="superscript"/>
        <sz val="10"/>
        <color theme="1"/>
        <rFont val="Arial"/>
        <family val="2"/>
      </rPr>
      <t>E</t>
    </r>
  </si>
  <si>
    <r>
      <rPr>
        <sz val="10"/>
        <color theme="1"/>
        <rFont val="Arial"/>
        <family val="2"/>
      </rPr>
      <t>7.65</t>
    </r>
    <r>
      <rPr>
        <vertAlign val="superscript"/>
        <sz val="10"/>
        <color theme="1"/>
        <rFont val="Arial"/>
        <family val="2"/>
      </rPr>
      <t>E</t>
    </r>
  </si>
  <si>
    <r>
      <rPr>
        <sz val="10"/>
        <color theme="1"/>
        <rFont val="Arial"/>
        <family val="2"/>
      </rPr>
      <t>10,511</t>
    </r>
    <r>
      <rPr>
        <vertAlign val="superscript"/>
        <sz val="10"/>
        <color theme="1"/>
        <rFont val="Arial"/>
        <family val="2"/>
      </rPr>
      <t>E</t>
    </r>
  </si>
  <si>
    <r>
      <rPr>
        <sz val="10"/>
        <color theme="1"/>
        <rFont val="Arial"/>
        <family val="2"/>
      </rPr>
      <t>10.0</t>
    </r>
    <r>
      <rPr>
        <vertAlign val="superscript"/>
        <sz val="10"/>
        <color theme="1"/>
        <rFont val="Arial"/>
        <family val="2"/>
      </rPr>
      <t>E</t>
    </r>
  </si>
  <si>
    <r>
      <rPr>
        <sz val="10"/>
        <color theme="1"/>
        <rFont val="Arial"/>
        <family val="2"/>
      </rPr>
      <t>45.8</t>
    </r>
    <r>
      <rPr>
        <vertAlign val="superscript"/>
        <sz val="10"/>
        <color theme="1"/>
        <rFont val="Arial"/>
        <family val="2"/>
      </rPr>
      <t>E</t>
    </r>
  </si>
  <si>
    <r>
      <rPr>
        <sz val="10"/>
        <color theme="1"/>
        <rFont val="Arial"/>
        <family val="2"/>
      </rPr>
      <t>113</t>
    </r>
    <r>
      <rPr>
        <vertAlign val="superscript"/>
        <sz val="10"/>
        <color theme="1"/>
        <rFont val="Arial"/>
        <family val="2"/>
      </rPr>
      <t>E</t>
    </r>
  </si>
  <si>
    <r>
      <rPr>
        <sz val="10"/>
        <color theme="1"/>
        <rFont val="Arial"/>
        <family val="2"/>
      </rPr>
      <t>2.4</t>
    </r>
    <r>
      <rPr>
        <vertAlign val="superscript"/>
        <sz val="10"/>
        <color theme="1"/>
        <rFont val="Arial"/>
        <family val="2"/>
      </rPr>
      <t>E</t>
    </r>
  </si>
  <si>
    <r>
      <rPr>
        <sz val="10"/>
        <color theme="1"/>
        <rFont val="Arial"/>
        <family val="2"/>
      </rPr>
      <t>82.6</t>
    </r>
    <r>
      <rPr>
        <vertAlign val="superscript"/>
        <sz val="10"/>
        <color theme="1"/>
        <rFont val="Arial"/>
        <family val="2"/>
      </rPr>
      <t>E</t>
    </r>
  </si>
  <si>
    <r>
      <t>61.6</t>
    </r>
    <r>
      <rPr>
        <vertAlign val="superscript"/>
        <sz val="10"/>
        <color theme="1"/>
        <rFont val="Arial"/>
        <family val="2"/>
      </rPr>
      <t>E</t>
    </r>
  </si>
  <si>
    <r>
      <rPr>
        <sz val="10"/>
        <color theme="1"/>
        <rFont val="Arial"/>
        <family val="2"/>
      </rPr>
      <t>0.6</t>
    </r>
    <r>
      <rPr>
        <vertAlign val="superscript"/>
        <sz val="10"/>
        <color theme="1"/>
        <rFont val="Arial"/>
        <family val="2"/>
      </rPr>
      <t>E</t>
    </r>
  </si>
  <si>
    <r>
      <rPr>
        <sz val="10"/>
        <color theme="1"/>
        <rFont val="Arial"/>
        <family val="2"/>
      </rPr>
      <t>195</t>
    </r>
    <r>
      <rPr>
        <vertAlign val="superscript"/>
        <sz val="10"/>
        <color theme="1"/>
        <rFont val="Arial"/>
        <family val="2"/>
      </rPr>
      <t>E</t>
    </r>
  </si>
  <si>
    <r>
      <rPr>
        <sz val="10"/>
        <color theme="1"/>
        <rFont val="Arial"/>
        <family val="2"/>
      </rPr>
      <t>4.63</t>
    </r>
    <r>
      <rPr>
        <vertAlign val="superscript"/>
        <sz val="10"/>
        <color theme="1"/>
        <rFont val="Arial"/>
        <family val="2"/>
      </rPr>
      <t>E</t>
    </r>
  </si>
  <si>
    <r>
      <rPr>
        <sz val="10"/>
        <color theme="1"/>
        <rFont val="Arial"/>
        <family val="2"/>
      </rPr>
      <t>65.7</t>
    </r>
    <r>
      <rPr>
        <vertAlign val="superscript"/>
        <sz val="10"/>
        <color theme="1"/>
        <rFont val="Arial"/>
        <family val="2"/>
      </rPr>
      <t>E</t>
    </r>
  </si>
  <si>
    <r>
      <t>573 t Mo conc @ ~50.9% Mo for 292 t Mo</t>
    </r>
    <r>
      <rPr>
        <vertAlign val="superscript"/>
        <sz val="10"/>
        <color theme="1"/>
        <rFont val="Arial"/>
        <family val="2"/>
      </rPr>
      <t>E</t>
    </r>
  </si>
  <si>
    <r>
      <t>238 t Mo conc @ ~50.9% Mo for 121 t Mo</t>
    </r>
    <r>
      <rPr>
        <vertAlign val="superscript"/>
        <sz val="10"/>
        <color theme="1"/>
        <rFont val="Arial"/>
        <family val="2"/>
      </rPr>
      <t>E</t>
    </r>
  </si>
  <si>
    <r>
      <t>123 t Bi conc @ ~22.5% Bi for 28 t Bi</t>
    </r>
    <r>
      <rPr>
        <vertAlign val="superscript"/>
        <sz val="10"/>
        <color theme="1"/>
        <rFont val="Arial"/>
        <family val="2"/>
      </rPr>
      <t>E</t>
    </r>
  </si>
  <si>
    <r>
      <t>661 t Bi conc @ ~22.5% Bi for 149 t Bi</t>
    </r>
    <r>
      <rPr>
        <vertAlign val="superscript"/>
        <sz val="10"/>
        <color theme="1"/>
        <rFont val="Arial"/>
        <family val="2"/>
      </rPr>
      <t>E</t>
    </r>
  </si>
  <si>
    <r>
      <rPr>
        <sz val="10"/>
        <color theme="1"/>
        <rFont val="Arial"/>
        <family val="2"/>
      </rPr>
      <t>57.5</t>
    </r>
    <r>
      <rPr>
        <vertAlign val="superscript"/>
        <sz val="10"/>
        <color theme="1"/>
        <rFont val="Arial"/>
        <family val="2"/>
      </rPr>
      <t>E</t>
    </r>
  </si>
  <si>
    <r>
      <t>114.1</t>
    </r>
    <r>
      <rPr>
        <vertAlign val="superscript"/>
        <sz val="10"/>
        <color theme="1"/>
        <rFont val="Arial"/>
        <family val="2"/>
      </rPr>
      <t>E</t>
    </r>
  </si>
  <si>
    <r>
      <rPr>
        <sz val="10"/>
        <color theme="1"/>
        <rFont val="Arial"/>
        <family val="2"/>
      </rPr>
      <t>65.4</t>
    </r>
    <r>
      <rPr>
        <vertAlign val="superscript"/>
        <sz val="10"/>
        <color theme="1"/>
        <rFont val="Arial"/>
        <family val="2"/>
      </rPr>
      <t>E</t>
    </r>
  </si>
  <si>
    <r>
      <rPr>
        <sz val="10"/>
        <color theme="1"/>
        <rFont val="Arial"/>
        <family val="2"/>
      </rPr>
      <t>63.5</t>
    </r>
    <r>
      <rPr>
        <vertAlign val="superscript"/>
        <sz val="10"/>
        <color theme="1"/>
        <rFont val="Arial"/>
        <family val="2"/>
      </rPr>
      <t>E</t>
    </r>
  </si>
  <si>
    <r>
      <rPr>
        <sz val="10"/>
        <color theme="1"/>
        <rFont val="Arial"/>
        <family val="2"/>
      </rPr>
      <t>63.0</t>
    </r>
    <r>
      <rPr>
        <vertAlign val="superscript"/>
        <sz val="10"/>
        <color theme="1"/>
        <rFont val="Arial"/>
        <family val="2"/>
      </rPr>
      <t>E</t>
    </r>
  </si>
  <si>
    <r>
      <rPr>
        <sz val="10"/>
        <color theme="1"/>
        <rFont val="Arial"/>
        <family val="2"/>
      </rPr>
      <t>58.8</t>
    </r>
    <r>
      <rPr>
        <vertAlign val="superscript"/>
        <sz val="10"/>
        <color theme="1"/>
        <rFont val="Arial"/>
        <family val="2"/>
      </rPr>
      <t>E</t>
    </r>
  </si>
  <si>
    <r>
      <t>64</t>
    </r>
    <r>
      <rPr>
        <vertAlign val="superscript"/>
        <sz val="10"/>
        <color theme="1"/>
        <rFont val="Arial"/>
        <family val="2"/>
      </rPr>
      <t>E</t>
    </r>
  </si>
  <si>
    <r>
      <rPr>
        <sz val="10"/>
        <color theme="1"/>
        <rFont val="Arial"/>
        <family val="2"/>
      </rPr>
      <t>15,997</t>
    </r>
    <r>
      <rPr>
        <vertAlign val="superscript"/>
        <sz val="10"/>
        <color theme="1"/>
        <rFont val="Arial"/>
        <family val="2"/>
      </rPr>
      <t>E</t>
    </r>
  </si>
  <si>
    <r>
      <rPr>
        <sz val="10"/>
        <color theme="1"/>
        <rFont val="Arial"/>
        <family val="2"/>
      </rPr>
      <t>3,115</t>
    </r>
    <r>
      <rPr>
        <vertAlign val="superscript"/>
        <sz val="10"/>
        <color theme="1"/>
        <rFont val="Arial"/>
        <family val="2"/>
      </rPr>
      <t>E</t>
    </r>
  </si>
  <si>
    <r>
      <rPr>
        <sz val="10"/>
        <color theme="1"/>
        <rFont val="Arial"/>
        <family val="2"/>
      </rPr>
      <t>40.5</t>
    </r>
    <r>
      <rPr>
        <vertAlign val="superscript"/>
        <sz val="10"/>
        <color theme="1"/>
        <rFont val="Arial"/>
        <family val="2"/>
      </rPr>
      <t>E</t>
    </r>
  </si>
  <si>
    <r>
      <rPr>
        <sz val="10"/>
        <color theme="1"/>
        <rFont val="Arial"/>
        <family val="2"/>
      </rPr>
      <t>47.8</t>
    </r>
    <r>
      <rPr>
        <vertAlign val="superscript"/>
        <sz val="10"/>
        <color theme="1"/>
        <rFont val="Arial"/>
        <family val="2"/>
      </rPr>
      <t>E</t>
    </r>
  </si>
  <si>
    <r>
      <rPr>
        <sz val="10"/>
        <color theme="1"/>
        <rFont val="Arial"/>
        <family val="2"/>
      </rPr>
      <t>13.6</t>
    </r>
    <r>
      <rPr>
        <vertAlign val="superscript"/>
        <sz val="10"/>
        <color theme="1"/>
        <rFont val="Arial"/>
        <family val="2"/>
      </rPr>
      <t>E</t>
    </r>
  </si>
  <si>
    <r>
      <rPr>
        <sz val="10"/>
        <color theme="1"/>
        <rFont val="Arial"/>
        <family val="2"/>
      </rPr>
      <t>32.3</t>
    </r>
    <r>
      <rPr>
        <vertAlign val="superscript"/>
        <sz val="10"/>
        <color theme="1"/>
        <rFont val="Arial"/>
        <family val="2"/>
      </rPr>
      <t>E</t>
    </r>
  </si>
  <si>
    <r>
      <rPr>
        <sz val="10"/>
        <color theme="1"/>
        <rFont val="Arial"/>
        <family val="2"/>
      </rPr>
      <t>0.414</t>
    </r>
    <r>
      <rPr>
        <vertAlign val="superscript"/>
        <sz val="10"/>
        <color theme="1"/>
        <rFont val="Arial"/>
        <family val="2"/>
      </rPr>
      <t>E</t>
    </r>
  </si>
  <si>
    <r>
      <rPr>
        <sz val="10"/>
        <color theme="1"/>
        <rFont val="Arial"/>
        <family val="2"/>
      </rPr>
      <t>63.4</t>
    </r>
    <r>
      <rPr>
        <vertAlign val="superscript"/>
        <sz val="10"/>
        <color theme="1"/>
        <rFont val="Arial"/>
        <family val="2"/>
      </rPr>
      <t>E</t>
    </r>
  </si>
  <si>
    <r>
      <rPr>
        <sz val="10"/>
        <color theme="1"/>
        <rFont val="Arial"/>
        <family val="2"/>
      </rPr>
      <t>67.3</t>
    </r>
    <r>
      <rPr>
        <vertAlign val="superscript"/>
        <sz val="10"/>
        <color theme="1"/>
        <rFont val="Arial"/>
        <family val="2"/>
      </rPr>
      <t>E</t>
    </r>
  </si>
  <si>
    <r>
      <rPr>
        <sz val="10"/>
        <color theme="1"/>
        <rFont val="Arial"/>
        <family val="2"/>
      </rPr>
      <t>105.9</t>
    </r>
    <r>
      <rPr>
        <vertAlign val="superscript"/>
        <sz val="10"/>
        <color theme="1"/>
        <rFont val="Arial"/>
        <family val="2"/>
      </rPr>
      <t>E</t>
    </r>
  </si>
  <si>
    <r>
      <rPr>
        <sz val="10"/>
        <color theme="1"/>
        <rFont val="Arial"/>
        <family val="2"/>
      </rPr>
      <t>142.8</t>
    </r>
    <r>
      <rPr>
        <vertAlign val="superscript"/>
        <sz val="10"/>
        <color theme="1"/>
        <rFont val="Arial"/>
        <family val="2"/>
      </rPr>
      <t>E</t>
    </r>
  </si>
  <si>
    <r>
      <rPr>
        <sz val="10"/>
        <color theme="1"/>
        <rFont val="Arial"/>
        <family val="2"/>
      </rPr>
      <t>73.9</t>
    </r>
    <r>
      <rPr>
        <vertAlign val="superscript"/>
        <sz val="10"/>
        <color theme="1"/>
        <rFont val="Arial"/>
        <family val="2"/>
      </rPr>
      <t>E</t>
    </r>
  </si>
  <si>
    <r>
      <rPr>
        <sz val="10"/>
        <color theme="1"/>
        <rFont val="Arial"/>
        <family val="2"/>
      </rPr>
      <t>2.8</t>
    </r>
    <r>
      <rPr>
        <vertAlign val="superscript"/>
        <sz val="10"/>
        <color theme="1"/>
        <rFont val="Arial"/>
        <family val="2"/>
      </rPr>
      <t>E</t>
    </r>
  </si>
  <si>
    <r>
      <rPr>
        <sz val="10"/>
        <color theme="1"/>
        <rFont val="Arial"/>
        <family val="2"/>
      </rPr>
      <t>2.5</t>
    </r>
    <r>
      <rPr>
        <vertAlign val="superscript"/>
        <sz val="10"/>
        <color theme="1"/>
        <rFont val="Arial"/>
        <family val="2"/>
      </rPr>
      <t>E</t>
    </r>
  </si>
  <si>
    <r>
      <rPr>
        <sz val="10"/>
        <color theme="1"/>
        <rFont val="Arial"/>
        <family val="2"/>
      </rPr>
      <t>6.1</t>
    </r>
    <r>
      <rPr>
        <vertAlign val="superscript"/>
        <sz val="10"/>
        <color theme="1"/>
        <rFont val="Arial"/>
        <family val="2"/>
      </rPr>
      <t>E</t>
    </r>
  </si>
  <si>
    <t>Estimated</t>
  </si>
  <si>
    <t>E</t>
  </si>
  <si>
    <t>Extraction</t>
  </si>
  <si>
    <t>Au, Cu</t>
  </si>
  <si>
    <t>Cu, Ni</t>
  </si>
  <si>
    <t>Ag, Cu</t>
  </si>
  <si>
    <t>Ag, Pb, Zn</t>
  </si>
  <si>
    <t>Fe ore</t>
  </si>
  <si>
    <t>Fe ore, WO3</t>
  </si>
  <si>
    <t>Sn, WO3</t>
  </si>
  <si>
    <t>WO3</t>
  </si>
  <si>
    <t>U3O8</t>
  </si>
  <si>
    <t>Mn conc</t>
  </si>
  <si>
    <t>PO4 rock</t>
  </si>
  <si>
    <t>Chromite conc</t>
  </si>
  <si>
    <t>Waste</t>
  </si>
  <si>
    <t>Rock</t>
  </si>
  <si>
    <t>not relevant</t>
  </si>
  <si>
    <t>Minerals</t>
  </si>
  <si>
    <t>Metals /</t>
  </si>
  <si>
    <t>Lithium (Spodumene)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</si>
</sst>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0.0000"/>
    <numFmt numFmtId="167" formatCode="#,##0.0"/>
    <numFmt numFmtId="168" formatCode="0.00000"/>
    <numFmt numFmtId="169" formatCode="#,##0.000"/>
    <numFmt numFmtId="170" formatCode="0.000000"/>
  </numFmts>
  <fonts count="31" x14ac:knownFonts="1">
    <font>
      <sz val="10"/>
      <color theme="1"/>
      <name val="Arial"/>
      <family val="2"/>
    </font>
    <font>
      <b/>
      <sz val="10"/>
      <color theme="1"/>
      <name val="Arial"/>
      <family val="2"/>
    </font>
    <font>
      <b/>
      <sz val="10"/>
      <color rgb="FF0000CC"/>
      <name val="Arial"/>
      <family val="2"/>
    </font>
    <font>
      <b/>
      <sz val="10"/>
      <color rgb="FFFF0000"/>
      <name val="Arial"/>
      <family val="2"/>
    </font>
    <font>
      <b/>
      <sz val="10"/>
      <color rgb="FF006600"/>
      <name val="Arial"/>
      <family val="2"/>
    </font>
    <font>
      <b/>
      <vertAlign val="superscript"/>
      <sz val="10"/>
      <color rgb="FF0000CC"/>
      <name val="Arial"/>
      <family val="2"/>
    </font>
    <font>
      <vertAlign val="superscript"/>
      <sz val="10"/>
      <color theme="1"/>
      <name val="Arial"/>
      <family val="2"/>
    </font>
    <font>
      <b/>
      <sz val="10"/>
      <color rgb="FF7030A0"/>
      <name val="Arial"/>
      <family val="2"/>
    </font>
    <font>
      <sz val="10"/>
      <name val="Arial"/>
      <family val="2"/>
    </font>
    <font>
      <sz val="9"/>
      <color indexed="81"/>
      <name val="Tahoma"/>
      <family val="2"/>
    </font>
    <font>
      <b/>
      <sz val="9"/>
      <color indexed="81"/>
      <name val="Tahoma"/>
      <family val="2"/>
    </font>
    <font>
      <b/>
      <sz val="10"/>
      <color rgb="FF800000"/>
      <name val="Arial"/>
      <family val="2"/>
    </font>
    <font>
      <b/>
      <sz val="10"/>
      <color rgb="FFFFFF00"/>
      <name val="Arial"/>
      <family val="2"/>
    </font>
    <font>
      <vertAlign val="subscript"/>
      <sz val="10"/>
      <color theme="1"/>
      <name val="Arial"/>
      <family val="2"/>
    </font>
    <font>
      <sz val="10"/>
      <color theme="1"/>
      <name val="Arial"/>
      <family val="2"/>
    </font>
    <font>
      <b/>
      <sz val="10"/>
      <color rgb="FFFFFFCC"/>
      <name val="Arial"/>
      <family val="2"/>
    </font>
    <font>
      <b/>
      <sz val="10"/>
      <color theme="0"/>
      <name val="Arial"/>
      <family val="2"/>
    </font>
    <font>
      <b/>
      <sz val="10"/>
      <color rgb="FF990000"/>
      <name val="Arial"/>
      <family val="2"/>
    </font>
    <font>
      <sz val="10"/>
      <color indexed="8"/>
      <name val="Arial"/>
      <family val="2"/>
    </font>
    <font>
      <b/>
      <sz val="10"/>
      <color rgb="FFCCFFCC"/>
      <name val="Arial"/>
      <family val="2"/>
    </font>
    <font>
      <b/>
      <sz val="32"/>
      <color rgb="FF006600"/>
      <name val="Arial"/>
      <family val="2"/>
    </font>
    <font>
      <b/>
      <sz val="20"/>
      <color theme="1"/>
      <name val="Arial"/>
      <family val="2"/>
    </font>
    <font>
      <b/>
      <sz val="20"/>
      <color rgb="FF0000CC"/>
      <name val="Arial"/>
      <family val="2"/>
    </font>
    <font>
      <b/>
      <i/>
      <sz val="10"/>
      <color theme="1"/>
      <name val="Arial"/>
      <family val="2"/>
    </font>
    <font>
      <b/>
      <sz val="10"/>
      <name val="Arial"/>
      <family val="2"/>
    </font>
    <font>
      <b/>
      <sz val="12"/>
      <color rgb="FF0000CC"/>
      <name val="Arial"/>
      <family val="2"/>
    </font>
    <font>
      <b/>
      <sz val="11"/>
      <color rgb="FF800000"/>
      <name val="Arial"/>
      <family val="2"/>
    </font>
    <font>
      <b/>
      <sz val="9"/>
      <color rgb="FFFF0000"/>
      <name val="Arial"/>
      <family val="2"/>
    </font>
    <font>
      <b/>
      <sz val="11"/>
      <color rgb="FFFFFF00"/>
      <name val="Arial"/>
      <family val="2"/>
    </font>
    <font>
      <b/>
      <i/>
      <sz val="11"/>
      <color rgb="FFFFFF00"/>
      <name val="Arial"/>
      <family val="2"/>
    </font>
    <font>
      <vertAlign val="superscript"/>
      <sz val="10"/>
      <name val="Arial"/>
      <family val="2"/>
    </font>
  </fonts>
  <fills count="21">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rgb="FFCCFFFF"/>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CCCCFF"/>
        <bgColor indexed="64"/>
      </patternFill>
    </fill>
    <fill>
      <patternFill patternType="solid">
        <fgColor rgb="FFFFFF00"/>
        <bgColor indexed="64"/>
      </patternFill>
    </fill>
    <fill>
      <patternFill patternType="solid">
        <fgColor rgb="FFCCCC0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9900"/>
        <bgColor indexed="64"/>
      </patternFill>
    </fill>
    <fill>
      <patternFill patternType="solid">
        <fgColor rgb="FF006600"/>
        <bgColor indexed="64"/>
      </patternFill>
    </fill>
    <fill>
      <patternFill patternType="solid">
        <fgColor theme="1"/>
        <bgColor indexed="64"/>
      </patternFill>
    </fill>
    <fill>
      <patternFill patternType="solid">
        <fgColor theme="2" tint="-0.499984740745262"/>
        <bgColor indexed="64"/>
      </patternFill>
    </fill>
    <fill>
      <patternFill patternType="solid">
        <fgColor rgb="FFFF66FF"/>
        <bgColor indexed="64"/>
      </patternFill>
    </fill>
    <fill>
      <patternFill patternType="solid">
        <fgColor rgb="FF990000"/>
        <bgColor indexed="64"/>
      </patternFill>
    </fill>
    <fill>
      <patternFill patternType="solid">
        <fgColor rgb="FF0000CC"/>
        <bgColor indexed="64"/>
      </patternFill>
    </fill>
    <fill>
      <patternFill patternType="solid">
        <fgColor rgb="FFFFCC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cellStyleXfs>
  <cellXfs count="277">
    <xf numFmtId="0" fontId="0" fillId="0" borderId="0" xfId="0"/>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3" fontId="0" fillId="0" borderId="0" xfId="0" applyNumberFormat="1" applyAlignment="1">
      <alignment horizontal="center" vertical="center"/>
    </xf>
    <xf numFmtId="166" fontId="0" fillId="0" borderId="0" xfId="0" applyNumberFormat="1" applyAlignment="1">
      <alignment horizontal="center" vertical="center"/>
    </xf>
    <xf numFmtId="0" fontId="2" fillId="0" borderId="0" xfId="0" quotePrefix="1" applyFont="1" applyAlignment="1">
      <alignment vertical="center"/>
    </xf>
    <xf numFmtId="165" fontId="2" fillId="0" borderId="0" xfId="0" applyNumberFormat="1" applyFont="1" applyAlignment="1">
      <alignment horizontal="center" vertical="center"/>
    </xf>
    <xf numFmtId="2" fontId="2" fillId="0" borderId="0" xfId="0" applyNumberFormat="1" applyFont="1" applyAlignment="1">
      <alignment horizontal="center" vertical="center"/>
    </xf>
    <xf numFmtId="0" fontId="7" fillId="7" borderId="0" xfId="0" applyFont="1" applyFill="1" applyAlignment="1">
      <alignment horizontal="center" vertical="center"/>
    </xf>
    <xf numFmtId="165" fontId="3" fillId="8" borderId="0" xfId="1" applyNumberFormat="1" applyFont="1" applyFill="1" applyAlignment="1">
      <alignment horizontal="center" vertical="center"/>
    </xf>
    <xf numFmtId="165" fontId="8" fillId="0" borderId="0" xfId="1" applyNumberFormat="1" applyAlignment="1">
      <alignment horizontal="center" vertical="center"/>
    </xf>
    <xf numFmtId="0" fontId="8" fillId="0" borderId="0" xfId="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NumberFormat="1" applyAlignment="1">
      <alignment horizontal="center" vertical="center"/>
    </xf>
    <xf numFmtId="0" fontId="3" fillId="0" borderId="0" xfId="0" applyFont="1" applyAlignment="1">
      <alignment horizontal="center" vertical="center"/>
    </xf>
    <xf numFmtId="0" fontId="2"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Fill="1" applyAlignment="1">
      <alignment horizontal="center" vertical="center"/>
    </xf>
    <xf numFmtId="164" fontId="2" fillId="0" borderId="0" xfId="0" applyNumberFormat="1" applyFont="1" applyAlignment="1">
      <alignment horizontal="center" vertical="center"/>
    </xf>
    <xf numFmtId="168" fontId="0" fillId="0" borderId="0" xfId="0" applyNumberFormat="1" applyAlignment="1">
      <alignment horizontal="center" vertical="center"/>
    </xf>
    <xf numFmtId="0" fontId="2" fillId="0" borderId="0" xfId="0" applyFont="1" applyAlignment="1">
      <alignment horizontal="center" vertical="center"/>
    </xf>
    <xf numFmtId="165" fontId="3" fillId="0" borderId="0" xfId="0" applyNumberFormat="1" applyFont="1" applyAlignment="1">
      <alignment horizontal="center" vertical="center"/>
    </xf>
    <xf numFmtId="0" fontId="3" fillId="0" borderId="0" xfId="0" applyNumberFormat="1" applyFont="1" applyAlignment="1">
      <alignment horizontal="center" vertical="center"/>
    </xf>
    <xf numFmtId="2" fontId="14" fillId="0" borderId="0" xfId="0" applyNumberFormat="1" applyFont="1" applyAlignment="1">
      <alignment horizontal="center" vertical="center"/>
    </xf>
    <xf numFmtId="0" fontId="14" fillId="0" borderId="0" xfId="0" applyFont="1" applyAlignment="1">
      <alignment horizontal="center" vertical="center"/>
    </xf>
    <xf numFmtId="164" fontId="14" fillId="0" borderId="0" xfId="0" applyNumberFormat="1" applyFont="1" applyAlignment="1">
      <alignment horizontal="center" vertical="center"/>
    </xf>
    <xf numFmtId="165" fontId="0" fillId="0" borderId="0" xfId="0" applyNumberFormat="1" applyFont="1" applyAlignment="1">
      <alignment horizontal="center" vertical="center"/>
    </xf>
    <xf numFmtId="2" fontId="0" fillId="0" borderId="0" xfId="0" applyNumberFormat="1" applyFont="1" applyAlignment="1">
      <alignment horizontal="center" vertical="center"/>
    </xf>
    <xf numFmtId="1" fontId="2" fillId="0" borderId="0" xfId="0" applyNumberFormat="1" applyFont="1" applyAlignment="1">
      <alignment horizontal="center" vertical="center"/>
    </xf>
    <xf numFmtId="1" fontId="0" fillId="0" borderId="0" xfId="0" applyNumberFormat="1" applyFont="1" applyAlignment="1">
      <alignment horizontal="center" vertical="center"/>
    </xf>
    <xf numFmtId="3" fontId="0" fillId="0" borderId="0" xfId="0" applyNumberFormat="1" applyFont="1" applyAlignment="1">
      <alignment horizontal="center" vertical="center"/>
    </xf>
    <xf numFmtId="0" fontId="0" fillId="8" borderId="0" xfId="0" applyFill="1" applyAlignment="1">
      <alignment horizontal="center" vertical="center"/>
    </xf>
    <xf numFmtId="0" fontId="3" fillId="8" borderId="0" xfId="0" applyFont="1" applyFill="1" applyAlignment="1">
      <alignment horizontal="right" vertical="center"/>
    </xf>
    <xf numFmtId="3" fontId="2" fillId="0" borderId="0" xfId="0" applyNumberFormat="1" applyFont="1" applyAlignment="1">
      <alignment horizontal="center" vertical="center"/>
    </xf>
    <xf numFmtId="2" fontId="3" fillId="0" borderId="0" xfId="0" applyNumberFormat="1" applyFont="1" applyAlignment="1">
      <alignment horizontal="center" vertical="center"/>
    </xf>
    <xf numFmtId="3" fontId="3" fillId="8" borderId="0" xfId="0" applyNumberFormat="1" applyFont="1" applyFill="1" applyAlignment="1">
      <alignment horizontal="center" vertical="center"/>
    </xf>
    <xf numFmtId="165" fontId="3" fillId="8" borderId="0" xfId="0" applyNumberFormat="1" applyFont="1" applyFill="1" applyAlignment="1">
      <alignment horizontal="center" vertical="center"/>
    </xf>
    <xf numFmtId="3"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0" fontId="4" fillId="6" borderId="0" xfId="0" applyFont="1" applyFill="1" applyAlignment="1">
      <alignment horizontal="center" vertical="center"/>
    </xf>
    <xf numFmtId="0" fontId="3" fillId="6" borderId="0" xfId="0" applyFont="1" applyFill="1" applyAlignment="1">
      <alignment horizontal="center" vertical="center"/>
    </xf>
    <xf numFmtId="0" fontId="4" fillId="3" borderId="0" xfId="0" applyFont="1" applyFill="1" applyAlignment="1">
      <alignment horizontal="center" vertical="center"/>
    </xf>
    <xf numFmtId="0" fontId="3" fillId="4" borderId="0" xfId="0" applyFont="1" applyFill="1" applyAlignment="1">
      <alignment horizontal="center" vertical="center"/>
    </xf>
    <xf numFmtId="0" fontId="1" fillId="11" borderId="0" xfId="0" applyFont="1" applyFill="1" applyAlignment="1">
      <alignment horizontal="center" vertical="center"/>
    </xf>
    <xf numFmtId="164" fontId="0" fillId="0" borderId="0" xfId="0" applyNumberFormat="1" applyFont="1" applyAlignment="1">
      <alignment horizontal="center" vertical="center"/>
    </xf>
    <xf numFmtId="166" fontId="0" fillId="0" borderId="0" xfId="0" applyNumberFormat="1" applyFont="1" applyAlignment="1">
      <alignment horizontal="center" vertical="center"/>
    </xf>
    <xf numFmtId="165" fontId="0" fillId="0" borderId="0" xfId="0" applyNumberFormat="1" applyFill="1" applyAlignment="1">
      <alignment horizontal="center" vertical="center"/>
    </xf>
    <xf numFmtId="166" fontId="2" fillId="0" borderId="0" xfId="0" applyNumberFormat="1" applyFont="1" applyAlignment="1">
      <alignment horizontal="center" vertical="center"/>
    </xf>
    <xf numFmtId="0" fontId="12" fillId="12" borderId="0" xfId="0" applyFont="1" applyFill="1" applyAlignment="1">
      <alignment horizontal="center" vertical="center"/>
    </xf>
    <xf numFmtId="0" fontId="2" fillId="8" borderId="0" xfId="0" applyFont="1" applyFill="1" applyAlignment="1">
      <alignment horizontal="center" vertical="center"/>
    </xf>
    <xf numFmtId="0" fontId="2" fillId="4"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2" borderId="0" xfId="0" applyFont="1" applyFill="1" applyAlignment="1">
      <alignment horizontal="center" vertical="center"/>
    </xf>
    <xf numFmtId="0" fontId="4" fillId="8" borderId="0" xfId="0" applyFont="1" applyFill="1" applyAlignment="1">
      <alignment horizontal="center" vertical="center"/>
    </xf>
    <xf numFmtId="0" fontId="12" fillId="14" borderId="0" xfId="0" applyFont="1" applyFill="1" applyAlignment="1">
      <alignment horizontal="center" vertical="center"/>
    </xf>
    <xf numFmtId="0" fontId="16" fillId="15" borderId="0" xfId="0" applyFont="1" applyFill="1" applyAlignment="1">
      <alignment horizontal="center" vertical="center"/>
    </xf>
    <xf numFmtId="4" fontId="0" fillId="0" borderId="0" xfId="0" applyNumberFormat="1" applyAlignment="1">
      <alignment horizontal="center" vertical="center"/>
    </xf>
    <xf numFmtId="0" fontId="11" fillId="6" borderId="0" xfId="0" applyFont="1" applyFill="1" applyAlignment="1">
      <alignment horizontal="center" vertical="center"/>
    </xf>
    <xf numFmtId="0" fontId="11" fillId="0" borderId="0" xfId="0" applyFont="1" applyAlignment="1">
      <alignment horizontal="center" vertical="center"/>
    </xf>
    <xf numFmtId="0" fontId="3" fillId="2"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2" fillId="7" borderId="0" xfId="0" applyFont="1" applyFill="1" applyAlignment="1">
      <alignment horizontal="center" vertical="center"/>
    </xf>
    <xf numFmtId="0" fontId="12" fillId="16" borderId="0" xfId="0" applyFont="1" applyFill="1" applyAlignment="1">
      <alignment horizontal="center" vertical="center"/>
    </xf>
    <xf numFmtId="0" fontId="11" fillId="2" borderId="0" xfId="0" applyFont="1" applyFill="1" applyAlignment="1">
      <alignment horizontal="center" vertical="center"/>
    </xf>
    <xf numFmtId="169" fontId="0" fillId="0" borderId="0" xfId="0" applyNumberFormat="1" applyAlignment="1">
      <alignment horizontal="center" vertical="center"/>
    </xf>
    <xf numFmtId="0" fontId="3" fillId="8" borderId="0" xfId="0" applyFont="1" applyFill="1" applyAlignment="1">
      <alignment horizontal="center" vertical="center"/>
    </xf>
    <xf numFmtId="164" fontId="3" fillId="0" borderId="0" xfId="0" applyNumberFormat="1" applyFont="1" applyAlignment="1">
      <alignment horizontal="center" vertical="center"/>
    </xf>
    <xf numFmtId="166" fontId="3" fillId="0" borderId="0" xfId="0" applyNumberFormat="1" applyFont="1" applyAlignment="1">
      <alignment horizontal="center" vertical="center"/>
    </xf>
    <xf numFmtId="168" fontId="3" fillId="0" borderId="0" xfId="0" applyNumberFormat="1" applyFont="1" applyAlignment="1">
      <alignment horizontal="center" vertical="center"/>
    </xf>
    <xf numFmtId="0" fontId="2" fillId="8"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2" borderId="0" xfId="0" applyFont="1" applyFill="1" applyAlignment="1">
      <alignment horizontal="center" vertical="center"/>
    </xf>
    <xf numFmtId="0" fontId="12" fillId="10" borderId="0" xfId="0" applyFont="1" applyFill="1" applyAlignment="1">
      <alignment horizontal="center" vertical="center"/>
    </xf>
    <xf numFmtId="0" fontId="12" fillId="17" borderId="0" xfId="0" applyFont="1" applyFill="1" applyAlignment="1">
      <alignment horizontal="center" vertical="center"/>
    </xf>
    <xf numFmtId="0" fontId="2" fillId="13" borderId="0" xfId="0" applyFont="1" applyFill="1" applyAlignment="1">
      <alignment horizontal="center" vertical="center"/>
    </xf>
    <xf numFmtId="0" fontId="2" fillId="11" borderId="0" xfId="0" applyFont="1" applyFill="1" applyAlignment="1">
      <alignment horizontal="center" vertical="center"/>
    </xf>
    <xf numFmtId="0" fontId="17" fillId="3" borderId="0" xfId="0" applyFont="1" applyFill="1" applyAlignment="1">
      <alignment horizontal="center" vertical="center"/>
    </xf>
    <xf numFmtId="165" fontId="18" fillId="0" borderId="0" xfId="0" applyNumberFormat="1" applyFont="1" applyAlignment="1">
      <alignment horizontal="center" vertical="center"/>
    </xf>
    <xf numFmtId="166" fontId="18" fillId="0" borderId="0" xfId="0" applyNumberFormat="1" applyFont="1" applyAlignment="1">
      <alignment horizontal="center" vertical="center"/>
    </xf>
    <xf numFmtId="164" fontId="18" fillId="0" borderId="0" xfId="0" applyNumberFormat="1" applyFont="1" applyAlignment="1">
      <alignment horizontal="center" vertical="center"/>
    </xf>
    <xf numFmtId="2" fontId="18" fillId="0" borderId="0" xfId="0" applyNumberFormat="1" applyFont="1" applyAlignment="1">
      <alignment horizontal="center" vertical="center"/>
    </xf>
    <xf numFmtId="168" fontId="18" fillId="0" borderId="0" xfId="0" applyNumberFormat="1" applyFont="1" applyAlignment="1">
      <alignment horizontal="center" vertical="center"/>
    </xf>
    <xf numFmtId="0" fontId="12" fillId="18"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1" fillId="11" borderId="0" xfId="0" applyFont="1" applyFill="1" applyAlignment="1">
      <alignment horizontal="center" vertical="center"/>
    </xf>
    <xf numFmtId="0" fontId="19" fillId="14" borderId="0" xfId="0" applyFont="1" applyFill="1" applyAlignment="1">
      <alignment horizontal="center" vertical="center"/>
    </xf>
    <xf numFmtId="0" fontId="16" fillId="13" borderId="0" xfId="0" applyFont="1" applyFill="1" applyAlignment="1">
      <alignment horizontal="center" vertical="center"/>
    </xf>
    <xf numFmtId="0" fontId="11" fillId="4" borderId="0" xfId="0" applyFont="1" applyFill="1" applyAlignment="1">
      <alignment horizontal="center" vertical="center"/>
    </xf>
    <xf numFmtId="0" fontId="1" fillId="2" borderId="0" xfId="0" applyFont="1" applyFill="1" applyAlignment="1">
      <alignment horizontal="center" vertical="center"/>
    </xf>
    <xf numFmtId="167" fontId="0" fillId="0" borderId="0" xfId="0" applyNumberFormat="1" applyFont="1" applyAlignment="1">
      <alignment horizontal="center" vertical="center"/>
    </xf>
    <xf numFmtId="4" fontId="0" fillId="0" borderId="0" xfId="0" applyNumberFormat="1" applyFont="1" applyAlignment="1">
      <alignment horizontal="center" vertical="center"/>
    </xf>
    <xf numFmtId="169" fontId="0" fillId="0" borderId="0" xfId="0" applyNumberFormat="1" applyFont="1" applyAlignment="1">
      <alignment horizontal="center" vertical="center"/>
    </xf>
    <xf numFmtId="167" fontId="4" fillId="2" borderId="0" xfId="0" applyNumberFormat="1" applyFont="1" applyFill="1" applyAlignment="1">
      <alignment horizontal="center" vertical="center"/>
    </xf>
    <xf numFmtId="167" fontId="3" fillId="8" borderId="0" xfId="0" applyNumberFormat="1" applyFont="1" applyFill="1" applyAlignment="1">
      <alignment horizontal="center" vertical="center"/>
    </xf>
    <xf numFmtId="0" fontId="2" fillId="4"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2" borderId="0" xfId="0" applyFont="1" applyFill="1" applyAlignment="1">
      <alignment horizontal="center" vertical="center"/>
    </xf>
    <xf numFmtId="0" fontId="4"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2" fillId="2" borderId="0" xfId="0" applyFont="1" applyFill="1" applyAlignment="1">
      <alignment horizontal="center" vertical="center"/>
    </xf>
    <xf numFmtId="3" fontId="3" fillId="0" borderId="0" xfId="0" applyNumberFormat="1" applyFont="1" applyAlignment="1">
      <alignment horizontal="center" vertical="center"/>
    </xf>
    <xf numFmtId="0" fontId="2" fillId="0" borderId="0" xfId="0" applyFont="1" applyAlignment="1">
      <alignment vertical="center"/>
    </xf>
    <xf numFmtId="0" fontId="4" fillId="8" borderId="0" xfId="0" applyFont="1" applyFill="1" applyAlignment="1">
      <alignment vertical="center"/>
    </xf>
    <xf numFmtId="0" fontId="0" fillId="0" borderId="0" xfId="0" applyFont="1" applyAlignment="1">
      <alignment vertical="center"/>
    </xf>
    <xf numFmtId="0" fontId="3" fillId="0" borderId="0" xfId="0" applyFont="1" applyAlignment="1">
      <alignment horizontal="center" vertical="center"/>
    </xf>
    <xf numFmtId="0" fontId="3" fillId="3" borderId="0" xfId="0" applyFont="1" applyFill="1" applyAlignment="1">
      <alignment horizontal="center" vertical="center"/>
    </xf>
    <xf numFmtId="0" fontId="2"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0" fillId="0" borderId="0" xfId="0" applyFont="1" applyFill="1" applyAlignment="1">
      <alignment horizontal="center" vertical="center"/>
    </xf>
    <xf numFmtId="167" fontId="0" fillId="0" borderId="0" xfId="0" applyNumberForma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65"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3" fillId="3" borderId="0" xfId="0" applyFont="1" applyFill="1" applyAlignment="1">
      <alignment horizontal="center" vertical="center"/>
    </xf>
    <xf numFmtId="3" fontId="1" fillId="0" borderId="0" xfId="0" applyNumberFormat="1" applyFont="1" applyAlignment="1">
      <alignment horizontal="center" vertical="center"/>
    </xf>
    <xf numFmtId="1" fontId="3" fillId="8" borderId="0" xfId="0" applyNumberFormat="1" applyFont="1" applyFill="1" applyAlignment="1">
      <alignment horizontal="center" vertical="center"/>
    </xf>
    <xf numFmtId="3" fontId="2" fillId="0" borderId="0" xfId="0" applyNumberFormat="1" applyFont="1" applyFill="1" applyAlignment="1">
      <alignment horizontal="center" vertical="center"/>
    </xf>
    <xf numFmtId="2" fontId="0" fillId="0" borderId="0" xfId="0" applyNumberFormat="1" applyFill="1" applyAlignment="1">
      <alignment horizontal="center" vertical="center"/>
    </xf>
    <xf numFmtId="164" fontId="0" fillId="0" borderId="0" xfId="0" applyNumberFormat="1" applyFill="1" applyAlignment="1">
      <alignment horizontal="center" vertical="center"/>
    </xf>
    <xf numFmtId="0" fontId="2" fillId="8" borderId="0" xfId="0" applyFont="1" applyFill="1" applyAlignment="1">
      <alignment horizontal="center" vertical="center"/>
    </xf>
    <xf numFmtId="0" fontId="4" fillId="4" borderId="0" xfId="0" applyFont="1" applyFill="1" applyAlignment="1">
      <alignment horizontal="center" vertical="center"/>
    </xf>
    <xf numFmtId="0" fontId="4"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2" fillId="4" borderId="0" xfId="0" applyFont="1" applyFill="1" applyAlignment="1">
      <alignment horizontal="center" vertical="center"/>
    </xf>
    <xf numFmtId="0" fontId="2" fillId="8"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12" fillId="10" borderId="0" xfId="0" applyFont="1" applyFill="1" applyAlignment="1">
      <alignment horizontal="center" vertical="center"/>
    </xf>
    <xf numFmtId="0" fontId="4"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11" fillId="20" borderId="0" xfId="0" applyFont="1" applyFill="1" applyAlignment="1">
      <alignment horizontal="center" vertical="center"/>
    </xf>
    <xf numFmtId="0" fontId="2" fillId="20" borderId="0" xfId="0" applyFont="1" applyFill="1" applyAlignment="1">
      <alignment horizontal="center" vertical="center"/>
    </xf>
    <xf numFmtId="0" fontId="8" fillId="0" borderId="0" xfId="0" applyFont="1" applyAlignment="1">
      <alignment horizontal="center" vertical="center"/>
    </xf>
    <xf numFmtId="0" fontId="4" fillId="20" borderId="0" xfId="0" applyFont="1" applyFill="1" applyAlignment="1">
      <alignment horizontal="center" vertical="center"/>
    </xf>
    <xf numFmtId="0" fontId="3" fillId="20" borderId="0" xfId="0" applyFont="1" applyFill="1" applyAlignment="1">
      <alignment horizontal="center" vertical="center"/>
    </xf>
    <xf numFmtId="0" fontId="24" fillId="0" borderId="0" xfId="0" applyFont="1" applyAlignment="1">
      <alignment horizontal="center" vertical="center"/>
    </xf>
    <xf numFmtId="165" fontId="8" fillId="0" borderId="0" xfId="0" applyNumberFormat="1" applyFont="1" applyAlignment="1">
      <alignment horizontal="center" vertical="center"/>
    </xf>
    <xf numFmtId="1" fontId="3" fillId="0" borderId="0" xfId="0" applyNumberFormat="1" applyFont="1" applyAlignment="1">
      <alignment horizontal="center" vertical="center"/>
    </xf>
    <xf numFmtId="2" fontId="8" fillId="0" borderId="0" xfId="0" applyNumberFormat="1" applyFont="1" applyAlignment="1">
      <alignment horizontal="center" vertical="center"/>
    </xf>
    <xf numFmtId="1" fontId="8" fillId="0" borderId="0" xfId="0" applyNumberFormat="1" applyFont="1" applyAlignment="1">
      <alignment horizontal="center" vertical="center"/>
    </xf>
    <xf numFmtId="1" fontId="0" fillId="0" borderId="0" xfId="0" applyNumberFormat="1" applyFill="1" applyAlignment="1">
      <alignment horizontal="center" vertical="center"/>
    </xf>
    <xf numFmtId="0" fontId="2" fillId="20" borderId="0" xfId="0" applyFont="1" applyFill="1" applyAlignment="1">
      <alignment horizontal="center" vertical="center"/>
    </xf>
    <xf numFmtId="0" fontId="3" fillId="3" borderId="0" xfId="0" applyFont="1" applyFill="1" applyAlignment="1">
      <alignment horizontal="center" vertical="center"/>
    </xf>
    <xf numFmtId="0" fontId="1" fillId="11" borderId="0" xfId="0" applyFont="1" applyFill="1" applyAlignment="1">
      <alignment horizontal="center" vertical="center"/>
    </xf>
    <xf numFmtId="0" fontId="4" fillId="0" borderId="0" xfId="0" applyFont="1" applyAlignment="1">
      <alignment horizontal="center" vertical="center"/>
    </xf>
    <xf numFmtId="165" fontId="4" fillId="0" borderId="0" xfId="0" applyNumberFormat="1" applyFont="1" applyAlignment="1">
      <alignment horizontal="center" vertical="center"/>
    </xf>
    <xf numFmtId="0" fontId="16" fillId="10" borderId="0" xfId="0" applyFont="1" applyFill="1" applyAlignment="1">
      <alignment horizontal="center" vertical="center"/>
    </xf>
    <xf numFmtId="0" fontId="4" fillId="0" borderId="0" xfId="0" applyNumberFormat="1" applyFont="1" applyAlignment="1">
      <alignment horizontal="center" vertical="center"/>
    </xf>
    <xf numFmtId="1" fontId="2" fillId="0" borderId="0" xfId="0" applyNumberFormat="1" applyFont="1" applyFill="1" applyAlignment="1">
      <alignment horizontal="center" vertical="center"/>
    </xf>
    <xf numFmtId="0" fontId="2" fillId="4" borderId="0" xfId="0" applyFont="1" applyFill="1" applyAlignment="1">
      <alignment horizontal="center" vertical="center"/>
    </xf>
    <xf numFmtId="0" fontId="12" fillId="10" borderId="0" xfId="0" applyFont="1" applyFill="1" applyAlignment="1">
      <alignment horizontal="center" vertical="center"/>
    </xf>
    <xf numFmtId="0" fontId="11" fillId="7" borderId="0" xfId="0" applyFont="1" applyFill="1" applyAlignment="1">
      <alignment horizontal="center" vertical="center"/>
    </xf>
    <xf numFmtId="0" fontId="1" fillId="11" borderId="0" xfId="0" applyFont="1" applyFill="1" applyAlignment="1">
      <alignment horizontal="center" vertical="center"/>
    </xf>
    <xf numFmtId="0" fontId="0" fillId="0" borderId="0" xfId="0" applyAlignment="1">
      <alignment horizontal="center" vertical="center"/>
    </xf>
    <xf numFmtId="167" fontId="0"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165" fontId="0" fillId="0" borderId="0" xfId="0" applyNumberFormat="1" applyFont="1" applyFill="1" applyAlignment="1">
      <alignment horizontal="center" vertical="center"/>
    </xf>
    <xf numFmtId="2" fontId="0" fillId="0" borderId="0" xfId="0" applyNumberFormat="1" applyFont="1" applyFill="1" applyAlignment="1">
      <alignment horizontal="center" vertical="center"/>
    </xf>
    <xf numFmtId="166" fontId="0" fillId="0" borderId="0" xfId="0" applyNumberForma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170" fontId="0" fillId="0" borderId="0" xfId="0" applyNumberFormat="1" applyAlignment="1">
      <alignment horizontal="center" vertical="center"/>
    </xf>
    <xf numFmtId="0" fontId="16" fillId="19"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2" fillId="19" borderId="0" xfId="0" applyFont="1" applyFill="1" applyAlignment="1">
      <alignment horizontal="center" vertical="center"/>
    </xf>
    <xf numFmtId="0" fontId="0" fillId="0" borderId="0" xfId="0" applyAlignment="1">
      <alignment horizontal="center" vertical="center"/>
    </xf>
    <xf numFmtId="164" fontId="0" fillId="0"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1" fillId="0" borderId="0" xfId="0" applyFont="1" applyFill="1" applyAlignment="1">
      <alignment horizontal="center" vertical="center"/>
    </xf>
    <xf numFmtId="0" fontId="0" fillId="0" borderId="0" xfId="0" applyAlignment="1">
      <alignment horizontal="center" vertical="center"/>
    </xf>
    <xf numFmtId="0" fontId="3" fillId="3" borderId="0" xfId="0" applyFont="1" applyFill="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3" xfId="0" applyFill="1" applyBorder="1" applyAlignment="1">
      <alignment vertical="center"/>
    </xf>
    <xf numFmtId="0" fontId="0" fillId="0" borderId="5" xfId="0" applyFill="1" applyBorder="1" applyAlignment="1">
      <alignment horizontal="center" vertical="center"/>
    </xf>
    <xf numFmtId="0" fontId="0" fillId="0" borderId="0" xfId="0" applyAlignment="1">
      <alignment horizontal="center" vertical="center"/>
    </xf>
    <xf numFmtId="0" fontId="27" fillId="3" borderId="0" xfId="0" applyFont="1" applyFill="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3" borderId="0" xfId="0" applyFont="1" applyFill="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3" fontId="8" fillId="0" borderId="0" xfId="0" applyNumberFormat="1" applyFont="1" applyAlignment="1">
      <alignment horizontal="center" vertical="center"/>
    </xf>
    <xf numFmtId="0" fontId="0" fillId="0" borderId="0" xfId="0" applyNumberFormat="1" applyFont="1" applyAlignment="1">
      <alignment horizontal="center" vertical="center"/>
    </xf>
    <xf numFmtId="0" fontId="26"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12" fillId="19" borderId="1" xfId="0" applyFont="1" applyFill="1" applyBorder="1" applyAlignment="1">
      <alignment horizontal="center" vertical="center"/>
    </xf>
    <xf numFmtId="0" fontId="20" fillId="8" borderId="1" xfId="0" applyFont="1" applyFill="1" applyBorder="1" applyAlignment="1">
      <alignment horizontal="center" vertical="center" wrapText="1"/>
    </xf>
    <xf numFmtId="0" fontId="21" fillId="3" borderId="1" xfId="0" applyFont="1" applyFill="1" applyBorder="1" applyAlignment="1">
      <alignment horizontal="center" vertical="center"/>
    </xf>
    <xf numFmtId="0" fontId="0" fillId="2" borderId="1" xfId="0" applyFill="1" applyBorder="1" applyAlignment="1">
      <alignment vertical="center" wrapText="1"/>
    </xf>
    <xf numFmtId="0" fontId="1" fillId="0" borderId="1" xfId="0" applyFont="1" applyBorder="1" applyAlignment="1">
      <alignment horizontal="center" vertical="center"/>
    </xf>
    <xf numFmtId="0" fontId="3" fillId="4"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0" fillId="0" borderId="1" xfId="0" applyBorder="1" applyAlignment="1">
      <alignment horizontal="center" vertical="center" wrapText="1"/>
    </xf>
    <xf numFmtId="0" fontId="28" fillId="10" borderId="1" xfId="0" applyFont="1" applyFill="1" applyBorder="1" applyAlignment="1">
      <alignment horizontal="center" vertical="center" wrapText="1"/>
    </xf>
    <xf numFmtId="0" fontId="2" fillId="4" borderId="0" xfId="0" applyFont="1" applyFill="1" applyAlignment="1">
      <alignment horizontal="center" vertical="center" textRotation="90"/>
    </xf>
    <xf numFmtId="0" fontId="4" fillId="3" borderId="0" xfId="0" applyFont="1" applyFill="1" applyAlignment="1">
      <alignment horizontal="center" vertical="center" textRotation="90"/>
    </xf>
    <xf numFmtId="0" fontId="0" fillId="0" borderId="0" xfId="0" applyAlignment="1">
      <alignment horizontal="center" vertical="center"/>
    </xf>
    <xf numFmtId="0" fontId="0" fillId="0" borderId="0" xfId="0" applyAlignment="1">
      <alignment horizontal="center" vertical="center" wrapText="1"/>
    </xf>
    <xf numFmtId="0" fontId="12" fillId="10" borderId="0" xfId="0" applyFont="1" applyFill="1" applyAlignment="1">
      <alignment horizontal="center" vertical="center"/>
    </xf>
    <xf numFmtId="0" fontId="2" fillId="4" borderId="0" xfId="0" applyFont="1" applyFill="1" applyAlignment="1">
      <alignment horizontal="center" vertical="center"/>
    </xf>
    <xf numFmtId="0" fontId="11" fillId="9" borderId="0" xfId="0" applyFont="1" applyFill="1" applyAlignment="1">
      <alignment horizontal="center" vertical="center"/>
    </xf>
    <xf numFmtId="0" fontId="3" fillId="3" borderId="0" xfId="0" applyFont="1" applyFill="1" applyAlignment="1">
      <alignment horizontal="center" vertical="center"/>
    </xf>
    <xf numFmtId="0" fontId="2" fillId="6" borderId="0" xfId="0" applyFont="1" applyFill="1" applyAlignment="1">
      <alignment horizontal="center" vertical="center"/>
    </xf>
    <xf numFmtId="0" fontId="4" fillId="4" borderId="0" xfId="0" applyFont="1" applyFill="1" applyAlignment="1">
      <alignment horizontal="center" vertical="center"/>
    </xf>
    <xf numFmtId="0" fontId="1" fillId="5" borderId="0" xfId="0" applyFont="1" applyFill="1" applyAlignment="1">
      <alignment horizontal="center" vertical="center"/>
    </xf>
    <xf numFmtId="0" fontId="2" fillId="3" borderId="0" xfId="0" applyFont="1" applyFill="1" applyAlignment="1">
      <alignment horizontal="center" vertical="center" wrapText="1"/>
    </xf>
    <xf numFmtId="0" fontId="15" fillId="13" borderId="0" xfId="0" applyFont="1" applyFill="1" applyAlignment="1">
      <alignment horizontal="center" vertical="center"/>
    </xf>
    <xf numFmtId="0" fontId="2" fillId="2" borderId="0" xfId="0" applyFont="1" applyFill="1" applyAlignment="1">
      <alignment horizontal="center" vertical="center"/>
    </xf>
    <xf numFmtId="0" fontId="2" fillId="8" borderId="0" xfId="0" applyFont="1" applyFill="1" applyAlignment="1">
      <alignment horizontal="center" vertical="center"/>
    </xf>
    <xf numFmtId="0" fontId="2" fillId="7" borderId="0" xfId="0" applyFont="1" applyFill="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0" fontId="11" fillId="7" borderId="0" xfId="0" applyFont="1" applyFill="1" applyAlignment="1">
      <alignment horizontal="center" vertical="center"/>
    </xf>
    <xf numFmtId="0" fontId="4" fillId="2" borderId="0" xfId="0" applyFont="1" applyFill="1" applyAlignment="1">
      <alignment horizontal="center" vertical="center"/>
    </xf>
    <xf numFmtId="0" fontId="1" fillId="11" borderId="0" xfId="0" applyFont="1" applyFill="1" applyAlignment="1">
      <alignment horizontal="center" vertical="center"/>
    </xf>
    <xf numFmtId="0" fontId="3" fillId="4" borderId="0" xfId="0" applyFont="1" applyFill="1" applyAlignment="1">
      <alignment horizontal="center" vertical="center"/>
    </xf>
    <xf numFmtId="0" fontId="11" fillId="11" borderId="0" xfId="0" applyFont="1" applyFill="1" applyAlignment="1">
      <alignment horizontal="center" vertical="center"/>
    </xf>
    <xf numFmtId="0" fontId="2" fillId="20" borderId="0" xfId="0" applyFont="1" applyFill="1" applyAlignment="1">
      <alignment horizontal="center" vertical="center"/>
    </xf>
    <xf numFmtId="0" fontId="3" fillId="20" borderId="0" xfId="0" applyFont="1" applyFill="1" applyAlignment="1">
      <alignment horizontal="center" vertical="center"/>
    </xf>
  </cellXfs>
  <cellStyles count="2">
    <cellStyle name="Normal" xfId="0" builtinId="0"/>
    <cellStyle name="Normal 2" xfId="1" xr:uid="{C5C581EF-2743-4D8E-B0D6-00DEF810282B}"/>
  </cellStyles>
  <dxfs count="0"/>
  <tableStyles count="0" defaultTableStyle="TableStyleMedium2" defaultPivotStyle="PivotStyleLight16"/>
  <colors>
    <mruColors>
      <color rgb="FF0000CC"/>
      <color rgb="FF800000"/>
      <color rgb="FFFFFFCC"/>
      <color rgb="FFCCFFCC"/>
      <color rgb="FFFF66FF"/>
      <color rgb="FFFFCCCC"/>
      <color rgb="FF006600"/>
      <color rgb="FFCCFFFF"/>
      <color rgb="FFCCCC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Gold Production: Reported vs Calculated (t Au/year)</a:t>
            </a:r>
          </a:p>
        </c:rich>
      </c:tx>
      <c:layout>
        <c:manualLayout>
          <c:xMode val="edge"/>
          <c:yMode val="edge"/>
          <c:x val="0.19051803204779633"/>
          <c:y val="6.4856601346058654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978758698540086E-2"/>
          <c:y val="2.3013632735698231E-2"/>
          <c:w val="0.85296541921628832"/>
          <c:h val="0.89733119286231444"/>
        </c:manualLayout>
      </c:layout>
      <c:scatterChart>
        <c:scatterStyle val="smoothMarker"/>
        <c:varyColors val="0"/>
        <c:ser>
          <c:idx val="1"/>
          <c:order val="0"/>
          <c:tx>
            <c:v>Calculated</c:v>
          </c:tx>
          <c:spPr>
            <a:ln w="25400" cap="rnd">
              <a:solidFill>
                <a:srgbClr val="FF0000"/>
              </a:solidFill>
              <a:prstDash val="solid"/>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Data'!$K$63:$K$233</c:f>
              <c:numCache>
                <c:formatCode>#,##0</c:formatCode>
                <c:ptCount val="171"/>
                <c:pt idx="0" formatCode="0.0">
                  <c:v>81.066151027440071</c:v>
                </c:pt>
                <c:pt idx="1">
                  <c:v>1826.4235771651192</c:v>
                </c:pt>
                <c:pt idx="2">
                  <c:v>2936.2129131956181</c:v>
                </c:pt>
                <c:pt idx="3">
                  <c:v>3643.8592919107123</c:v>
                </c:pt>
                <c:pt idx="4">
                  <c:v>6995.9147434713177</c:v>
                </c:pt>
                <c:pt idx="5">
                  <c:v>10253.042695646865</c:v>
                </c:pt>
                <c:pt idx="6">
                  <c:v>11982.587628210811</c:v>
                </c:pt>
                <c:pt idx="7">
                  <c:v>13612.97604740448</c:v>
                </c:pt>
                <c:pt idx="8">
                  <c:v>14599.016664439978</c:v>
                </c:pt>
                <c:pt idx="9">
                  <c:v>16416.631993799117</c:v>
                </c:pt>
                <c:pt idx="10">
                  <c:v>17014.032658958331</c:v>
                </c:pt>
                <c:pt idx="11">
                  <c:v>17048.487497659899</c:v>
                </c:pt>
                <c:pt idx="12">
                  <c:v>17587.63396995308</c:v>
                </c:pt>
                <c:pt idx="13">
                  <c:v>17082.153674272529</c:v>
                </c:pt>
                <c:pt idx="14">
                  <c:v>16280.405716741669</c:v>
                </c:pt>
                <c:pt idx="15">
                  <c:v>17021.671120619831</c:v>
                </c:pt>
                <c:pt idx="16">
                  <c:v>18472.999148662806</c:v>
                </c:pt>
                <c:pt idx="17">
                  <c:v>17906.629646429163</c:v>
                </c:pt>
                <c:pt idx="18">
                  <c:v>18400.365168597313</c:v>
                </c:pt>
                <c:pt idx="19">
                  <c:v>18190.352798671163</c:v>
                </c:pt>
                <c:pt idx="20">
                  <c:v>20435.643918930818</c:v>
                </c:pt>
                <c:pt idx="21">
                  <c:v>24694.408387822597</c:v>
                </c:pt>
                <c:pt idx="22">
                  <c:v>25548.26478204448</c:v>
                </c:pt>
                <c:pt idx="23">
                  <c:v>25266.385281134066</c:v>
                </c:pt>
                <c:pt idx="24">
                  <c:v>24720.313682203581</c:v>
                </c:pt>
                <c:pt idx="25">
                  <c:v>23133.354704038247</c:v>
                </c:pt>
                <c:pt idx="26">
                  <c:v>21069.848358106559</c:v>
                </c:pt>
                <c:pt idx="27">
                  <c:v>20307.093740464257</c:v>
                </c:pt>
                <c:pt idx="28">
                  <c:v>19292.054734600697</c:v>
                </c:pt>
                <c:pt idx="29">
                  <c:v>22095.319452565363</c:v>
                </c:pt>
                <c:pt idx="30">
                  <c:v>23097.842968896559</c:v>
                </c:pt>
                <c:pt idx="31">
                  <c:v>22464.682471476623</c:v>
                </c:pt>
                <c:pt idx="32">
                  <c:v>21778.744852298856</c:v>
                </c:pt>
                <c:pt idx="33">
                  <c:v>23939.53336854422</c:v>
                </c:pt>
                <c:pt idx="34">
                  <c:v>23671.953933123987</c:v>
                </c:pt>
                <c:pt idx="35">
                  <c:v>23751.567567317714</c:v>
                </c:pt>
                <c:pt idx="36">
                  <c:v>25655.351548891431</c:v>
                </c:pt>
                <c:pt idx="37">
                  <c:v>26308.964376534826</c:v>
                </c:pt>
                <c:pt idx="38">
                  <c:v>35072.798963747955</c:v>
                </c:pt>
                <c:pt idx="39">
                  <c:v>30114.790877075902</c:v>
                </c:pt>
                <c:pt idx="40">
                  <c:v>31628.490533391399</c:v>
                </c:pt>
                <c:pt idx="41">
                  <c:v>36037.5137834505</c:v>
                </c:pt>
                <c:pt idx="42">
                  <c:v>36762.21014089966</c:v>
                </c:pt>
                <c:pt idx="43">
                  <c:v>41742.561095073048</c:v>
                </c:pt>
                <c:pt idx="44">
                  <c:v>43781.564250203148</c:v>
                </c:pt>
                <c:pt idx="45">
                  <c:v>44665.070802769413</c:v>
                </c:pt>
                <c:pt idx="46">
                  <c:v>64987.302344057563</c:v>
                </c:pt>
                <c:pt idx="47">
                  <c:v>81167.567337516215</c:v>
                </c:pt>
                <c:pt idx="48">
                  <c:v>102073.7763895926</c:v>
                </c:pt>
                <c:pt idx="49">
                  <c:v>97660.936599706678</c:v>
                </c:pt>
                <c:pt idx="50">
                  <c:v>97659.063754145493</c:v>
                </c:pt>
                <c:pt idx="51">
                  <c:v>108114.18241259622</c:v>
                </c:pt>
                <c:pt idx="52">
                  <c:v>119044.34925206339</c:v>
                </c:pt>
                <c:pt idx="53">
                  <c:v>104976.55097271183</c:v>
                </c:pt>
                <c:pt idx="54">
                  <c:v>100751.29932133321</c:v>
                </c:pt>
                <c:pt idx="55">
                  <c:v>94588.944789521178</c:v>
                </c:pt>
                <c:pt idx="56">
                  <c:v>87726.403540125029</c:v>
                </c:pt>
                <c:pt idx="57">
                  <c:v>85854.424273041674</c:v>
                </c:pt>
                <c:pt idx="58">
                  <c:v>84833.864383125008</c:v>
                </c:pt>
                <c:pt idx="59">
                  <c:v>76223.066552000004</c:v>
                </c:pt>
                <c:pt idx="60">
                  <c:v>70184.115008124994</c:v>
                </c:pt>
                <c:pt idx="61">
                  <c:v>66974.521120717429</c:v>
                </c:pt>
                <c:pt idx="62">
                  <c:v>62885.893303049059</c:v>
                </c:pt>
                <c:pt idx="63">
                  <c:v>58704.634143655472</c:v>
                </c:pt>
                <c:pt idx="64">
                  <c:v>54885.222399392675</c:v>
                </c:pt>
                <c:pt idx="65">
                  <c:v>46976.716421643847</c:v>
                </c:pt>
                <c:pt idx="66">
                  <c:v>41303.669499435535</c:v>
                </c:pt>
                <c:pt idx="67">
                  <c:v>35484.356383383856</c:v>
                </c:pt>
                <c:pt idx="68">
                  <c:v>28689.402643329788</c:v>
                </c:pt>
                <c:pt idx="69">
                  <c:v>27347.461920809641</c:v>
                </c:pt>
                <c:pt idx="70">
                  <c:v>20844.8024328926</c:v>
                </c:pt>
                <c:pt idx="71">
                  <c:v>22337.331982375003</c:v>
                </c:pt>
                <c:pt idx="72">
                  <c:v>20766.537218749996</c:v>
                </c:pt>
                <c:pt idx="73">
                  <c:v>19409.975890958329</c:v>
                </c:pt>
                <c:pt idx="74">
                  <c:v>16339.836735015004</c:v>
                </c:pt>
                <c:pt idx="75">
                  <c:v>15185.326526565004</c:v>
                </c:pt>
                <c:pt idx="76">
                  <c:v>15072.867363708334</c:v>
                </c:pt>
                <c:pt idx="77">
                  <c:v>13732.151807220002</c:v>
                </c:pt>
                <c:pt idx="78">
                  <c:v>12888.601589066666</c:v>
                </c:pt>
                <c:pt idx="79">
                  <c:v>14359.876660251333</c:v>
                </c:pt>
                <c:pt idx="80">
                  <c:v>17636.331720000002</c:v>
                </c:pt>
                <c:pt idx="81">
                  <c:v>20846.45501160833</c:v>
                </c:pt>
                <c:pt idx="82">
                  <c:v>24579.160876024416</c:v>
                </c:pt>
                <c:pt idx="83">
                  <c:v>25343.927839316657</c:v>
                </c:pt>
                <c:pt idx="84">
                  <c:v>26420.245352500013</c:v>
                </c:pt>
                <c:pt idx="85">
                  <c:v>34333.111285351391</c:v>
                </c:pt>
                <c:pt idx="86">
                  <c:v>40678.731372470844</c:v>
                </c:pt>
                <c:pt idx="87">
                  <c:v>46603.679746766684</c:v>
                </c:pt>
                <c:pt idx="88">
                  <c:v>47737.140047796682</c:v>
                </c:pt>
                <c:pt idx="89">
                  <c:v>46600.496576580925</c:v>
                </c:pt>
                <c:pt idx="90">
                  <c:v>43116.444949480472</c:v>
                </c:pt>
                <c:pt idx="91">
                  <c:v>33862.674621785874</c:v>
                </c:pt>
                <c:pt idx="92">
                  <c:v>21936.177852547084</c:v>
                </c:pt>
                <c:pt idx="93">
                  <c:v>20083.353151327876</c:v>
                </c:pt>
                <c:pt idx="94">
                  <c:v>20077.209342436159</c:v>
                </c:pt>
                <c:pt idx="95">
                  <c:v>25582.8499611359</c:v>
                </c:pt>
                <c:pt idx="96">
                  <c:v>28724.250525308729</c:v>
                </c:pt>
                <c:pt idx="97">
                  <c:v>27068.775537025489</c:v>
                </c:pt>
                <c:pt idx="98">
                  <c:v>27232.029453359635</c:v>
                </c:pt>
                <c:pt idx="99">
                  <c:v>26123.422664783327</c:v>
                </c:pt>
                <c:pt idx="100">
                  <c:v>26762.355459936683</c:v>
                </c:pt>
                <c:pt idx="101">
                  <c:v>29093.638547000002</c:v>
                </c:pt>
                <c:pt idx="102">
                  <c:v>32047.881311124998</c:v>
                </c:pt>
                <c:pt idx="103">
                  <c:v>33149.639344791671</c:v>
                </c:pt>
                <c:pt idx="104">
                  <c:v>30936.253240078346</c:v>
                </c:pt>
                <c:pt idx="105">
                  <c:v>30464.85117501999</c:v>
                </c:pt>
                <c:pt idx="106">
                  <c:v>32500.722580000005</c:v>
                </c:pt>
                <c:pt idx="107">
                  <c:v>33269.604210200006</c:v>
                </c:pt>
                <c:pt idx="108">
                  <c:v>33051.178856999992</c:v>
                </c:pt>
                <c:pt idx="109">
                  <c:v>33071.156875000008</c:v>
                </c:pt>
                <c:pt idx="110">
                  <c:v>32464.676397000003</c:v>
                </c:pt>
                <c:pt idx="111">
                  <c:v>32570.529445499986</c:v>
                </c:pt>
                <c:pt idx="112">
                  <c:v>30798.307607999999</c:v>
                </c:pt>
                <c:pt idx="113">
                  <c:v>29296.608436300005</c:v>
                </c:pt>
                <c:pt idx="114">
                  <c:v>25923.540129499994</c:v>
                </c:pt>
                <c:pt idx="115">
                  <c:v>27694.552488000005</c:v>
                </c:pt>
                <c:pt idx="116">
                  <c:v>26030.990474000013</c:v>
                </c:pt>
                <c:pt idx="117">
                  <c:v>23237.331746000007</c:v>
                </c:pt>
                <c:pt idx="118">
                  <c:v>21162.676090000004</c:v>
                </c:pt>
                <c:pt idx="119">
                  <c:v>18664.180897999999</c:v>
                </c:pt>
                <c:pt idx="120">
                  <c:v>18082.82734</c:v>
                </c:pt>
                <c:pt idx="121">
                  <c:v>17767.711692000004</c:v>
                </c:pt>
                <c:pt idx="122">
                  <c:v>14895.461049000001</c:v>
                </c:pt>
                <c:pt idx="123">
                  <c:v>13631.961671999998</c:v>
                </c:pt>
                <c:pt idx="124">
                  <c:v>11421.314469000001</c:v>
                </c:pt>
                <c:pt idx="125">
                  <c:v>11987.615299000001</c:v>
                </c:pt>
                <c:pt idx="126">
                  <c:v>15586.549468999998</c:v>
                </c:pt>
                <c:pt idx="127">
                  <c:v>17180.172775000003</c:v>
                </c:pt>
                <c:pt idx="128">
                  <c:v>15129.016753079995</c:v>
                </c:pt>
                <c:pt idx="129">
                  <c:v>13368.622886700001</c:v>
                </c:pt>
                <c:pt idx="130">
                  <c:v>18085.075181880002</c:v>
                </c:pt>
                <c:pt idx="131">
                  <c:v>25526.603281999996</c:v>
                </c:pt>
                <c:pt idx="132">
                  <c:v>29844.361819999998</c:v>
                </c:pt>
                <c:pt idx="133">
                  <c:v>38898.151600000005</c:v>
                </c:pt>
                <c:pt idx="134">
                  <c:v>56809.654784999999</c:v>
                </c:pt>
                <c:pt idx="135">
                  <c:v>73285.357308124992</c:v>
                </c:pt>
                <c:pt idx="136">
                  <c:v>112547.25965483331</c:v>
                </c:pt>
                <c:pt idx="137">
                  <c:v>148912.71966398615</c:v>
                </c:pt>
                <c:pt idx="138">
                  <c:v>204522.77541100443</c:v>
                </c:pt>
                <c:pt idx="139">
                  <c:v>245594.54446678204</c:v>
                </c:pt>
                <c:pt idx="140">
                  <c:v>235260.51417355571</c:v>
                </c:pt>
                <c:pt idx="141">
                  <c:v>236524.83068330228</c:v>
                </c:pt>
                <c:pt idx="142">
                  <c:v>242259.90417931427</c:v>
                </c:pt>
                <c:pt idx="143">
                  <c:v>249231.71311804999</c:v>
                </c:pt>
                <c:pt idx="144">
                  <c:v>251069.65017942886</c:v>
                </c:pt>
                <c:pt idx="145">
                  <c:v>283359.91974313208</c:v>
                </c:pt>
                <c:pt idx="146">
                  <c:v>304590.58916368987</c:v>
                </c:pt>
                <c:pt idx="147">
                  <c:v>305265.88060233567</c:v>
                </c:pt>
                <c:pt idx="148">
                  <c:v>298738.26082532707</c:v>
                </c:pt>
                <c:pt idx="149">
                  <c:v>287323.43031471799</c:v>
                </c:pt>
                <c:pt idx="150">
                  <c:v>275675.69261841883</c:v>
                </c:pt>
                <c:pt idx="151">
                  <c:v>272856.22870214848</c:v>
                </c:pt>
                <c:pt idx="152">
                  <c:v>289719.56013775128</c:v>
                </c:pt>
                <c:pt idx="153">
                  <c:v>278411.86388694454</c:v>
                </c:pt>
                <c:pt idx="154">
                  <c:v>260641.05390419916</c:v>
                </c:pt>
                <c:pt idx="155">
                  <c:v>248449.46043735169</c:v>
                </c:pt>
                <c:pt idx="156">
                  <c:v>242329.52434941294</c:v>
                </c:pt>
                <c:pt idx="157">
                  <c:v>215644.00922956163</c:v>
                </c:pt>
                <c:pt idx="158">
                  <c:v>220880.10010878459</c:v>
                </c:pt>
                <c:pt idx="159">
                  <c:v>265214.90806177905</c:v>
                </c:pt>
                <c:pt idx="160">
                  <c:v>261748.50803174917</c:v>
                </c:pt>
                <c:pt idx="161">
                  <c:v>250660.21758243046</c:v>
                </c:pt>
                <c:pt idx="162">
                  <c:v>273740.14294294344</c:v>
                </c:pt>
                <c:pt idx="163">
                  <c:v>290519.19667015824</c:v>
                </c:pt>
                <c:pt idx="164">
                  <c:v>301922.07027490286</c:v>
                </c:pt>
                <c:pt idx="165">
                  <c:v>314788.99245596991</c:v>
                </c:pt>
                <c:pt idx="166">
                  <c:v>314453.20677559805</c:v>
                </c:pt>
                <c:pt idx="167">
                  <c:v>336313.80180688784</c:v>
                </c:pt>
                <c:pt idx="168">
                  <c:v>350922.03663158132</c:v>
                </c:pt>
                <c:pt idx="169">
                  <c:v>354119.85513569077</c:v>
                </c:pt>
                <c:pt idx="170">
                  <c:v>324125.3409722012</c:v>
                </c:pt>
              </c:numCache>
            </c:numRef>
          </c:yVal>
          <c:smooth val="1"/>
          <c:extLst>
            <c:ext xmlns:c16="http://schemas.microsoft.com/office/drawing/2014/chart" uri="{C3380CC4-5D6E-409C-BE32-E72D297353CC}">
              <c16:uniqueId val="{00000001-062E-4511-B9FC-E865A43D7F33}"/>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Data'!$I$63:$I$233</c:f>
              <c:numCache>
                <c:formatCode>#,##0</c:formatCode>
                <c:ptCount val="171"/>
                <c:pt idx="0">
                  <c:v>9943.8829000000005</c:v>
                </c:pt>
                <c:pt idx="1">
                  <c:v>86466.275300000008</c:v>
                </c:pt>
                <c:pt idx="2">
                  <c:v>95188.304600000003</c:v>
                </c:pt>
                <c:pt idx="3">
                  <c:v>71432.174100000004</c:v>
                </c:pt>
                <c:pt idx="4">
                  <c:v>87539.029200000004</c:v>
                </c:pt>
                <c:pt idx="5">
                  <c:v>94641.6587</c:v>
                </c:pt>
                <c:pt idx="6">
                  <c:v>87974.517100000012</c:v>
                </c:pt>
                <c:pt idx="7">
                  <c:v>84254.878000000012</c:v>
                </c:pt>
                <c:pt idx="8">
                  <c:v>78158.904800000004</c:v>
                </c:pt>
                <c:pt idx="9">
                  <c:v>76068.843500000003</c:v>
                </c:pt>
                <c:pt idx="10">
                  <c:v>72975.606400000004</c:v>
                </c:pt>
                <c:pt idx="11">
                  <c:v>68843.657700000011</c:v>
                </c:pt>
                <c:pt idx="12">
                  <c:v>62964.027600000001</c:v>
                </c:pt>
                <c:pt idx="13">
                  <c:v>57719.335099999997</c:v>
                </c:pt>
                <c:pt idx="14">
                  <c:v>56931.447700000004</c:v>
                </c:pt>
                <c:pt idx="15">
                  <c:v>54142.227299999999</c:v>
                </c:pt>
                <c:pt idx="16">
                  <c:v>53203.218900000007</c:v>
                </c:pt>
                <c:pt idx="17">
                  <c:v>61191.485100000005</c:v>
                </c:pt>
                <c:pt idx="18">
                  <c:v>56955.630499999999</c:v>
                </c:pt>
                <c:pt idx="19">
                  <c:v>49455.720800000003</c:v>
                </c:pt>
                <c:pt idx="20">
                  <c:v>54785.175000000003</c:v>
                </c:pt>
                <c:pt idx="21">
                  <c:v>56264.063300000002</c:v>
                </c:pt>
                <c:pt idx="22">
                  <c:v>50008.318599999991</c:v>
                </c:pt>
                <c:pt idx="23">
                  <c:v>49856.008399999992</c:v>
                </c:pt>
                <c:pt idx="24">
                  <c:v>48874.6587</c:v>
                </c:pt>
                <c:pt idx="25">
                  <c:v>43644.931400000001</c:v>
                </c:pt>
                <c:pt idx="26">
                  <c:v>36978.366500000004</c:v>
                </c:pt>
                <c:pt idx="27">
                  <c:v>34505.232300000003</c:v>
                </c:pt>
                <c:pt idx="28">
                  <c:v>34471.395499999999</c:v>
                </c:pt>
                <c:pt idx="29">
                  <c:v>36504.775699999998</c:v>
                </c:pt>
                <c:pt idx="30">
                  <c:v>38031.039300000004</c:v>
                </c:pt>
                <c:pt idx="31">
                  <c:v>36926.460600000006</c:v>
                </c:pt>
                <c:pt idx="32">
                  <c:v>33536.591699999997</c:v>
                </c:pt>
                <c:pt idx="33">
                  <c:v>35339.800800000005</c:v>
                </c:pt>
                <c:pt idx="34">
                  <c:v>33870.045899999997</c:v>
                </c:pt>
                <c:pt idx="35">
                  <c:v>32422.340899999999</c:v>
                </c:pt>
                <c:pt idx="36">
                  <c:v>34158.031899999994</c:v>
                </c:pt>
                <c:pt idx="37">
                  <c:v>34684.088400000008</c:v>
                </c:pt>
                <c:pt idx="38">
                  <c:v>42855.271300000008</c:v>
                </c:pt>
                <c:pt idx="39">
                  <c:v>38520.366699999991</c:v>
                </c:pt>
                <c:pt idx="40">
                  <c:v>38671.450500000006</c:v>
                </c:pt>
                <c:pt idx="41">
                  <c:v>43036.18</c:v>
                </c:pt>
                <c:pt idx="42">
                  <c:v>45298.456200000008</c:v>
                </c:pt>
                <c:pt idx="43">
                  <c:v>54926.642999999996</c:v>
                </c:pt>
                <c:pt idx="44">
                  <c:v>55948.246900000006</c:v>
                </c:pt>
                <c:pt idx="45">
                  <c:v>57317.766499999998</c:v>
                </c:pt>
                <c:pt idx="46">
                  <c:v>72409.632400000002</c:v>
                </c:pt>
                <c:pt idx="47">
                  <c:v>85506.899800000014</c:v>
                </c:pt>
                <c:pt idx="48">
                  <c:v>106405.66440000001</c:v>
                </c:pt>
                <c:pt idx="49">
                  <c:v>99415.348500000007</c:v>
                </c:pt>
                <c:pt idx="50">
                  <c:v>102630.3732</c:v>
                </c:pt>
                <c:pt idx="51">
                  <c:v>108446.69520000002</c:v>
                </c:pt>
                <c:pt idx="52">
                  <c:v>119361.14690000002</c:v>
                </c:pt>
                <c:pt idx="53">
                  <c:v>116672.1787</c:v>
                </c:pt>
                <c:pt idx="54">
                  <c:v>114008.4948</c:v>
                </c:pt>
                <c:pt idx="55">
                  <c:v>107089.83330000001</c:v>
                </c:pt>
                <c:pt idx="56">
                  <c:v>98949.905899999998</c:v>
                </c:pt>
                <c:pt idx="57">
                  <c:v>95622.361400000009</c:v>
                </c:pt>
                <c:pt idx="58">
                  <c:v>92335.651199999993</c:v>
                </c:pt>
                <c:pt idx="59">
                  <c:v>84620.705300000001</c:v>
                </c:pt>
                <c:pt idx="60">
                  <c:v>77254.359300000011</c:v>
                </c:pt>
                <c:pt idx="61">
                  <c:v>72336.516300000003</c:v>
                </c:pt>
                <c:pt idx="62">
                  <c:v>68651.135200000004</c:v>
                </c:pt>
                <c:pt idx="63">
                  <c:v>63916.813300000002</c:v>
                </c:pt>
                <c:pt idx="64">
                  <c:v>60548.807699999998</c:v>
                </c:pt>
                <c:pt idx="65">
                  <c:v>51837.977599999998</c:v>
                </c:pt>
                <c:pt idx="66">
                  <c:v>45286.824800000002</c:v>
                </c:pt>
                <c:pt idx="67">
                  <c:v>39596.146800000002</c:v>
                </c:pt>
                <c:pt idx="68">
                  <c:v>33217.972200000004</c:v>
                </c:pt>
                <c:pt idx="69">
                  <c:v>29347.639400000004</c:v>
                </c:pt>
                <c:pt idx="70">
                  <c:v>23573.955500000004</c:v>
                </c:pt>
                <c:pt idx="71">
                  <c:v>23495.116999999998</c:v>
                </c:pt>
                <c:pt idx="72">
                  <c:v>22151.721400000002</c:v>
                </c:pt>
                <c:pt idx="73">
                  <c:v>21021.6407</c:v>
                </c:pt>
                <c:pt idx="74">
                  <c:v>17390.746800000001</c:v>
                </c:pt>
                <c:pt idx="75">
                  <c:v>16212.927599999999</c:v>
                </c:pt>
                <c:pt idx="76">
                  <c:v>15807.8501</c:v>
                </c:pt>
                <c:pt idx="77">
                  <c:v>14233.505900000002</c:v>
                </c:pt>
                <c:pt idx="78">
                  <c:v>13284.675999999999</c:v>
                </c:pt>
                <c:pt idx="79">
                  <c:v>14546.776200000002</c:v>
                </c:pt>
                <c:pt idx="80">
                  <c:v>18508.3253</c:v>
                </c:pt>
                <c:pt idx="81">
                  <c:v>22209.5985</c:v>
                </c:pt>
                <c:pt idx="82">
                  <c:v>25821.3037</c:v>
                </c:pt>
                <c:pt idx="83">
                  <c:v>27573.539900000003</c:v>
                </c:pt>
                <c:pt idx="84">
                  <c:v>28316.301200000002</c:v>
                </c:pt>
                <c:pt idx="85">
                  <c:v>36690.256100000006</c:v>
                </c:pt>
                <c:pt idx="86">
                  <c:v>43085.318000000007</c:v>
                </c:pt>
                <c:pt idx="87">
                  <c:v>49512.257400000002</c:v>
                </c:pt>
                <c:pt idx="88">
                  <c:v>51181.176700000004</c:v>
                </c:pt>
                <c:pt idx="89">
                  <c:v>51128.368900000009</c:v>
                </c:pt>
                <c:pt idx="90">
                  <c:v>46547.30780000001</c:v>
                </c:pt>
                <c:pt idx="91">
                  <c:v>35882.775699999998</c:v>
                </c:pt>
                <c:pt idx="92">
                  <c:v>23364.776900000001</c:v>
                </c:pt>
                <c:pt idx="93">
                  <c:v>20428.563700000002</c:v>
                </c:pt>
                <c:pt idx="94">
                  <c:v>20439.324300000004</c:v>
                </c:pt>
                <c:pt idx="95">
                  <c:v>25641.328000000005</c:v>
                </c:pt>
                <c:pt idx="96">
                  <c:v>29161.039400000005</c:v>
                </c:pt>
                <c:pt idx="97">
                  <c:v>27539.267700000004</c:v>
                </c:pt>
                <c:pt idx="98">
                  <c:v>27649.703800000003</c:v>
                </c:pt>
                <c:pt idx="99">
                  <c:v>27042.600700000003</c:v>
                </c:pt>
                <c:pt idx="100">
                  <c:v>27851.6361</c:v>
                </c:pt>
                <c:pt idx="101">
                  <c:v>30491.5285</c:v>
                </c:pt>
                <c:pt idx="102">
                  <c:v>33438.129100000006</c:v>
                </c:pt>
                <c:pt idx="103">
                  <c:v>34761.776200000008</c:v>
                </c:pt>
                <c:pt idx="104">
                  <c:v>32625.1129</c:v>
                </c:pt>
                <c:pt idx="105">
                  <c:v>32027.433100000002</c:v>
                </c:pt>
                <c:pt idx="106">
                  <c:v>33710.5651</c:v>
                </c:pt>
                <c:pt idx="107">
                  <c:v>34333.778000000006</c:v>
                </c:pt>
                <c:pt idx="108">
                  <c:v>33746.734400000001</c:v>
                </c:pt>
                <c:pt idx="109">
                  <c:v>33796.649900000004</c:v>
                </c:pt>
                <c:pt idx="110">
                  <c:v>33472.681200000006</c:v>
                </c:pt>
                <c:pt idx="111">
                  <c:v>33240.830699999999</c:v>
                </c:pt>
                <c:pt idx="112">
                  <c:v>31845.467000000001</c:v>
                </c:pt>
                <c:pt idx="113">
                  <c:v>29975.237399999998</c:v>
                </c:pt>
                <c:pt idx="114">
                  <c:v>27294.6973</c:v>
                </c:pt>
                <c:pt idx="115">
                  <c:v>28518.233499999998</c:v>
                </c:pt>
                <c:pt idx="116">
                  <c:v>25045.949600000004</c:v>
                </c:pt>
                <c:pt idx="117">
                  <c:v>24313.4202</c:v>
                </c:pt>
                <c:pt idx="118">
                  <c:v>21831.344799999999</c:v>
                </c:pt>
                <c:pt idx="119">
                  <c:v>19281</c:v>
                </c:pt>
                <c:pt idx="120">
                  <c:v>20919</c:v>
                </c:pt>
                <c:pt idx="121">
                  <c:v>23279</c:v>
                </c:pt>
                <c:pt idx="122">
                  <c:v>17174</c:v>
                </c:pt>
                <c:pt idx="123">
                  <c:v>15944</c:v>
                </c:pt>
                <c:pt idx="124">
                  <c:v>16386</c:v>
                </c:pt>
                <c:pt idx="125">
                  <c:v>15637</c:v>
                </c:pt>
                <c:pt idx="126">
                  <c:v>19417</c:v>
                </c:pt>
                <c:pt idx="127">
                  <c:v>20142</c:v>
                </c:pt>
                <c:pt idx="128">
                  <c:v>18565</c:v>
                </c:pt>
                <c:pt idx="129">
                  <c:v>17035</c:v>
                </c:pt>
                <c:pt idx="130">
                  <c:v>18373</c:v>
                </c:pt>
                <c:pt idx="131">
                  <c:v>26961</c:v>
                </c:pt>
                <c:pt idx="132">
                  <c:v>30592</c:v>
                </c:pt>
                <c:pt idx="133">
                  <c:v>40309</c:v>
                </c:pt>
                <c:pt idx="134">
                  <c:v>58521</c:v>
                </c:pt>
                <c:pt idx="135">
                  <c:v>75080</c:v>
                </c:pt>
                <c:pt idx="136">
                  <c:v>110695</c:v>
                </c:pt>
                <c:pt idx="137">
                  <c:v>156940</c:v>
                </c:pt>
                <c:pt idx="138">
                  <c:v>204020</c:v>
                </c:pt>
                <c:pt idx="139">
                  <c:v>244099</c:v>
                </c:pt>
                <c:pt idx="140">
                  <c:v>236275.99999999997</c:v>
                </c:pt>
                <c:pt idx="141">
                  <c:v>243736</c:v>
                </c:pt>
                <c:pt idx="142">
                  <c:v>227311.18696799999</c:v>
                </c:pt>
                <c:pt idx="143">
                  <c:v>236916.556858</c:v>
                </c:pt>
                <c:pt idx="144">
                  <c:v>236398.24857399997</c:v>
                </c:pt>
                <c:pt idx="145">
                  <c:v>276729.66959237389</c:v>
                </c:pt>
                <c:pt idx="146">
                  <c:v>303982.16539272014</c:v>
                </c:pt>
                <c:pt idx="147">
                  <c:v>299620.05835011636</c:v>
                </c:pt>
                <c:pt idx="148">
                  <c:v>289465.68008522358</c:v>
                </c:pt>
                <c:pt idx="149">
                  <c:v>290913.48456878925</c:v>
                </c:pt>
                <c:pt idx="150">
                  <c:v>280083.44172375445</c:v>
                </c:pt>
                <c:pt idx="151">
                  <c:v>266211.16813760169</c:v>
                </c:pt>
                <c:pt idx="152">
                  <c:v>281212.98635624134</c:v>
                </c:pt>
                <c:pt idx="153">
                  <c:v>257970.26187363442</c:v>
                </c:pt>
                <c:pt idx="154">
                  <c:v>262118.32071719004</c:v>
                </c:pt>
                <c:pt idx="155">
                  <c:v>246858.98088675231</c:v>
                </c:pt>
                <c:pt idx="156">
                  <c:v>247355.11723676746</c:v>
                </c:pt>
                <c:pt idx="157">
                  <c:v>215186.30203027924</c:v>
                </c:pt>
                <c:pt idx="158">
                  <c:v>223503.56679082141</c:v>
                </c:pt>
                <c:pt idx="159">
                  <c:v>248854.41241650662</c:v>
                </c:pt>
                <c:pt idx="160">
                  <c:v>249432.24765265154</c:v>
                </c:pt>
                <c:pt idx="161">
                  <c:v>240070.74485043116</c:v>
                </c:pt>
                <c:pt idx="162">
                  <c:v>260713.07971165876</c:v>
                </c:pt>
                <c:pt idx="163">
                  <c:v>271855.80490681692</c:v>
                </c:pt>
                <c:pt idx="164">
                  <c:v>277372.19193953479</c:v>
                </c:pt>
                <c:pt idx="165">
                  <c:v>287438.52528064413</c:v>
                </c:pt>
                <c:pt idx="166">
                  <c:v>288693.95115199493</c:v>
                </c:pt>
                <c:pt idx="167">
                  <c:v>309700.26018055569</c:v>
                </c:pt>
                <c:pt idx="168">
                  <c:v>324640.3933034222</c:v>
                </c:pt>
                <c:pt idx="169">
                  <c:v>327951.56009595416</c:v>
                </c:pt>
                <c:pt idx="170">
                  <c:v>311580.17903708224</c:v>
                </c:pt>
              </c:numCache>
            </c:numRef>
          </c:yVal>
          <c:smooth val="1"/>
          <c:extLst>
            <c:ext xmlns:c16="http://schemas.microsoft.com/office/drawing/2014/chart" uri="{C3380CC4-5D6E-409C-BE32-E72D297353CC}">
              <c16:uniqueId val="{00000002-062E-4511-B9FC-E865A43D7F33}"/>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360000"/>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ajorUnit val="50000"/>
        <c:minorUnit val="25000"/>
        <c:dispUnits>
          <c:builtInUnit val="thousands"/>
        </c:dispUnits>
      </c:valAx>
      <c:valAx>
        <c:axId val="1291331152"/>
        <c:scaling>
          <c:orientation val="minMax"/>
          <c:max val="360000"/>
          <c:min val="0"/>
        </c:scaling>
        <c:delete val="0"/>
        <c:axPos val="r"/>
        <c:numFmt formatCode="#,##0"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50000"/>
        <c:minorUnit val="25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7.8689523206431591E-2"/>
          <c:y val="0.19059982883919532"/>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Copper Production: Reported vs Calculated (kt Cu/year)</a:t>
            </a:r>
          </a:p>
        </c:rich>
      </c:tx>
      <c:layout>
        <c:manualLayout>
          <c:xMode val="edge"/>
          <c:yMode val="edge"/>
          <c:x val="0.15227370889918299"/>
          <c:y val="4.3935117040878442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9078970010255827E-2"/>
          <c:y val="2.3013632735698231E-2"/>
          <c:w val="0.85091511050845592"/>
          <c:h val="0.89733119286231444"/>
        </c:manualLayout>
      </c:layout>
      <c:scatterChart>
        <c:scatterStyle val="smoothMarker"/>
        <c:varyColors val="0"/>
        <c:ser>
          <c:idx val="1"/>
          <c:order val="0"/>
          <c:tx>
            <c:v>Calculated</c:v>
          </c:tx>
          <c:spPr>
            <a:ln w="19050" cap="rnd">
              <a:solidFill>
                <a:srgbClr val="FF0000"/>
              </a:solidFill>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Data'!$BQ$63:$BQ$233</c:f>
              <c:numCache>
                <c:formatCode>#,##0</c:formatCode>
                <c:ptCount val="171"/>
                <c:pt idx="0">
                  <c:v>2574.5439999999999</c:v>
                </c:pt>
                <c:pt idx="1">
                  <c:v>2082.8000000000002</c:v>
                </c:pt>
                <c:pt idx="2">
                  <c:v>735.29840000000013</c:v>
                </c:pt>
                <c:pt idx="3">
                  <c:v>532.63800000000003</c:v>
                </c:pt>
                <c:pt idx="4">
                  <c:v>1196.7024000000001</c:v>
                </c:pt>
                <c:pt idx="5">
                  <c:v>1804.3075999999999</c:v>
                </c:pt>
                <c:pt idx="6">
                  <c:v>2108.96243</c:v>
                </c:pt>
                <c:pt idx="7">
                  <c:v>2272.26136</c:v>
                </c:pt>
                <c:pt idx="8">
                  <c:v>2996.3625534999996</c:v>
                </c:pt>
                <c:pt idx="9">
                  <c:v>2782.6787884999999</c:v>
                </c:pt>
                <c:pt idx="10">
                  <c:v>5817.2682669999995</c:v>
                </c:pt>
                <c:pt idx="11">
                  <c:v>2922.7465684999997</c:v>
                </c:pt>
                <c:pt idx="12">
                  <c:v>3645.3338799999997</c:v>
                </c:pt>
                <c:pt idx="13">
                  <c:v>3520.8944155000004</c:v>
                </c:pt>
                <c:pt idx="14">
                  <c:v>3269.2280830000004</c:v>
                </c:pt>
                <c:pt idx="15">
                  <c:v>2395.4204</c:v>
                </c:pt>
                <c:pt idx="16">
                  <c:v>2811.3984</c:v>
                </c:pt>
                <c:pt idx="17">
                  <c:v>1585.6460000000002</c:v>
                </c:pt>
                <c:pt idx="18">
                  <c:v>921.72559200000001</c:v>
                </c:pt>
                <c:pt idx="19">
                  <c:v>630.35260800000003</c:v>
                </c:pt>
                <c:pt idx="20">
                  <c:v>2181.5843063948309</c:v>
                </c:pt>
                <c:pt idx="21">
                  <c:v>2284.7552323627001</c:v>
                </c:pt>
                <c:pt idx="22">
                  <c:v>1731.0986932813926</c:v>
                </c:pt>
                <c:pt idx="23">
                  <c:v>884.57877053279276</c:v>
                </c:pt>
                <c:pt idx="24">
                  <c:v>899.08356139575369</c:v>
                </c:pt>
                <c:pt idx="25">
                  <c:v>923.16043467512998</c:v>
                </c:pt>
                <c:pt idx="26">
                  <c:v>1194.7132854531819</c:v>
                </c:pt>
                <c:pt idx="27">
                  <c:v>1592.5032000000001</c:v>
                </c:pt>
                <c:pt idx="28">
                  <c:v>1936.2420000000002</c:v>
                </c:pt>
                <c:pt idx="29">
                  <c:v>2665.1503199999997</c:v>
                </c:pt>
                <c:pt idx="30">
                  <c:v>5821.1389799999997</c:v>
                </c:pt>
                <c:pt idx="31">
                  <c:v>3502.0856000000003</c:v>
                </c:pt>
                <c:pt idx="32">
                  <c:v>5374.0720000000001</c:v>
                </c:pt>
                <c:pt idx="33">
                  <c:v>6983.4796000000006</c:v>
                </c:pt>
                <c:pt idx="34">
                  <c:v>5461.5187999999998</c:v>
                </c:pt>
                <c:pt idx="35">
                  <c:v>4115.5291724137933</c:v>
                </c:pt>
                <c:pt idx="36">
                  <c:v>2928.1308413793099</c:v>
                </c:pt>
                <c:pt idx="37">
                  <c:v>3078.6383172413798</c:v>
                </c:pt>
                <c:pt idx="38">
                  <c:v>1538.9189517241377</c:v>
                </c:pt>
                <c:pt idx="39">
                  <c:v>6951.053144827586</c:v>
                </c:pt>
                <c:pt idx="40">
                  <c:v>5631.0632915945325</c:v>
                </c:pt>
                <c:pt idx="41">
                  <c:v>6436.9199773584905</c:v>
                </c:pt>
                <c:pt idx="42">
                  <c:v>5237.6492301886783</c:v>
                </c:pt>
                <c:pt idx="43">
                  <c:v>7003.8461811320758</c:v>
                </c:pt>
                <c:pt idx="44">
                  <c:v>8665.1742490566048</c:v>
                </c:pt>
                <c:pt idx="45">
                  <c:v>9724.0569228152053</c:v>
                </c:pt>
                <c:pt idx="46">
                  <c:v>14257.403427605634</c:v>
                </c:pt>
                <c:pt idx="47">
                  <c:v>15911.541742731733</c:v>
                </c:pt>
                <c:pt idx="48">
                  <c:v>16839.329422444607</c:v>
                </c:pt>
                <c:pt idx="49">
                  <c:v>19775.675356428968</c:v>
                </c:pt>
                <c:pt idx="50">
                  <c:v>26701.313334482547</c:v>
                </c:pt>
                <c:pt idx="51">
                  <c:v>21651.014213774961</c:v>
                </c:pt>
                <c:pt idx="52">
                  <c:v>21339.924341287624</c:v>
                </c:pt>
                <c:pt idx="53">
                  <c:v>22849.620027011493</c:v>
                </c:pt>
                <c:pt idx="54">
                  <c:v>31698.224072000001</c:v>
                </c:pt>
                <c:pt idx="55">
                  <c:v>35441.469800000006</c:v>
                </c:pt>
                <c:pt idx="56">
                  <c:v>40302.123740000003</c:v>
                </c:pt>
                <c:pt idx="57">
                  <c:v>37370.398688000001</c:v>
                </c:pt>
                <c:pt idx="58">
                  <c:v>37034.000959999998</c:v>
                </c:pt>
                <c:pt idx="59">
                  <c:v>36851.522559999998</c:v>
                </c:pt>
                <c:pt idx="60">
                  <c:v>40891.594995957632</c:v>
                </c:pt>
                <c:pt idx="61">
                  <c:v>42593.464870430318</c:v>
                </c:pt>
                <c:pt idx="62">
                  <c:v>43849.43593294025</c:v>
                </c:pt>
                <c:pt idx="63">
                  <c:v>35721.738747880307</c:v>
                </c:pt>
                <c:pt idx="64">
                  <c:v>37077.409892000003</c:v>
                </c:pt>
                <c:pt idx="65">
                  <c:v>36986.935376000001</c:v>
                </c:pt>
                <c:pt idx="66">
                  <c:v>36909.462676222225</c:v>
                </c:pt>
                <c:pt idx="67">
                  <c:v>38178.723292000002</c:v>
                </c:pt>
                <c:pt idx="68">
                  <c:v>17926.080520000003</c:v>
                </c:pt>
                <c:pt idx="69">
                  <c:v>17537.957993600001</c:v>
                </c:pt>
                <c:pt idx="70">
                  <c:v>15683.438230509608</c:v>
                </c:pt>
                <c:pt idx="71">
                  <c:v>12326.558025333332</c:v>
                </c:pt>
                <c:pt idx="72">
                  <c:v>16579.983409415159</c:v>
                </c:pt>
                <c:pt idx="73">
                  <c:v>13834.965707348238</c:v>
                </c:pt>
                <c:pt idx="74">
                  <c:v>11073.583407359258</c:v>
                </c:pt>
                <c:pt idx="75">
                  <c:v>9089.7233540622092</c:v>
                </c:pt>
                <c:pt idx="76">
                  <c:v>10977.504418990256</c:v>
                </c:pt>
                <c:pt idx="77">
                  <c:v>10634.421200000003</c:v>
                </c:pt>
                <c:pt idx="78">
                  <c:v>13866.511828631883</c:v>
                </c:pt>
                <c:pt idx="79">
                  <c:v>16348.486179046366</c:v>
                </c:pt>
                <c:pt idx="80">
                  <c:v>15921.555200000001</c:v>
                </c:pt>
                <c:pt idx="81">
                  <c:v>17673.055840000001</c:v>
                </c:pt>
                <c:pt idx="82">
                  <c:v>17363.335420000003</c:v>
                </c:pt>
                <c:pt idx="83">
                  <c:v>14615.498159999999</c:v>
                </c:pt>
                <c:pt idx="84">
                  <c:v>19957.675896000001</c:v>
                </c:pt>
                <c:pt idx="85">
                  <c:v>19209.9772232</c:v>
                </c:pt>
                <c:pt idx="86">
                  <c:v>20028.882740000001</c:v>
                </c:pt>
                <c:pt idx="87">
                  <c:v>20133.003359999999</c:v>
                </c:pt>
                <c:pt idx="88">
                  <c:v>21833.554556799998</c:v>
                </c:pt>
                <c:pt idx="89">
                  <c:v>21154.079879520003</c:v>
                </c:pt>
                <c:pt idx="90">
                  <c:v>21632.294917120002</c:v>
                </c:pt>
                <c:pt idx="91">
                  <c:v>22475.209186200002</c:v>
                </c:pt>
                <c:pt idx="92">
                  <c:v>25965.763463520001</c:v>
                </c:pt>
                <c:pt idx="93">
                  <c:v>29372.702233440003</c:v>
                </c:pt>
                <c:pt idx="94">
                  <c:v>24335.437053200003</c:v>
                </c:pt>
                <c:pt idx="95">
                  <c:v>17789.196400000001</c:v>
                </c:pt>
                <c:pt idx="96">
                  <c:v>14005.212900675999</c:v>
                </c:pt>
                <c:pt idx="97">
                  <c:v>12677.941769896534</c:v>
                </c:pt>
                <c:pt idx="98">
                  <c:v>14032.775403994399</c:v>
                </c:pt>
                <c:pt idx="99">
                  <c:v>16248.265528</c:v>
                </c:pt>
                <c:pt idx="100">
                  <c:v>17935.349008000001</c:v>
                </c:pt>
                <c:pt idx="101">
                  <c:v>18625.246999999999</c:v>
                </c:pt>
                <c:pt idx="102">
                  <c:v>35645.782293333337</c:v>
                </c:pt>
                <c:pt idx="103">
                  <c:v>41632.681400000001</c:v>
                </c:pt>
                <c:pt idx="104">
                  <c:v>44690.636576000004</c:v>
                </c:pt>
                <c:pt idx="105">
                  <c:v>54983.679976000014</c:v>
                </c:pt>
                <c:pt idx="106">
                  <c:v>59969.849379343999</c:v>
                </c:pt>
                <c:pt idx="107">
                  <c:v>72426.730719999992</c:v>
                </c:pt>
                <c:pt idx="108">
                  <c:v>76056.535472000003</c:v>
                </c:pt>
                <c:pt idx="109">
                  <c:v>107923.14784000002</c:v>
                </c:pt>
                <c:pt idx="110">
                  <c:v>95821.767472000007</c:v>
                </c:pt>
                <c:pt idx="111">
                  <c:v>106836.61856799998</c:v>
                </c:pt>
                <c:pt idx="112">
                  <c:v>107678.17476800001</c:v>
                </c:pt>
                <c:pt idx="113">
                  <c:v>96923.069839999996</c:v>
                </c:pt>
                <c:pt idx="114">
                  <c:v>91069.396743999998</c:v>
                </c:pt>
                <c:pt idx="115">
                  <c:v>111683.43135999999</c:v>
                </c:pt>
                <c:pt idx="116">
                  <c:v>92375.372023999982</c:v>
                </c:pt>
                <c:pt idx="117">
                  <c:v>112529.161808</c:v>
                </c:pt>
                <c:pt idx="118">
                  <c:v>132351.95071999999</c:v>
                </c:pt>
                <c:pt idx="119">
                  <c:v>144736.02439999999</c:v>
                </c:pt>
                <c:pt idx="120">
                  <c:v>172159.79317600001</c:v>
                </c:pt>
                <c:pt idx="121">
                  <c:v>186421.21125111016</c:v>
                </c:pt>
                <c:pt idx="122">
                  <c:v>209733.05437</c:v>
                </c:pt>
                <c:pt idx="123">
                  <c:v>245709.97892691303</c:v>
                </c:pt>
                <c:pt idx="124">
                  <c:v>225925.22345231599</c:v>
                </c:pt>
                <c:pt idx="125">
                  <c:v>218354.50218423622</c:v>
                </c:pt>
                <c:pt idx="126">
                  <c:v>212172.33154785371</c:v>
                </c:pt>
                <c:pt idx="127">
                  <c:v>211025.06862999999</c:v>
                </c:pt>
                <c:pt idx="128">
                  <c:v>212784.98340000003</c:v>
                </c:pt>
                <c:pt idx="129">
                  <c:v>228632.05624999999</c:v>
                </c:pt>
                <c:pt idx="130">
                  <c:v>239496.09</c:v>
                </c:pt>
                <c:pt idx="131">
                  <c:v>245317</c:v>
                </c:pt>
                <c:pt idx="132">
                  <c:v>256668.33333333334</c:v>
                </c:pt>
                <c:pt idx="133">
                  <c:v>236243</c:v>
                </c:pt>
                <c:pt idx="134">
                  <c:v>258172.05</c:v>
                </c:pt>
                <c:pt idx="135">
                  <c:v>245773.97</c:v>
                </c:pt>
                <c:pt idx="136">
                  <c:v>249704.76</c:v>
                </c:pt>
                <c:pt idx="137">
                  <c:v>237338.33319999999</c:v>
                </c:pt>
                <c:pt idx="138">
                  <c:v>298115.70462000003</c:v>
                </c:pt>
                <c:pt idx="139">
                  <c:v>320725.62390000001</c:v>
                </c:pt>
                <c:pt idx="140">
                  <c:v>357173.95822545455</c:v>
                </c:pt>
                <c:pt idx="141">
                  <c:v>360842.24992921209</c:v>
                </c:pt>
                <c:pt idx="142">
                  <c:v>417918.68319866667</c:v>
                </c:pt>
                <c:pt idx="143">
                  <c:v>439917.27821733337</c:v>
                </c:pt>
                <c:pt idx="144">
                  <c:v>408108.25189400004</c:v>
                </c:pt>
                <c:pt idx="145">
                  <c:v>496598.01752433321</c:v>
                </c:pt>
                <c:pt idx="146">
                  <c:v>575494.39518500003</c:v>
                </c:pt>
                <c:pt idx="147">
                  <c:v>632027.37377433153</c:v>
                </c:pt>
                <c:pt idx="148">
                  <c:v>755645.56887770758</c:v>
                </c:pt>
                <c:pt idx="149">
                  <c:v>832631.79482574353</c:v>
                </c:pt>
                <c:pt idx="150">
                  <c:v>865669.45319609821</c:v>
                </c:pt>
                <c:pt idx="151">
                  <c:v>846418.05368047068</c:v>
                </c:pt>
                <c:pt idx="152">
                  <c:v>827637.52449999994</c:v>
                </c:pt>
                <c:pt idx="153">
                  <c:v>803612.61065170064</c:v>
                </c:pt>
                <c:pt idx="154">
                  <c:v>922320.12905288558</c:v>
                </c:pt>
                <c:pt idx="155">
                  <c:v>866785.12393077102</c:v>
                </c:pt>
                <c:pt idx="156">
                  <c:v>874947.66011475062</c:v>
                </c:pt>
                <c:pt idx="157">
                  <c:v>895458.67245314107</c:v>
                </c:pt>
                <c:pt idx="158">
                  <c:v>875617.90347764478</c:v>
                </c:pt>
                <c:pt idx="159">
                  <c:v>882225.82958525093</c:v>
                </c:pt>
                <c:pt idx="160">
                  <c:v>967303.03137561586</c:v>
                </c:pt>
                <c:pt idx="161">
                  <c:v>927574.71043278859</c:v>
                </c:pt>
                <c:pt idx="162">
                  <c:v>968489.56897444162</c:v>
                </c:pt>
                <c:pt idx="163">
                  <c:v>987642.32510705979</c:v>
                </c:pt>
                <c:pt idx="164">
                  <c:v>960326.85735739581</c:v>
                </c:pt>
                <c:pt idx="165">
                  <c:v>954853.36131648044</c:v>
                </c:pt>
                <c:pt idx="166">
                  <c:v>899119.37714708003</c:v>
                </c:pt>
                <c:pt idx="167">
                  <c:v>920088.88661453151</c:v>
                </c:pt>
                <c:pt idx="168">
                  <c:v>927840.57948858989</c:v>
                </c:pt>
                <c:pt idx="169">
                  <c:v>895767.3120562348</c:v>
                </c:pt>
                <c:pt idx="170">
                  <c:v>827850.57341390802</c:v>
                </c:pt>
              </c:numCache>
            </c:numRef>
          </c:yVal>
          <c:smooth val="1"/>
          <c:extLst>
            <c:ext xmlns:c16="http://schemas.microsoft.com/office/drawing/2014/chart" uri="{C3380CC4-5D6E-409C-BE32-E72D297353CC}">
              <c16:uniqueId val="{00000000-4F34-49E6-8B29-0B3529ABE7AC}"/>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Data'!$BO$63:$BO$233</c:f>
              <c:numCache>
                <c:formatCode>#,##0</c:formatCode>
                <c:ptCount val="171"/>
                <c:pt idx="0">
                  <c:v>4084.32</c:v>
                </c:pt>
                <c:pt idx="1">
                  <c:v>4582.16</c:v>
                </c:pt>
                <c:pt idx="2">
                  <c:v>1910.08</c:v>
                </c:pt>
                <c:pt idx="3">
                  <c:v>1249.68</c:v>
                </c:pt>
                <c:pt idx="4">
                  <c:v>1402.08</c:v>
                </c:pt>
                <c:pt idx="5">
                  <c:v>3688.08</c:v>
                </c:pt>
                <c:pt idx="6">
                  <c:v>4328.16</c:v>
                </c:pt>
                <c:pt idx="7">
                  <c:v>3474.72</c:v>
                </c:pt>
                <c:pt idx="8">
                  <c:v>4277.6370909090911</c:v>
                </c:pt>
                <c:pt idx="9">
                  <c:v>4898.4130909090909</c:v>
                </c:pt>
                <c:pt idx="10">
                  <c:v>5211.3410909090908</c:v>
                </c:pt>
                <c:pt idx="11">
                  <c:v>6470.1650909090904</c:v>
                </c:pt>
                <c:pt idx="12">
                  <c:v>7315.4770909090912</c:v>
                </c:pt>
                <c:pt idx="13">
                  <c:v>9652.2770909090923</c:v>
                </c:pt>
                <c:pt idx="14">
                  <c:v>8505.213090909092</c:v>
                </c:pt>
                <c:pt idx="15">
                  <c:v>12738.885090909092</c:v>
                </c:pt>
                <c:pt idx="16">
                  <c:v>16032.757090909092</c:v>
                </c:pt>
                <c:pt idx="17">
                  <c:v>17580.125090909092</c:v>
                </c:pt>
                <c:pt idx="18">
                  <c:v>14691.637090909091</c:v>
                </c:pt>
                <c:pt idx="19">
                  <c:v>11811.435428571429</c:v>
                </c:pt>
                <c:pt idx="20">
                  <c:v>13188.115428571429</c:v>
                </c:pt>
                <c:pt idx="21">
                  <c:v>13908.45942857143</c:v>
                </c:pt>
                <c:pt idx="22">
                  <c:v>14235.61142857143</c:v>
                </c:pt>
                <c:pt idx="23">
                  <c:v>13531.52342857143</c:v>
                </c:pt>
                <c:pt idx="24">
                  <c:v>13425.85942857143</c:v>
                </c:pt>
                <c:pt idx="25">
                  <c:v>13193.195428571429</c:v>
                </c:pt>
                <c:pt idx="26">
                  <c:v>12171.68</c:v>
                </c:pt>
                <c:pt idx="27">
                  <c:v>9222.232</c:v>
                </c:pt>
                <c:pt idx="28">
                  <c:v>8920.48</c:v>
                </c:pt>
                <c:pt idx="29">
                  <c:v>8977.3760000000002</c:v>
                </c:pt>
                <c:pt idx="30">
                  <c:v>11160.76</c:v>
                </c:pt>
                <c:pt idx="31">
                  <c:v>12308.84</c:v>
                </c:pt>
                <c:pt idx="32">
                  <c:v>14041.12</c:v>
                </c:pt>
                <c:pt idx="33">
                  <c:v>17884.648000000001</c:v>
                </c:pt>
                <c:pt idx="34">
                  <c:v>14430.248</c:v>
                </c:pt>
                <c:pt idx="35">
                  <c:v>11240.008</c:v>
                </c:pt>
                <c:pt idx="36">
                  <c:v>9224.264000000001</c:v>
                </c:pt>
                <c:pt idx="37">
                  <c:v>9164.32</c:v>
                </c:pt>
                <c:pt idx="38">
                  <c:v>7662.6720000000005</c:v>
                </c:pt>
                <c:pt idx="39">
                  <c:v>7156.7039999999997</c:v>
                </c:pt>
                <c:pt idx="40">
                  <c:v>7597.6480000000001</c:v>
                </c:pt>
                <c:pt idx="41">
                  <c:v>6761.48</c:v>
                </c:pt>
                <c:pt idx="42">
                  <c:v>6140.7039999999997</c:v>
                </c:pt>
                <c:pt idx="43">
                  <c:v>8738.616</c:v>
                </c:pt>
                <c:pt idx="44">
                  <c:v>9704.8320000000003</c:v>
                </c:pt>
                <c:pt idx="45">
                  <c:v>10169.144</c:v>
                </c:pt>
                <c:pt idx="46">
                  <c:v>15925.8</c:v>
                </c:pt>
                <c:pt idx="47">
                  <c:v>15974.568000000001</c:v>
                </c:pt>
                <c:pt idx="48">
                  <c:v>22327.616000000002</c:v>
                </c:pt>
                <c:pt idx="49">
                  <c:v>23132.288</c:v>
                </c:pt>
                <c:pt idx="50">
                  <c:v>29913.072</c:v>
                </c:pt>
                <c:pt idx="51">
                  <c:v>29113.48</c:v>
                </c:pt>
                <c:pt idx="52">
                  <c:v>28054.808000000001</c:v>
                </c:pt>
                <c:pt idx="53">
                  <c:v>26883.360000000001</c:v>
                </c:pt>
                <c:pt idx="54">
                  <c:v>31259.272000000001</c:v>
                </c:pt>
                <c:pt idx="55">
                  <c:v>37515.800000000003</c:v>
                </c:pt>
                <c:pt idx="56">
                  <c:v>41254.68</c:v>
                </c:pt>
                <c:pt idx="57">
                  <c:v>40340.28</c:v>
                </c:pt>
                <c:pt idx="58">
                  <c:v>39021.512000000002</c:v>
                </c:pt>
                <c:pt idx="59">
                  <c:v>42788.84</c:v>
                </c:pt>
                <c:pt idx="60">
                  <c:v>46058.328000000001</c:v>
                </c:pt>
                <c:pt idx="61">
                  <c:v>46846.743999999999</c:v>
                </c:pt>
                <c:pt idx="62">
                  <c:v>47289.72</c:v>
                </c:pt>
                <c:pt idx="63">
                  <c:v>38406.832000000002</c:v>
                </c:pt>
                <c:pt idx="64">
                  <c:v>39315.135999999999</c:v>
                </c:pt>
                <c:pt idx="65">
                  <c:v>40265.095999999998</c:v>
                </c:pt>
                <c:pt idx="66">
                  <c:v>39493.951999999997</c:v>
                </c:pt>
                <c:pt idx="67">
                  <c:v>39176.959999999999</c:v>
                </c:pt>
                <c:pt idx="68">
                  <c:v>19626.072</c:v>
                </c:pt>
                <c:pt idx="69">
                  <c:v>26893.52</c:v>
                </c:pt>
                <c:pt idx="70">
                  <c:v>11189.208000000001</c:v>
                </c:pt>
                <c:pt idx="71">
                  <c:v>13101.32</c:v>
                </c:pt>
                <c:pt idx="72">
                  <c:v>18290.031999999999</c:v>
                </c:pt>
                <c:pt idx="73">
                  <c:v>14436.344000000001</c:v>
                </c:pt>
                <c:pt idx="74">
                  <c:v>12000.992</c:v>
                </c:pt>
                <c:pt idx="75">
                  <c:v>9514.84</c:v>
                </c:pt>
                <c:pt idx="76">
                  <c:v>11162.791999999999</c:v>
                </c:pt>
                <c:pt idx="77">
                  <c:v>10825.48</c:v>
                </c:pt>
                <c:pt idx="78">
                  <c:v>14402.816000000001</c:v>
                </c:pt>
                <c:pt idx="79">
                  <c:v>14517.624</c:v>
                </c:pt>
                <c:pt idx="80">
                  <c:v>13858.24</c:v>
                </c:pt>
                <c:pt idx="81">
                  <c:v>15113</c:v>
                </c:pt>
                <c:pt idx="82">
                  <c:v>15117.064</c:v>
                </c:pt>
                <c:pt idx="83">
                  <c:v>12721.335999999999</c:v>
                </c:pt>
                <c:pt idx="84">
                  <c:v>17570.704000000002</c:v>
                </c:pt>
                <c:pt idx="85">
                  <c:v>19750.024000000001</c:v>
                </c:pt>
                <c:pt idx="86">
                  <c:v>19920.712</c:v>
                </c:pt>
                <c:pt idx="87">
                  <c:v>20199.096000000001</c:v>
                </c:pt>
                <c:pt idx="88">
                  <c:v>22358.096000000001</c:v>
                </c:pt>
                <c:pt idx="89">
                  <c:v>22203.664000000001</c:v>
                </c:pt>
                <c:pt idx="90">
                  <c:v>22725.887999999999</c:v>
                </c:pt>
                <c:pt idx="91">
                  <c:v>21401.024000000001</c:v>
                </c:pt>
                <c:pt idx="92">
                  <c:v>25939.495999999999</c:v>
                </c:pt>
                <c:pt idx="93">
                  <c:v>30283.912</c:v>
                </c:pt>
                <c:pt idx="94">
                  <c:v>26453.592000000001</c:v>
                </c:pt>
                <c:pt idx="95">
                  <c:v>19129.248</c:v>
                </c:pt>
                <c:pt idx="96">
                  <c:v>14214.856</c:v>
                </c:pt>
                <c:pt idx="97">
                  <c:v>12841.224</c:v>
                </c:pt>
                <c:pt idx="98">
                  <c:v>13961.871999999999</c:v>
                </c:pt>
                <c:pt idx="99">
                  <c:v>18027.903999999999</c:v>
                </c:pt>
                <c:pt idx="100">
                  <c:v>18516.599999999999</c:v>
                </c:pt>
                <c:pt idx="101">
                  <c:v>19302.984</c:v>
                </c:pt>
                <c:pt idx="102">
                  <c:v>38055.296000000002</c:v>
                </c:pt>
                <c:pt idx="103">
                  <c:v>42577.512000000002</c:v>
                </c:pt>
                <c:pt idx="104">
                  <c:v>48007.016000000003</c:v>
                </c:pt>
                <c:pt idx="105">
                  <c:v>56298.592000000004</c:v>
                </c:pt>
                <c:pt idx="106">
                  <c:v>61506.608</c:v>
                </c:pt>
                <c:pt idx="107">
                  <c:v>76926.44</c:v>
                </c:pt>
                <c:pt idx="108">
                  <c:v>96469.2</c:v>
                </c:pt>
                <c:pt idx="109">
                  <c:v>111185.96</c:v>
                </c:pt>
                <c:pt idx="110">
                  <c:v>97189.543999999994</c:v>
                </c:pt>
                <c:pt idx="111">
                  <c:v>108683.552</c:v>
                </c:pt>
                <c:pt idx="112">
                  <c:v>114774.47200000001</c:v>
                </c:pt>
                <c:pt idx="113">
                  <c:v>106316.272</c:v>
                </c:pt>
                <c:pt idx="114">
                  <c:v>91834.207999999999</c:v>
                </c:pt>
                <c:pt idx="115">
                  <c:v>111289.592</c:v>
                </c:pt>
                <c:pt idx="116">
                  <c:v>91806.775999999998</c:v>
                </c:pt>
                <c:pt idx="117">
                  <c:v>109632.496</c:v>
                </c:pt>
                <c:pt idx="118">
                  <c:v>131056</c:v>
                </c:pt>
                <c:pt idx="119">
                  <c:v>157790</c:v>
                </c:pt>
                <c:pt idx="120">
                  <c:v>177261</c:v>
                </c:pt>
                <c:pt idx="121">
                  <c:v>186812</c:v>
                </c:pt>
                <c:pt idx="122">
                  <c:v>220335</c:v>
                </c:pt>
                <c:pt idx="123">
                  <c:v>251340</c:v>
                </c:pt>
                <c:pt idx="124">
                  <c:v>218961</c:v>
                </c:pt>
                <c:pt idx="125">
                  <c:v>218480</c:v>
                </c:pt>
                <c:pt idx="126">
                  <c:v>221579</c:v>
                </c:pt>
                <c:pt idx="127">
                  <c:v>222111</c:v>
                </c:pt>
                <c:pt idx="128">
                  <c:v>237610</c:v>
                </c:pt>
                <c:pt idx="129">
                  <c:v>243540</c:v>
                </c:pt>
                <c:pt idx="130">
                  <c:v>231339</c:v>
                </c:pt>
                <c:pt idx="131">
                  <c:v>245322</c:v>
                </c:pt>
                <c:pt idx="132">
                  <c:v>261476</c:v>
                </c:pt>
                <c:pt idx="133">
                  <c:v>235671</c:v>
                </c:pt>
                <c:pt idx="134">
                  <c:v>259765</c:v>
                </c:pt>
                <c:pt idx="135">
                  <c:v>248368</c:v>
                </c:pt>
                <c:pt idx="136">
                  <c:v>232695</c:v>
                </c:pt>
                <c:pt idx="137">
                  <c:v>238317</c:v>
                </c:pt>
                <c:pt idx="138">
                  <c:v>296000</c:v>
                </c:pt>
                <c:pt idx="139">
                  <c:v>329076</c:v>
                </c:pt>
                <c:pt idx="140">
                  <c:v>327632.5</c:v>
                </c:pt>
                <c:pt idx="141">
                  <c:v>298159.77</c:v>
                </c:pt>
                <c:pt idx="142">
                  <c:v>421951.42</c:v>
                </c:pt>
                <c:pt idx="143">
                  <c:v>418381.44780000002</c:v>
                </c:pt>
                <c:pt idx="144">
                  <c:v>350758.94400000002</c:v>
                </c:pt>
                <c:pt idx="145">
                  <c:v>532656.33325999998</c:v>
                </c:pt>
                <c:pt idx="146">
                  <c:v>549072.9</c:v>
                </c:pt>
                <c:pt idx="147">
                  <c:v>617927.99</c:v>
                </c:pt>
                <c:pt idx="148">
                  <c:v>737847.3</c:v>
                </c:pt>
                <c:pt idx="149">
                  <c:v>838849.31599999988</c:v>
                </c:pt>
                <c:pt idx="150">
                  <c:v>898341.97000000009</c:v>
                </c:pt>
                <c:pt idx="151">
                  <c:v>872281.42999999993</c:v>
                </c:pt>
                <c:pt idx="152">
                  <c:v>830387.75</c:v>
                </c:pt>
                <c:pt idx="153">
                  <c:v>875376</c:v>
                </c:pt>
                <c:pt idx="154">
                  <c:v>928217</c:v>
                </c:pt>
                <c:pt idx="155">
                  <c:v>878873.58280000009</c:v>
                </c:pt>
                <c:pt idx="156">
                  <c:v>862534.51951000001</c:v>
                </c:pt>
                <c:pt idx="157">
                  <c:v>878939.9</c:v>
                </c:pt>
                <c:pt idx="158">
                  <c:v>855892.1</c:v>
                </c:pt>
                <c:pt idx="159">
                  <c:v>871963</c:v>
                </c:pt>
                <c:pt idx="160">
                  <c:v>960649</c:v>
                </c:pt>
                <c:pt idx="161">
                  <c:v>921390.25</c:v>
                </c:pt>
                <c:pt idx="162">
                  <c:v>1000999.265306122</c:v>
                </c:pt>
                <c:pt idx="163">
                  <c:v>978533.60320000001</c:v>
                </c:pt>
                <c:pt idx="164">
                  <c:v>995881.05153436004</c:v>
                </c:pt>
                <c:pt idx="165">
                  <c:v>947555</c:v>
                </c:pt>
                <c:pt idx="166">
                  <c:v>849120.97365799907</c:v>
                </c:pt>
                <c:pt idx="167">
                  <c:v>910895.747715067</c:v>
                </c:pt>
                <c:pt idx="168">
                  <c:v>925157.49389661301</c:v>
                </c:pt>
                <c:pt idx="169">
                  <c:v>879521.92082488805</c:v>
                </c:pt>
                <c:pt idx="170">
                  <c:v>813144.85945250001</c:v>
                </c:pt>
              </c:numCache>
            </c:numRef>
          </c:yVal>
          <c:smooth val="1"/>
          <c:extLst>
            <c:ext xmlns:c16="http://schemas.microsoft.com/office/drawing/2014/chart" uri="{C3380CC4-5D6E-409C-BE32-E72D297353CC}">
              <c16:uniqueId val="{00000001-4F34-49E6-8B29-0B3529ABE7AC}"/>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1050000"/>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ajorUnit val="150000"/>
        <c:minorUnit val="75000"/>
        <c:dispUnits>
          <c:builtInUnit val="thousands"/>
        </c:dispUnits>
      </c:valAx>
      <c:valAx>
        <c:axId val="1291331152"/>
        <c:scaling>
          <c:orientation val="minMax"/>
          <c:max val="1050000"/>
          <c:min val="0"/>
        </c:scaling>
        <c:delete val="0"/>
        <c:axPos val="r"/>
        <c:numFmt formatCode="#,##0"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150000"/>
        <c:minorUnit val="75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8.6884735309705891E-2"/>
          <c:y val="0.17386264139505117"/>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Silver Production: Reported vs Calculated (t Ag/year)</a:t>
            </a:r>
          </a:p>
        </c:rich>
      </c:tx>
      <c:layout>
        <c:manualLayout>
          <c:xMode val="edge"/>
          <c:yMode val="edge"/>
          <c:x val="9.0809618124625749E-2"/>
          <c:y val="6.6948749776576666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9078970010255827E-2"/>
          <c:y val="2.3013632735698231E-2"/>
          <c:w val="0.85091511050845592"/>
          <c:h val="0.89733119286231444"/>
        </c:manualLayout>
      </c:layout>
      <c:scatterChart>
        <c:scatterStyle val="smoothMarker"/>
        <c:varyColors val="0"/>
        <c:ser>
          <c:idx val="1"/>
          <c:order val="0"/>
          <c:tx>
            <c:v>Calculated</c:v>
          </c:tx>
          <c:spPr>
            <a:ln w="25400" cap="rnd">
              <a:solidFill>
                <a:srgbClr val="FF0000"/>
              </a:solidFill>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Data'!$V$63:$V$233</c:f>
              <c:numCache>
                <c:formatCode>General</c:formatCode>
                <c:ptCount val="171"/>
                <c:pt idx="29" formatCode="#,##0">
                  <c:v>108.85</c:v>
                </c:pt>
                <c:pt idx="32" formatCode="#,##0">
                  <c:v>380.05280332666177</c:v>
                </c:pt>
                <c:pt idx="33" formatCode="#,##0">
                  <c:v>38515.009772168858</c:v>
                </c:pt>
                <c:pt idx="34" formatCode="#,##0">
                  <c:v>58214.237860076631</c:v>
                </c:pt>
                <c:pt idx="35" formatCode="#,##0">
                  <c:v>49046.776791580342</c:v>
                </c:pt>
                <c:pt idx="36" formatCode="#,##0">
                  <c:v>92898.822146174323</c:v>
                </c:pt>
                <c:pt idx="37" formatCode="#,##0">
                  <c:v>189824.25273446823</c:v>
                </c:pt>
                <c:pt idx="38" formatCode="#,##0">
                  <c:v>221879.05918942014</c:v>
                </c:pt>
                <c:pt idx="39" formatCode="#,##0">
                  <c:v>266233.86467587278</c:v>
                </c:pt>
                <c:pt idx="40" formatCode="#,##0">
                  <c:v>525811.89433496923</c:v>
                </c:pt>
                <c:pt idx="41" formatCode="#,##0">
                  <c:v>589995.78395644273</c:v>
                </c:pt>
                <c:pt idx="42" formatCode="#,##0">
                  <c:v>10166.201872</c:v>
                </c:pt>
                <c:pt idx="43" formatCode="#,##0">
                  <c:v>513103.31889999995</c:v>
                </c:pt>
                <c:pt idx="44" formatCode="#,##0">
                  <c:v>272454.59531200002</c:v>
                </c:pt>
                <c:pt idx="45" formatCode="#,##0">
                  <c:v>612040.2760040001</c:v>
                </c:pt>
                <c:pt idx="46" formatCode="#,##0">
                  <c:v>420649.01498000004</c:v>
                </c:pt>
                <c:pt idx="47" formatCode="#,##0">
                  <c:v>384482.28197400004</c:v>
                </c:pt>
                <c:pt idx="48" formatCode="#,##0">
                  <c:v>379527.89834000001</c:v>
                </c:pt>
                <c:pt idx="49" formatCode="#,##0">
                  <c:v>321067.62358000001</c:v>
                </c:pt>
                <c:pt idx="50" formatCode="#,##0">
                  <c:v>257821.92340000003</c:v>
                </c:pt>
                <c:pt idx="51" formatCode="#,##0">
                  <c:v>201638.16864000002</c:v>
                </c:pt>
                <c:pt idx="52" formatCode="#,##0">
                  <c:v>248674.05588500001</c:v>
                </c:pt>
                <c:pt idx="53" formatCode="#,##0">
                  <c:v>347044.06641115004</c:v>
                </c:pt>
                <c:pt idx="54" formatCode="#,##0">
                  <c:v>344641.42977679876</c:v>
                </c:pt>
                <c:pt idx="55" formatCode="#,##0">
                  <c:v>296896.79821856588</c:v>
                </c:pt>
                <c:pt idx="56" formatCode="#,##0">
                  <c:v>418332.5758545167</c:v>
                </c:pt>
                <c:pt idx="57" formatCode="#,##0">
                  <c:v>421638.70866280003</c:v>
                </c:pt>
                <c:pt idx="58" formatCode="#,##0">
                  <c:v>373494.16525900003</c:v>
                </c:pt>
                <c:pt idx="59" formatCode="#,##0">
                  <c:v>373025.02238100005</c:v>
                </c:pt>
                <c:pt idx="60" formatCode="#,##0">
                  <c:v>422478.63388900005</c:v>
                </c:pt>
                <c:pt idx="61" formatCode="#,##0">
                  <c:v>441160.48589970003</c:v>
                </c:pt>
                <c:pt idx="62" formatCode="#,##0">
                  <c:v>434361.43630590005</c:v>
                </c:pt>
                <c:pt idx="63" formatCode="#,##0">
                  <c:v>345062.07160600001</c:v>
                </c:pt>
                <c:pt idx="64" formatCode="#,##0">
                  <c:v>278145.9289</c:v>
                </c:pt>
                <c:pt idx="65" formatCode="#,##0">
                  <c:v>255737.07892</c:v>
                </c:pt>
                <c:pt idx="66" formatCode="#,##0">
                  <c:v>331608.21782600001</c:v>
                </c:pt>
                <c:pt idx="67" formatCode="#,##0">
                  <c:v>407038.02845000004</c:v>
                </c:pt>
                <c:pt idx="68" formatCode="#,##0">
                  <c:v>146469.64150249999</c:v>
                </c:pt>
                <c:pt idx="69" formatCode="#,##0">
                  <c:v>31634.914093312269</c:v>
                </c:pt>
                <c:pt idx="70" formatCode="#,##0">
                  <c:v>230384.42872163776</c:v>
                </c:pt>
                <c:pt idx="71" formatCode="#,##0">
                  <c:v>367525.97107400006</c:v>
                </c:pt>
                <c:pt idx="72" formatCode="#,##0">
                  <c:v>313505.72389000002</c:v>
                </c:pt>
                <c:pt idx="73" formatCode="#,##0">
                  <c:v>229494.28127400004</c:v>
                </c:pt>
                <c:pt idx="74" formatCode="#,##0">
                  <c:v>272044.92527499999</c:v>
                </c:pt>
                <c:pt idx="75" formatCode="#,##0">
                  <c:v>274524.08696600003</c:v>
                </c:pt>
                <c:pt idx="76" formatCode="#,##0">
                  <c:v>314651.080288</c:v>
                </c:pt>
                <c:pt idx="77" formatCode="#,##0">
                  <c:v>263970.09235200001</c:v>
                </c:pt>
                <c:pt idx="78" formatCode="#,##0">
                  <c:v>278345.210547</c:v>
                </c:pt>
                <c:pt idx="79" formatCode="#,##0">
                  <c:v>281268.23548099998</c:v>
                </c:pt>
                <c:pt idx="80" formatCode="#,##0">
                  <c:v>209475.361798</c:v>
                </c:pt>
                <c:pt idx="81" formatCode="#,##0">
                  <c:v>289573.77535700001</c:v>
                </c:pt>
                <c:pt idx="82" formatCode="#,##0">
                  <c:v>316315.651808</c:v>
                </c:pt>
                <c:pt idx="83" formatCode="#,##0">
                  <c:v>331706.00400100002</c:v>
                </c:pt>
                <c:pt idx="84" formatCode="#,##0">
                  <c:v>339670.453072</c:v>
                </c:pt>
                <c:pt idx="85" formatCode="#,##0">
                  <c:v>367905.29964000004</c:v>
                </c:pt>
                <c:pt idx="86" formatCode="#,##0">
                  <c:v>412897.85095300002</c:v>
                </c:pt>
                <c:pt idx="87" formatCode="#,##0">
                  <c:v>460742.65787326318</c:v>
                </c:pt>
                <c:pt idx="88" formatCode="#,##0">
                  <c:v>451368.20394247369</c:v>
                </c:pt>
                <c:pt idx="89" formatCode="#,##0">
                  <c:v>475006.08161315793</c:v>
                </c:pt>
                <c:pt idx="90" formatCode="#,##0">
                  <c:v>456718.93052198424</c:v>
                </c:pt>
                <c:pt idx="91" formatCode="#,##0">
                  <c:v>403035.46866389475</c:v>
                </c:pt>
                <c:pt idx="92" formatCode="#,##0">
                  <c:v>286405.2917742632</c:v>
                </c:pt>
                <c:pt idx="93" formatCode="#,##0">
                  <c:v>254736.99777500003</c:v>
                </c:pt>
                <c:pt idx="94" formatCode="#,##0">
                  <c:v>215548.46471273684</c:v>
                </c:pt>
                <c:pt idx="95" formatCode="#,##0">
                  <c:v>248807.70624006065</c:v>
                </c:pt>
                <c:pt idx="96" formatCode="#,##0">
                  <c:v>263829.0527759809</c:v>
                </c:pt>
                <c:pt idx="97" formatCode="#,##0">
                  <c:v>293910.2383731103</c:v>
                </c:pt>
                <c:pt idx="98" formatCode="#,##0">
                  <c:v>290904.03909714054</c:v>
                </c:pt>
                <c:pt idx="99" formatCode="#,##0">
                  <c:v>330896.27841087291</c:v>
                </c:pt>
                <c:pt idx="100" formatCode="#,##0">
                  <c:v>310662.68267868407</c:v>
                </c:pt>
                <c:pt idx="101" formatCode="#,##0">
                  <c:v>342681.26128996967</c:v>
                </c:pt>
                <c:pt idx="102" formatCode="#,##0">
                  <c:v>372228.94879065297</c:v>
                </c:pt>
                <c:pt idx="103" formatCode="#,##0">
                  <c:v>405471.12157926825</c:v>
                </c:pt>
                <c:pt idx="104" formatCode="#,##0">
                  <c:v>412129.08975836838</c:v>
                </c:pt>
                <c:pt idx="105" formatCode="#,##0">
                  <c:v>437006.26668042107</c:v>
                </c:pt>
                <c:pt idx="106" formatCode="#,##0">
                  <c:v>464577.1636533158</c:v>
                </c:pt>
                <c:pt idx="107" formatCode="#,##0">
                  <c:v>475745.05935263156</c:v>
                </c:pt>
                <c:pt idx="108" formatCode="#,##0">
                  <c:v>442641.12921578949</c:v>
                </c:pt>
                <c:pt idx="109" formatCode="#,##0">
                  <c:v>446923.95604736847</c:v>
                </c:pt>
                <c:pt idx="110" formatCode="#,##0">
                  <c:v>387910.56353157898</c:v>
                </c:pt>
                <c:pt idx="111" formatCode="#,##0">
                  <c:v>529854.51515157893</c:v>
                </c:pt>
                <c:pt idx="112" formatCode="#,##0">
                  <c:v>597559.46100526315</c:v>
                </c:pt>
                <c:pt idx="113" formatCode="#,##0">
                  <c:v>546617.60535263154</c:v>
                </c:pt>
                <c:pt idx="114" formatCode="#,##0">
                  <c:v>497072.23300000001</c:v>
                </c:pt>
                <c:pt idx="115" formatCode="#,##0">
                  <c:v>539384.37390000001</c:v>
                </c:pt>
                <c:pt idx="116" formatCode="#,##0">
                  <c:v>595018.7219</c:v>
                </c:pt>
                <c:pt idx="117" formatCode="#,##0">
                  <c:v>619383.26597812015</c:v>
                </c:pt>
                <c:pt idx="118" formatCode="#,##0">
                  <c:v>718332.73547952762</c:v>
                </c:pt>
                <c:pt idx="119" formatCode="#,##0">
                  <c:v>764925.05635354342</c:v>
                </c:pt>
                <c:pt idx="120" formatCode="#,##0">
                  <c:v>671810.45014803158</c:v>
                </c:pt>
                <c:pt idx="121" formatCode="#,##0">
                  <c:v>638093.88269999996</c:v>
                </c:pt>
                <c:pt idx="122" formatCode="#,##0">
                  <c:v>662087.58000000007</c:v>
                </c:pt>
                <c:pt idx="123" formatCode="#,##0">
                  <c:v>655041.72</c:v>
                </c:pt>
                <c:pt idx="124" formatCode="#,##0">
                  <c:v>681044.36</c:v>
                </c:pt>
                <c:pt idx="125" formatCode="#,##0">
                  <c:v>690594.6</c:v>
                </c:pt>
                <c:pt idx="126" formatCode="#,##0">
                  <c:v>732512.54</c:v>
                </c:pt>
                <c:pt idx="127" formatCode="#,##0">
                  <c:v>781632.64</c:v>
                </c:pt>
                <c:pt idx="128" formatCode="#,##0">
                  <c:v>795018.76</c:v>
                </c:pt>
                <c:pt idx="129" formatCode="#,##0">
                  <c:v>812483.98</c:v>
                </c:pt>
                <c:pt idx="130" formatCode="#,##0">
                  <c:v>746815.36400000006</c:v>
                </c:pt>
                <c:pt idx="131" formatCode="#,##0">
                  <c:v>911565.35920000006</c:v>
                </c:pt>
                <c:pt idx="132" formatCode="#,##0">
                  <c:v>1034764.4624000001</c:v>
                </c:pt>
                <c:pt idx="133" formatCode="#,##0">
                  <c:v>948745.61200000008</c:v>
                </c:pt>
                <c:pt idx="134" formatCode="#,##0">
                  <c:v>1083431.76</c:v>
                </c:pt>
                <c:pt idx="135" formatCode="#,##0">
                  <c:v>1016087</c:v>
                </c:pt>
                <c:pt idx="136" formatCode="#,##0">
                  <c:v>935490.93666666665</c:v>
                </c:pt>
                <c:pt idx="137" formatCode="#,##0">
                  <c:v>947755.12799999991</c:v>
                </c:pt>
                <c:pt idx="138" formatCode="#,##0">
                  <c:v>817696.8165999999</c:v>
                </c:pt>
                <c:pt idx="139" formatCode="#,##0">
                  <c:v>909743.04190000007</c:v>
                </c:pt>
                <c:pt idx="140" formatCode="#,##0">
                  <c:v>895103.96380000003</c:v>
                </c:pt>
                <c:pt idx="141" formatCode="#,##0">
                  <c:v>927928.12803500006</c:v>
                </c:pt>
                <c:pt idx="142" formatCode="#,##0">
                  <c:v>967046.99907000002</c:v>
                </c:pt>
                <c:pt idx="143" formatCode="#,##0">
                  <c:v>875225.24916952744</c:v>
                </c:pt>
                <c:pt idx="144" formatCode="#,##0">
                  <c:v>688899.68964847724</c:v>
                </c:pt>
                <c:pt idx="145" formatCode="#,##0">
                  <c:v>723315.28232512029</c:v>
                </c:pt>
                <c:pt idx="146" formatCode="#,##0">
                  <c:v>738857.96309999994</c:v>
                </c:pt>
                <c:pt idx="147" formatCode="#,##0">
                  <c:v>1227502.3338857142</c:v>
                </c:pt>
                <c:pt idx="148" formatCode="#,##0">
                  <c:v>1511588.6923000002</c:v>
                </c:pt>
                <c:pt idx="149" formatCode="#,##0">
                  <c:v>1772702.0523228573</c:v>
                </c:pt>
                <c:pt idx="150" formatCode="#,##0">
                  <c:v>1757508.6897880952</c:v>
                </c:pt>
                <c:pt idx="151" formatCode="#,##0">
                  <c:v>1964295.7587333333</c:v>
                </c:pt>
                <c:pt idx="152" formatCode="#,##0">
                  <c:v>1833537.26</c:v>
                </c:pt>
                <c:pt idx="153" formatCode="#,##0">
                  <c:v>2105815.54</c:v>
                </c:pt>
                <c:pt idx="154" formatCode="#,##0">
                  <c:v>2132528.0894999998</c:v>
                </c:pt>
                <c:pt idx="155" formatCode="#,##0">
                  <c:v>1574238.47</c:v>
                </c:pt>
                <c:pt idx="156" formatCode="#,##0">
                  <c:v>1680569.5005999999</c:v>
                </c:pt>
                <c:pt idx="157" formatCode="#,##0">
                  <c:v>1681554.1644999997</c:v>
                </c:pt>
                <c:pt idx="158" formatCode="#,##0">
                  <c:v>1519718.06549264</c:v>
                </c:pt>
                <c:pt idx="159" formatCode="#,##0">
                  <c:v>1738128.7755207999</c:v>
                </c:pt>
                <c:pt idx="160" formatCode="#,##0">
                  <c:v>1417520.6382884001</c:v>
                </c:pt>
                <c:pt idx="161" formatCode="#,##0">
                  <c:v>1481913.1183</c:v>
                </c:pt>
                <c:pt idx="162" formatCode="#,##0">
                  <c:v>1416714.38991878</c:v>
                </c:pt>
                <c:pt idx="163" formatCode="#,##0">
                  <c:v>1315435.7739249999</c:v>
                </c:pt>
                <c:pt idx="164" formatCode="#,##0">
                  <c:v>1253083.49997797</c:v>
                </c:pt>
                <c:pt idx="165" formatCode="#,##0">
                  <c:v>1055334.5151908146</c:v>
                </c:pt>
                <c:pt idx="166" formatCode="#,##0">
                  <c:v>813354.60894978</c:v>
                </c:pt>
                <c:pt idx="167" formatCode="#,##0">
                  <c:v>891089.64131258603</c:v>
                </c:pt>
                <c:pt idx="168" formatCode="#,##0">
                  <c:v>875115.03234429006</c:v>
                </c:pt>
                <c:pt idx="169" formatCode="#,##0">
                  <c:v>905888.47002810007</c:v>
                </c:pt>
                <c:pt idx="170" formatCode="#,##0">
                  <c:v>944991.39500000002</c:v>
                </c:pt>
              </c:numCache>
            </c:numRef>
          </c:yVal>
          <c:smooth val="1"/>
          <c:extLst>
            <c:ext xmlns:c16="http://schemas.microsoft.com/office/drawing/2014/chart" uri="{C3380CC4-5D6E-409C-BE32-E72D297353CC}">
              <c16:uniqueId val="{00000000-CB34-4FFA-AAE3-13B399F3F496}"/>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Data'!$T$63:$T$233</c:f>
              <c:numCache>
                <c:formatCode>General</c:formatCode>
                <c:ptCount val="171"/>
                <c:pt idx="19" formatCode="#,##0">
                  <c:v>3110</c:v>
                </c:pt>
                <c:pt idx="20" formatCode="#,##0">
                  <c:v>3110</c:v>
                </c:pt>
                <c:pt idx="21" formatCode="#,##0">
                  <c:v>3421</c:v>
                </c:pt>
                <c:pt idx="22" formatCode="#,##0">
                  <c:v>3732</c:v>
                </c:pt>
                <c:pt idx="23" formatCode="#,##0">
                  <c:v>4043</c:v>
                </c:pt>
                <c:pt idx="24" formatCode="#,##0">
                  <c:v>4354</c:v>
                </c:pt>
                <c:pt idx="25" formatCode="#,##0">
                  <c:v>4665</c:v>
                </c:pt>
                <c:pt idx="26" formatCode="#,##0">
                  <c:v>4976</c:v>
                </c:pt>
                <c:pt idx="27" formatCode="#,##0">
                  <c:v>5287</c:v>
                </c:pt>
                <c:pt idx="28" formatCode="#,##0">
                  <c:v>5598</c:v>
                </c:pt>
                <c:pt idx="29" formatCode="#,##0">
                  <c:v>5909</c:v>
                </c:pt>
                <c:pt idx="30" formatCode="#,##0">
                  <c:v>8086</c:v>
                </c:pt>
                <c:pt idx="31" formatCode="#,##0">
                  <c:v>8086</c:v>
                </c:pt>
                <c:pt idx="32" formatCode="#,##0">
                  <c:v>18349</c:v>
                </c:pt>
                <c:pt idx="33" formatCode="#,##0">
                  <c:v>32344</c:v>
                </c:pt>
                <c:pt idx="34" formatCode="#,##0">
                  <c:v>51626</c:v>
                </c:pt>
                <c:pt idx="35" formatCode="#,##0">
                  <c:v>87391</c:v>
                </c:pt>
                <c:pt idx="36" formatCode="#,##0">
                  <c:v>109161</c:v>
                </c:pt>
                <c:pt idx="37" formatCode="#,##0">
                  <c:v>193131</c:v>
                </c:pt>
                <c:pt idx="38" formatCode="#,##0">
                  <c:v>314110</c:v>
                </c:pt>
                <c:pt idx="39" formatCode="#,##0">
                  <c:v>456237</c:v>
                </c:pt>
                <c:pt idx="40" formatCode="#,##0">
                  <c:v>597120</c:v>
                </c:pt>
                <c:pt idx="41" formatCode="#,##0">
                  <c:v>415496</c:v>
                </c:pt>
                <c:pt idx="42" formatCode="#,##0">
                  <c:v>526834</c:v>
                </c:pt>
                <c:pt idx="43" formatCode="#,##0">
                  <c:v>442242</c:v>
                </c:pt>
                <c:pt idx="44" formatCode="#,##0">
                  <c:v>302914</c:v>
                </c:pt>
                <c:pt idx="45" formatCode="#,##0">
                  <c:v>329038</c:v>
                </c:pt>
                <c:pt idx="46" formatCode="#,##0">
                  <c:v>315665</c:v>
                </c:pt>
                <c:pt idx="47" formatCode="#,##0">
                  <c:v>316598</c:v>
                </c:pt>
                <c:pt idx="48" formatCode="#,##0">
                  <c:v>372267</c:v>
                </c:pt>
                <c:pt idx="49" formatCode="#,##0">
                  <c:v>455304</c:v>
                </c:pt>
                <c:pt idx="50" formatCode="#,##0">
                  <c:v>388013.55200000003</c:v>
                </c:pt>
                <c:pt idx="51" formatCode="#,##0">
                  <c:v>344424.88050000003</c:v>
                </c:pt>
                <c:pt idx="52" formatCode="#,##0">
                  <c:v>276920.99319999997</c:v>
                </c:pt>
                <c:pt idx="53" formatCode="#,##0">
                  <c:v>353927.5477</c:v>
                </c:pt>
                <c:pt idx="54" formatCode="#,##0">
                  <c:v>339605.99770000001</c:v>
                </c:pt>
                <c:pt idx="55" formatCode="#,##0">
                  <c:v>295619.05960000004</c:v>
                </c:pt>
                <c:pt idx="56" formatCode="#,##0">
                  <c:v>407680.7255</c:v>
                </c:pt>
                <c:pt idx="57" formatCode="#,##0">
                  <c:v>409637.071</c:v>
                </c:pt>
                <c:pt idx="58" formatCode="#,##0">
                  <c:v>365166.65230000002</c:v>
                </c:pt>
                <c:pt idx="59" formatCode="#,##0">
                  <c:v>429658.84670000005</c:v>
                </c:pt>
                <c:pt idx="60" formatCode="#,##0">
                  <c:v>473247.26940000005</c:v>
                </c:pt>
                <c:pt idx="61" formatCode="#,##0">
                  <c:v>442052.47660000005</c:v>
                </c:pt>
                <c:pt idx="62" formatCode="#,##0">
                  <c:v>474198.08970000007</c:v>
                </c:pt>
                <c:pt idx="63" formatCode="#,##0">
                  <c:v>427479.91850000003</c:v>
                </c:pt>
                <c:pt idx="64" formatCode="#,##0">
                  <c:v>230024.1214</c:v>
                </c:pt>
                <c:pt idx="65" formatCode="#,##0">
                  <c:v>263781.38937000005</c:v>
                </c:pt>
                <c:pt idx="66" formatCode="#,##0">
                  <c:v>277452.5233</c:v>
                </c:pt>
                <c:pt idx="67" formatCode="#,##0">
                  <c:v>296667.53390000004</c:v>
                </c:pt>
                <c:pt idx="68" formatCode="#,##0">
                  <c:v>218385.22630000001</c:v>
                </c:pt>
                <c:pt idx="69" formatCode="#,##0">
                  <c:v>52120.676599999999</c:v>
                </c:pt>
                <c:pt idx="70" formatCode="#,##0">
                  <c:v>151819.90590000001</c:v>
                </c:pt>
                <c:pt idx="71" formatCode="#,##0">
                  <c:v>344839.5368</c:v>
                </c:pt>
                <c:pt idx="72" formatCode="#,##0">
                  <c:v>412334.00080000004</c:v>
                </c:pt>
                <c:pt idx="73" formatCode="#,##0">
                  <c:v>318683.37940000003</c:v>
                </c:pt>
                <c:pt idx="74" formatCode="#,##0">
                  <c:v>323437.26319999999</c:v>
                </c:pt>
                <c:pt idx="75" formatCode="#,##0">
                  <c:v>335131.20530000003</c:v>
                </c:pt>
                <c:pt idx="76" formatCode="#,##0">
                  <c:v>345210.71530000004</c:v>
                </c:pt>
                <c:pt idx="77" formatCode="#,##0">
                  <c:v>281727.15610000002</c:v>
                </c:pt>
                <c:pt idx="78" formatCode="#,##0">
                  <c:v>292638.68440000003</c:v>
                </c:pt>
                <c:pt idx="79" formatCode="#,##0">
                  <c:v>296658.39049999998</c:v>
                </c:pt>
                <c:pt idx="80" formatCode="#,##0">
                  <c:v>253894.86420000001</c:v>
                </c:pt>
                <c:pt idx="81" formatCode="#,##0">
                  <c:v>276782.03840000002</c:v>
                </c:pt>
                <c:pt idx="82" formatCode="#,##0">
                  <c:v>342951.20699999999</c:v>
                </c:pt>
                <c:pt idx="83" formatCode="#,##0">
                  <c:v>335900.27720000001</c:v>
                </c:pt>
                <c:pt idx="84" formatCode="#,##0">
                  <c:v>369453.13419999997</c:v>
                </c:pt>
                <c:pt idx="85" formatCode="#,##0">
                  <c:v>392935.93560000003</c:v>
                </c:pt>
                <c:pt idx="86" formatCode="#,##0">
                  <c:v>444060.10600000003</c:v>
                </c:pt>
                <c:pt idx="87" formatCode="#,##0">
                  <c:v>452408.18570000003</c:v>
                </c:pt>
                <c:pt idx="88" formatCode="#,##0">
                  <c:v>466745.81440000003</c:v>
                </c:pt>
                <c:pt idx="89" formatCode="#,##0">
                  <c:v>460857.96240000002</c:v>
                </c:pt>
                <c:pt idx="90" formatCode="#,##0">
                  <c:v>460958.63310000004</c:v>
                </c:pt>
                <c:pt idx="91" formatCode="#,##0">
                  <c:v>421950.77390000003</c:v>
                </c:pt>
                <c:pt idx="92" formatCode="#,##0">
                  <c:v>306805.85399999999</c:v>
                </c:pt>
                <c:pt idx="93" formatCode="#,##0">
                  <c:v>259838.29190000001</c:v>
                </c:pt>
                <c:pt idx="94" formatCode="#,##0">
                  <c:v>241332.54790000001</c:v>
                </c:pt>
                <c:pt idx="95" formatCode="#,##0">
                  <c:v>249131.49490000002</c:v>
                </c:pt>
                <c:pt idx="96" formatCode="#,##0">
                  <c:v>296646.728</c:v>
                </c:pt>
                <c:pt idx="97" formatCode="#,##0">
                  <c:v>293859.45269999997</c:v>
                </c:pt>
                <c:pt idx="98" formatCode="#,##0">
                  <c:v>314180.47260000004</c:v>
                </c:pt>
                <c:pt idx="99" formatCode="#,##0">
                  <c:v>340072.55990000005</c:v>
                </c:pt>
                <c:pt idx="100" formatCode="#,##0">
                  <c:v>322256.58280000003</c:v>
                </c:pt>
                <c:pt idx="101" formatCode="#,##0">
                  <c:v>357010.64619999996</c:v>
                </c:pt>
                <c:pt idx="102" formatCode="#,##0">
                  <c:v>389967.37840000005</c:v>
                </c:pt>
                <c:pt idx="103" formatCode="#,##0">
                  <c:v>431131.77380000002</c:v>
                </c:pt>
                <c:pt idx="104" formatCode="#,##0">
                  <c:v>454193.79220000003</c:v>
                </c:pt>
                <c:pt idx="105" formatCode="#,##0">
                  <c:v>454579.64990000002</c:v>
                </c:pt>
                <c:pt idx="106" formatCode="#,##0">
                  <c:v>491726.14299999998</c:v>
                </c:pt>
                <c:pt idx="107" formatCode="#,##0">
                  <c:v>508167.96660000004</c:v>
                </c:pt>
                <c:pt idx="108" formatCode="#,##0">
                  <c:v>471495.59299999999</c:v>
                </c:pt>
                <c:pt idx="109" formatCode="#,##0">
                  <c:v>472723.2966</c:v>
                </c:pt>
                <c:pt idx="110" formatCode="#,##0">
                  <c:v>406214.17390000005</c:v>
                </c:pt>
                <c:pt idx="111" formatCode="#,##0">
                  <c:v>545919.79009999998</c:v>
                </c:pt>
                <c:pt idx="112" formatCode="#,##0">
                  <c:v>610863.86750000005</c:v>
                </c:pt>
                <c:pt idx="113" formatCode="#,##0">
                  <c:v>573079.38899999997</c:v>
                </c:pt>
                <c:pt idx="114" formatCode="#,##0">
                  <c:v>537434.09289999993</c:v>
                </c:pt>
                <c:pt idx="115" formatCode="#,##0">
                  <c:v>587407.19010000001</c:v>
                </c:pt>
                <c:pt idx="116" formatCode="#,##0">
                  <c:v>617090.0253000001</c:v>
                </c:pt>
                <c:pt idx="117" formatCode="#,##0">
                  <c:v>665349.76130000013</c:v>
                </c:pt>
                <c:pt idx="118" formatCode="#,##0">
                  <c:v>760795</c:v>
                </c:pt>
                <c:pt idx="119" formatCode="#,##0">
                  <c:v>808445</c:v>
                </c:pt>
                <c:pt idx="120" formatCode="#,##0">
                  <c:v>678418</c:v>
                </c:pt>
                <c:pt idx="121" formatCode="#,##0">
                  <c:v>680790</c:v>
                </c:pt>
                <c:pt idx="122" formatCode="#,##0">
                  <c:v>707414</c:v>
                </c:pt>
                <c:pt idx="123" formatCode="#,##0">
                  <c:v>669954</c:v>
                </c:pt>
                <c:pt idx="124" formatCode="#,##0">
                  <c:v>726218</c:v>
                </c:pt>
                <c:pt idx="125" formatCode="#,##0">
                  <c:v>778658</c:v>
                </c:pt>
                <c:pt idx="126" formatCode="#,##0">
                  <c:v>856110</c:v>
                </c:pt>
                <c:pt idx="127" formatCode="#,##0">
                  <c:v>812524</c:v>
                </c:pt>
                <c:pt idx="128" formatCode="#,##0">
                  <c:v>832210</c:v>
                </c:pt>
                <c:pt idx="129" formatCode="#,##0">
                  <c:v>766817</c:v>
                </c:pt>
                <c:pt idx="130" formatCode="#,##0">
                  <c:v>743557</c:v>
                </c:pt>
                <c:pt idx="131" formatCode="#,##0">
                  <c:v>906863</c:v>
                </c:pt>
                <c:pt idx="132" formatCode="#,##0">
                  <c:v>1032895</c:v>
                </c:pt>
                <c:pt idx="133" formatCode="#,##0">
                  <c:v>972303</c:v>
                </c:pt>
                <c:pt idx="134" formatCode="#,##0">
                  <c:v>1085933</c:v>
                </c:pt>
                <c:pt idx="135" formatCode="#,##0">
                  <c:v>1022761</c:v>
                </c:pt>
                <c:pt idx="136" formatCode="#,##0">
                  <c:v>1119300</c:v>
                </c:pt>
                <c:pt idx="137" formatCode="#,##0">
                  <c:v>1113569</c:v>
                </c:pt>
                <c:pt idx="138" formatCode="#,##0">
                  <c:v>1075000</c:v>
                </c:pt>
                <c:pt idx="139" formatCode="#,##0">
                  <c:v>1087824</c:v>
                </c:pt>
                <c:pt idx="140" formatCode="#,##0">
                  <c:v>1099528.4860000003</c:v>
                </c:pt>
                <c:pt idx="141" formatCode="#,##0">
                  <c:v>1024182.1159999999</c:v>
                </c:pt>
                <c:pt idx="142" formatCode="#,##0">
                  <c:v>957839.8189999999</c:v>
                </c:pt>
                <c:pt idx="143" formatCode="#,##0">
                  <c:v>961235.27300000004</c:v>
                </c:pt>
                <c:pt idx="144" formatCode="#,##0">
                  <c:v>882006.92800000007</c:v>
                </c:pt>
                <c:pt idx="145" formatCode="#,##0">
                  <c:v>1012498</c:v>
                </c:pt>
                <c:pt idx="146" formatCode="#,##0">
                  <c:v>1106216</c:v>
                </c:pt>
                <c:pt idx="147" formatCode="#,##0">
                  <c:v>1474000</c:v>
                </c:pt>
                <c:pt idx="148" formatCode="#,##0">
                  <c:v>1715720</c:v>
                </c:pt>
                <c:pt idx="149" formatCode="#,##0">
                  <c:v>2058860.0000000002</c:v>
                </c:pt>
                <c:pt idx="150" formatCode="#,##0">
                  <c:v>1970322</c:v>
                </c:pt>
                <c:pt idx="151" formatCode="#,##0">
                  <c:v>2070907.42022</c:v>
                </c:pt>
                <c:pt idx="152" formatCode="#,##0">
                  <c:v>1868153.0017299999</c:v>
                </c:pt>
                <c:pt idx="153" formatCode="#,##0">
                  <c:v>2223643</c:v>
                </c:pt>
                <c:pt idx="154" formatCode="#,##0">
                  <c:v>2416645.9999999995</c:v>
                </c:pt>
                <c:pt idx="155" formatCode="#,##0">
                  <c:v>1727856</c:v>
                </c:pt>
                <c:pt idx="156" formatCode="#,##0">
                  <c:v>1878620</c:v>
                </c:pt>
                <c:pt idx="157" formatCode="#,##0">
                  <c:v>1895939</c:v>
                </c:pt>
                <c:pt idx="158" formatCode="#,##0">
                  <c:v>1702094.5249999999</c:v>
                </c:pt>
                <c:pt idx="159" formatCode="#,##0">
                  <c:v>1879222.1463000001</c:v>
                </c:pt>
                <c:pt idx="160" formatCode="#,##0">
                  <c:v>1725005.1738</c:v>
                </c:pt>
                <c:pt idx="161" formatCode="#,##0">
                  <c:v>1726932.874499491</c:v>
                </c:pt>
                <c:pt idx="162" formatCode="#,##0">
                  <c:v>1839782.9134179072</c:v>
                </c:pt>
                <c:pt idx="163" formatCode="#,##0">
                  <c:v>1846847.1112428561</c:v>
                </c:pt>
                <c:pt idx="164" formatCode="#,##0">
                  <c:v>1430297.7626808761</c:v>
                </c:pt>
                <c:pt idx="165" formatCode="#,##0">
                  <c:v>1418219.0218523387</c:v>
                </c:pt>
                <c:pt idx="166" formatCode="#,##0">
                  <c:v>1120175.4777304467</c:v>
                </c:pt>
                <c:pt idx="167" formatCode="#,##0">
                  <c:v>1254479.5126662531</c:v>
                </c:pt>
                <c:pt idx="168" formatCode="#,##0">
                  <c:v>1325088.5</c:v>
                </c:pt>
                <c:pt idx="169" formatCode="#,##0">
                  <c:v>1337343.636299985</c:v>
                </c:pt>
                <c:pt idx="170" formatCode="#,##0">
                  <c:v>1330228.6091489028</c:v>
                </c:pt>
              </c:numCache>
            </c:numRef>
          </c:yVal>
          <c:smooth val="1"/>
          <c:extLst>
            <c:ext xmlns:c16="http://schemas.microsoft.com/office/drawing/2014/chart" uri="{C3380CC4-5D6E-409C-BE32-E72D297353CC}">
              <c16:uniqueId val="{00000001-CB34-4FFA-AAE3-13B399F3F496}"/>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2449999.9999999995"/>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ajorUnit val="400000"/>
        <c:minorUnit val="200000"/>
        <c:dispUnits>
          <c:builtInUnit val="thousands"/>
        </c:dispUnits>
      </c:valAx>
      <c:valAx>
        <c:axId val="1291331152"/>
        <c:scaling>
          <c:orientation val="minMax"/>
          <c:max val="2449999.9999999995"/>
          <c:min val="0"/>
        </c:scaling>
        <c:delete val="0"/>
        <c:axPos val="r"/>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400000"/>
        <c:minorUnit val="200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8.961647267746399E-2"/>
          <c:y val="0.21570561000541158"/>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Lead Production: Reported vs Calculated (kt Pb/year)</a:t>
            </a:r>
          </a:p>
        </c:rich>
      </c:tx>
      <c:layout>
        <c:manualLayout>
          <c:xMode val="edge"/>
          <c:yMode val="edge"/>
          <c:x val="0.10037069891177908"/>
          <c:y val="5.6488007623986564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978758698540086E-2"/>
          <c:y val="2.3013632735698231E-2"/>
          <c:w val="0.85296541921628832"/>
          <c:h val="0.89733119286231444"/>
        </c:manualLayout>
      </c:layout>
      <c:scatterChart>
        <c:scatterStyle val="smoothMarker"/>
        <c:varyColors val="0"/>
        <c:ser>
          <c:idx val="1"/>
          <c:order val="0"/>
          <c:tx>
            <c:v>Calculated</c:v>
          </c:tx>
          <c:spPr>
            <a:ln w="25400" cap="rnd">
              <a:solidFill>
                <a:srgbClr val="FF0000"/>
              </a:solidFill>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Data'!$DM$63:$DM$233</c:f>
              <c:numCache>
                <c:formatCode>General</c:formatCode>
                <c:ptCount val="171"/>
                <c:pt idx="4" formatCode="#,##0">
                  <c:v>11.641666666666669</c:v>
                </c:pt>
                <c:pt idx="8" formatCode="#,##0">
                  <c:v>6.8580000000000005</c:v>
                </c:pt>
                <c:pt idx="9" formatCode="#,##0">
                  <c:v>50.038000000000004</c:v>
                </c:pt>
                <c:pt idx="10" formatCode="#,##0">
                  <c:v>40.131999999999998</c:v>
                </c:pt>
                <c:pt idx="11" formatCode="#,##0">
                  <c:v>4.5720000000000001</c:v>
                </c:pt>
                <c:pt idx="12" formatCode="#,##0">
                  <c:v>116.84</c:v>
                </c:pt>
                <c:pt idx="13" formatCode="#,##0">
                  <c:v>40.64</c:v>
                </c:pt>
                <c:pt idx="14" formatCode="#,##0">
                  <c:v>428.54880000000003</c:v>
                </c:pt>
                <c:pt idx="15" formatCode="#,##0">
                  <c:v>166.72559999999999</c:v>
                </c:pt>
                <c:pt idx="16" formatCode="#,##0">
                  <c:v>659.83104000000003</c:v>
                </c:pt>
                <c:pt idx="17" formatCode="#,##0">
                  <c:v>670.86479999999995</c:v>
                </c:pt>
                <c:pt idx="18" formatCode="#,##0">
                  <c:v>426.41519999999997</c:v>
                </c:pt>
                <c:pt idx="19" formatCode="#,##0">
                  <c:v>737.3112000000001</c:v>
                </c:pt>
                <c:pt idx="20" formatCode="#,##0">
                  <c:v>256.03199999999998</c:v>
                </c:pt>
                <c:pt idx="21" formatCode="#,##0">
                  <c:v>221.89440000000002</c:v>
                </c:pt>
                <c:pt idx="22" formatCode="#,##0">
                  <c:v>588.56880000000001</c:v>
                </c:pt>
                <c:pt idx="23" formatCode="#,##0">
                  <c:v>1306.83</c:v>
                </c:pt>
                <c:pt idx="24" formatCode="#,##0">
                  <c:v>1328.9280000000001</c:v>
                </c:pt>
                <c:pt idx="25" formatCode="#,##0">
                  <c:v>1206.6540387096775</c:v>
                </c:pt>
                <c:pt idx="26" formatCode="#,##0">
                  <c:v>3215.0304000000001</c:v>
                </c:pt>
                <c:pt idx="27" formatCode="#,##0">
                  <c:v>2205.2280000000001</c:v>
                </c:pt>
                <c:pt idx="28" formatCode="#,##0">
                  <c:v>1691.64</c:v>
                </c:pt>
                <c:pt idx="29" formatCode="#,##0">
                  <c:v>938.14471910112354</c:v>
                </c:pt>
                <c:pt idx="30" formatCode="#,##0">
                  <c:v>569.16320000000007</c:v>
                </c:pt>
                <c:pt idx="31" formatCode="#,##0">
                  <c:v>728.87839999999994</c:v>
                </c:pt>
                <c:pt idx="32" formatCode="#,##0">
                  <c:v>387.90879999999999</c:v>
                </c:pt>
                <c:pt idx="33" formatCode="#,##0">
                  <c:v>440.94400000000007</c:v>
                </c:pt>
                <c:pt idx="34" formatCode="#,##0">
                  <c:v>3349.5431681688392</c:v>
                </c:pt>
                <c:pt idx="35" formatCode="#,##0">
                  <c:v>4152.9313521418444</c:v>
                </c:pt>
                <c:pt idx="36" formatCode="#,##0">
                  <c:v>12458.440751487498</c:v>
                </c:pt>
                <c:pt idx="37" formatCode="#,##0">
                  <c:v>26344.079522943233</c:v>
                </c:pt>
                <c:pt idx="38" formatCode="#,##0">
                  <c:v>29975.118498964857</c:v>
                </c:pt>
                <c:pt idx="39" formatCode="#,##0">
                  <c:v>35356.735483098622</c:v>
                </c:pt>
                <c:pt idx="40" formatCode="#,##0">
                  <c:v>70849.32008528267</c:v>
                </c:pt>
                <c:pt idx="41" formatCode="#,##0">
                  <c:v>70336.696741655134</c:v>
                </c:pt>
                <c:pt idx="42" formatCode="#,##0">
                  <c:v>224.71786400000002</c:v>
                </c:pt>
                <c:pt idx="43" formatCode="#,##0">
                  <c:v>55915.444876185138</c:v>
                </c:pt>
                <c:pt idx="44" formatCode="#,##0">
                  <c:v>57613.534556800005</c:v>
                </c:pt>
                <c:pt idx="45" formatCode="#,##0">
                  <c:v>91096.852604</c:v>
                </c:pt>
                <c:pt idx="46" formatCode="#,##0">
                  <c:v>106764.8941152</c:v>
                </c:pt>
                <c:pt idx="47" formatCode="#,##0">
                  <c:v>103805.7343744</c:v>
                </c:pt>
                <c:pt idx="48" formatCode="#,##0">
                  <c:v>192817.61182399999</c:v>
                </c:pt>
                <c:pt idx="49" formatCode="#,##0">
                  <c:v>169672.658368</c:v>
                </c:pt>
                <c:pt idx="50" formatCode="#,##0">
                  <c:v>150692.0024</c:v>
                </c:pt>
                <c:pt idx="51" formatCode="#,##0">
                  <c:v>136300.55747200001</c:v>
                </c:pt>
                <c:pt idx="52" formatCode="#,##0">
                  <c:v>139216.023828</c:v>
                </c:pt>
                <c:pt idx="53" formatCode="#,##0">
                  <c:v>170009.86498848003</c:v>
                </c:pt>
                <c:pt idx="54" formatCode="#,##0">
                  <c:v>168695.55317045501</c:v>
                </c:pt>
                <c:pt idx="55" formatCode="#,##0">
                  <c:v>144596.72416538399</c:v>
                </c:pt>
                <c:pt idx="56" formatCode="#,##0">
                  <c:v>200764.99560408</c:v>
                </c:pt>
                <c:pt idx="57" formatCode="#,##0">
                  <c:v>182491.70293898668</c:v>
                </c:pt>
                <c:pt idx="58" formatCode="#,##0">
                  <c:v>162000.75295999998</c:v>
                </c:pt>
                <c:pt idx="59" formatCode="#,##0">
                  <c:v>190035.42384000003</c:v>
                </c:pt>
                <c:pt idx="60" formatCode="#,##0">
                  <c:v>211207.62432</c:v>
                </c:pt>
                <c:pt idx="61" formatCode="#,##0">
                  <c:v>233614.11240000001</c:v>
                </c:pt>
                <c:pt idx="62" formatCode="#,##0">
                  <c:v>249900.25021120001</c:v>
                </c:pt>
                <c:pt idx="63" formatCode="#,##0">
                  <c:v>197402.21631999998</c:v>
                </c:pt>
                <c:pt idx="64" formatCode="#,##0">
                  <c:v>159502.32767999999</c:v>
                </c:pt>
                <c:pt idx="65" formatCode="#,##0">
                  <c:v>144998.52127999999</c:v>
                </c:pt>
                <c:pt idx="66" formatCode="#,##0">
                  <c:v>163106.44340799999</c:v>
                </c:pt>
                <c:pt idx="67" formatCode="#,##0">
                  <c:v>197378.64185976336</c:v>
                </c:pt>
                <c:pt idx="68" formatCode="#,##0">
                  <c:v>65083.25473488</c:v>
                </c:pt>
                <c:pt idx="69" formatCode="#,##0">
                  <c:v>14362.426623405205</c:v>
                </c:pt>
                <c:pt idx="70" formatCode="#,##0">
                  <c:v>80698.794772186797</c:v>
                </c:pt>
                <c:pt idx="71" formatCode="#,##0">
                  <c:v>149664.59292320002</c:v>
                </c:pt>
                <c:pt idx="72" formatCode="#,##0">
                  <c:v>162283.59720000002</c:v>
                </c:pt>
                <c:pt idx="73" formatCode="#,##0">
                  <c:v>148858.22399999999</c:v>
                </c:pt>
                <c:pt idx="74" formatCode="#,##0">
                  <c:v>182188.6136256</c:v>
                </c:pt>
                <c:pt idx="75" formatCode="#,##0">
                  <c:v>179912.6415456</c:v>
                </c:pt>
                <c:pt idx="76" formatCode="#,##0">
                  <c:v>194805.06631999998</c:v>
                </c:pt>
                <c:pt idx="77" formatCode="#,##0">
                  <c:v>174579.12556800002</c:v>
                </c:pt>
                <c:pt idx="78" formatCode="#,##0">
                  <c:v>190797.062144</c:v>
                </c:pt>
                <c:pt idx="79" formatCode="#,##0">
                  <c:v>194362.22971520002</c:v>
                </c:pt>
                <c:pt idx="80" formatCode="#,##0">
                  <c:v>148989.34896</c:v>
                </c:pt>
                <c:pt idx="81" formatCode="#,##0">
                  <c:v>209842.46575999999</c:v>
                </c:pt>
                <c:pt idx="82" formatCode="#,##0">
                  <c:v>222746.84432</c:v>
                </c:pt>
                <c:pt idx="83" formatCode="#,##0">
                  <c:v>230312.43244</c:v>
                </c:pt>
                <c:pt idx="84" formatCode="#,##0">
                  <c:v>223108.06280000001</c:v>
                </c:pt>
                <c:pt idx="85" formatCode="#,##0">
                  <c:v>230370.77919199999</c:v>
                </c:pt>
                <c:pt idx="86" formatCode="#,##0">
                  <c:v>248024.72823199999</c:v>
                </c:pt>
                <c:pt idx="87" formatCode="#,##0">
                  <c:v>278154.9796904762</c:v>
                </c:pt>
                <c:pt idx="88" formatCode="#,##0">
                  <c:v>286437.09539999999</c:v>
                </c:pt>
                <c:pt idx="89" formatCode="#,##0">
                  <c:v>292887.51142133336</c:v>
                </c:pt>
                <c:pt idx="90" formatCode="#,##0">
                  <c:v>293898.67560000002</c:v>
                </c:pt>
                <c:pt idx="91" formatCode="#,##0">
                  <c:v>264980.80438666668</c:v>
                </c:pt>
                <c:pt idx="92" formatCode="#,##0">
                  <c:v>208386.35996000003</c:v>
                </c:pt>
                <c:pt idx="93" formatCode="#,##0">
                  <c:v>190664.592</c:v>
                </c:pt>
                <c:pt idx="94" formatCode="#,##0">
                  <c:v>164473.95604000002</c:v>
                </c:pt>
                <c:pt idx="95" formatCode="#,##0">
                  <c:v>185781.51905750402</c:v>
                </c:pt>
                <c:pt idx="96" formatCode="#,##0">
                  <c:v>195786.65555993337</c:v>
                </c:pt>
                <c:pt idx="97" formatCode="#,##0">
                  <c:v>212045.55068291453</c:v>
                </c:pt>
                <c:pt idx="98" formatCode="#,##0">
                  <c:v>208685.03602766621</c:v>
                </c:pt>
                <c:pt idx="99" formatCode="#,##0">
                  <c:v>225518.69455597509</c:v>
                </c:pt>
                <c:pt idx="100" formatCode="#,##0">
                  <c:v>213232.40884990984</c:v>
                </c:pt>
                <c:pt idx="101" formatCode="#,##0">
                  <c:v>232976.19661753441</c:v>
                </c:pt>
                <c:pt idx="102" formatCode="#,##0">
                  <c:v>270342.3209164954</c:v>
                </c:pt>
                <c:pt idx="103" formatCode="#,##0">
                  <c:v>285422.26278400002</c:v>
                </c:pt>
                <c:pt idx="104" formatCode="#,##0">
                  <c:v>290351.40879733337</c:v>
                </c:pt>
                <c:pt idx="105" formatCode="#,##0">
                  <c:v>300311.67335733335</c:v>
                </c:pt>
                <c:pt idx="106" formatCode="#,##0">
                  <c:v>334657.53710133338</c:v>
                </c:pt>
                <c:pt idx="107" formatCode="#,##0">
                  <c:v>324239.79517333338</c:v>
                </c:pt>
                <c:pt idx="108" formatCode="#,##0">
                  <c:v>315606.58070666669</c:v>
                </c:pt>
                <c:pt idx="109" formatCode="#,##0">
                  <c:v>310546.38932000002</c:v>
                </c:pt>
                <c:pt idx="110" formatCode="#,##0">
                  <c:v>271655.41638666665</c:v>
                </c:pt>
                <c:pt idx="111" formatCode="#,##0">
                  <c:v>373763.10989333334</c:v>
                </c:pt>
                <c:pt idx="112" formatCode="#,##0">
                  <c:v>413305.42349333334</c:v>
                </c:pt>
                <c:pt idx="113" formatCode="#,##0">
                  <c:v>372979.31500000006</c:v>
                </c:pt>
                <c:pt idx="114" formatCode="#,##0">
                  <c:v>360980.71568000002</c:v>
                </c:pt>
                <c:pt idx="115" formatCode="#,##0">
                  <c:v>364287.77536000003</c:v>
                </c:pt>
                <c:pt idx="116" formatCode="#,##0">
                  <c:v>383586.97968000005</c:v>
                </c:pt>
                <c:pt idx="117" formatCode="#,##0">
                  <c:v>369077.34895999997</c:v>
                </c:pt>
                <c:pt idx="118" formatCode="#,##0">
                  <c:v>434259.80682399997</c:v>
                </c:pt>
                <c:pt idx="119" formatCode="#,##0">
                  <c:v>440701.14824000001</c:v>
                </c:pt>
                <c:pt idx="120" formatCode="#,##0">
                  <c:v>396114.016</c:v>
                </c:pt>
                <c:pt idx="121" formatCode="#,##0">
                  <c:v>383592.712</c:v>
                </c:pt>
                <c:pt idx="122" formatCode="#,##0">
                  <c:v>395441.94</c:v>
                </c:pt>
                <c:pt idx="123" formatCode="#,##0">
                  <c:v>363074.47070000001</c:v>
                </c:pt>
                <c:pt idx="124" formatCode="#,##0">
                  <c:v>392183.68960000004</c:v>
                </c:pt>
                <c:pt idx="125" formatCode="#,##0">
                  <c:v>366093.16000000003</c:v>
                </c:pt>
                <c:pt idx="126" formatCode="#,##0">
                  <c:v>383926.01699999999</c:v>
                </c:pt>
                <c:pt idx="127" formatCode="#,##0">
                  <c:v>383611.30599999998</c:v>
                </c:pt>
                <c:pt idx="128" formatCode="#,##0">
                  <c:v>411699.59600000002</c:v>
                </c:pt>
                <c:pt idx="129" formatCode="#,##0">
                  <c:v>398284.94799999997</c:v>
                </c:pt>
                <c:pt idx="130" formatCode="#,##0">
                  <c:v>387896.99400000001</c:v>
                </c:pt>
                <c:pt idx="131" formatCode="#,##0">
                  <c:v>455585.18599999999</c:v>
                </c:pt>
                <c:pt idx="132" formatCode="#,##0">
                  <c:v>479875.04000000004</c:v>
                </c:pt>
                <c:pt idx="133" formatCode="#,##0">
                  <c:v>439723.05499999999</c:v>
                </c:pt>
                <c:pt idx="134" formatCode="#,##0">
                  <c:v>493077.16800000001</c:v>
                </c:pt>
                <c:pt idx="135" formatCode="#,##0">
                  <c:v>456340.5</c:v>
                </c:pt>
                <c:pt idx="136" formatCode="#,##0">
                  <c:v>469057.8666666667</c:v>
                </c:pt>
                <c:pt idx="137" formatCode="#,##0">
                  <c:v>445598.663</c:v>
                </c:pt>
                <c:pt idx="138" formatCode="#,##0">
                  <c:v>449502.53100000002</c:v>
                </c:pt>
                <c:pt idx="139" formatCode="#,##0">
                  <c:v>497087.56000000006</c:v>
                </c:pt>
                <c:pt idx="140" formatCode="#,##0">
                  <c:v>473168.49418400007</c:v>
                </c:pt>
                <c:pt idx="141" formatCode="#,##0">
                  <c:v>521069.63132000004</c:v>
                </c:pt>
                <c:pt idx="142" formatCode="#,##0">
                  <c:v>509740.59489000001</c:v>
                </c:pt>
                <c:pt idx="143" formatCode="#,##0">
                  <c:v>494938.87468000001</c:v>
                </c:pt>
                <c:pt idx="144" formatCode="#,##0">
                  <c:v>428408.30353328574</c:v>
                </c:pt>
                <c:pt idx="145" formatCode="#,##0">
                  <c:v>498040.00191714277</c:v>
                </c:pt>
                <c:pt idx="146" formatCode="#,##0">
                  <c:v>480853.64289457141</c:v>
                </c:pt>
                <c:pt idx="147" formatCode="#,##0">
                  <c:v>563025.26666799991</c:v>
                </c:pt>
                <c:pt idx="148" formatCode="#,##0">
                  <c:v>657284.88106028573</c:v>
                </c:pt>
                <c:pt idx="149" formatCode="#,##0">
                  <c:v>635819.32251428568</c:v>
                </c:pt>
                <c:pt idx="150" formatCode="#,##0">
                  <c:v>718470.71062228561</c:v>
                </c:pt>
                <c:pt idx="151" formatCode="#,##0">
                  <c:v>665868.692224</c:v>
                </c:pt>
                <c:pt idx="152" formatCode="#,##0">
                  <c:v>669509.5</c:v>
                </c:pt>
                <c:pt idx="153" formatCode="#,##0">
                  <c:v>666683</c:v>
                </c:pt>
                <c:pt idx="154" formatCode="#,##0">
                  <c:v>725824</c:v>
                </c:pt>
                <c:pt idx="155" formatCode="#,##0">
                  <c:v>610350.06000000006</c:v>
                </c:pt>
                <c:pt idx="156" formatCode="#,##0">
                  <c:v>584152.68000000005</c:v>
                </c:pt>
                <c:pt idx="157" formatCode="#,##0">
                  <c:v>583387.15</c:v>
                </c:pt>
                <c:pt idx="158" formatCode="#,##0">
                  <c:v>521467.7321390768</c:v>
                </c:pt>
                <c:pt idx="159" formatCode="#,##0">
                  <c:v>621692.18700000003</c:v>
                </c:pt>
                <c:pt idx="160" formatCode="#,##0">
                  <c:v>561296.15311180393</c:v>
                </c:pt>
                <c:pt idx="161" formatCode="#,##0">
                  <c:v>550598.84299999999</c:v>
                </c:pt>
                <c:pt idx="162" formatCode="#,##0">
                  <c:v>618210.26399999997</c:v>
                </c:pt>
                <c:pt idx="163" formatCode="#,##0">
                  <c:v>660764.52433150006</c:v>
                </c:pt>
                <c:pt idx="164" formatCode="#,##0">
                  <c:v>605844.71405000007</c:v>
                </c:pt>
                <c:pt idx="165" formatCode="#,##0">
                  <c:v>440447.54547920002</c:v>
                </c:pt>
                <c:pt idx="166" formatCode="#,##0">
                  <c:v>380887.27089069999</c:v>
                </c:pt>
                <c:pt idx="167" formatCode="#,##0">
                  <c:v>423637.55723363772</c:v>
                </c:pt>
                <c:pt idx="168" formatCode="#,##0">
                  <c:v>468889.35321140004</c:v>
                </c:pt>
                <c:pt idx="169" formatCode="#,##0">
                  <c:v>477617.1026527689</c:v>
                </c:pt>
                <c:pt idx="170" formatCode="#,##0">
                  <c:v>483247.78607537842</c:v>
                </c:pt>
              </c:numCache>
            </c:numRef>
          </c:yVal>
          <c:smooth val="1"/>
          <c:extLst>
            <c:ext xmlns:c16="http://schemas.microsoft.com/office/drawing/2014/chart" uri="{C3380CC4-5D6E-409C-BE32-E72D297353CC}">
              <c16:uniqueId val="{00000000-EE99-48F8-BD58-B39547473A9D}"/>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Data'!$DK$63:$DK$233</c:f>
              <c:numCache>
                <c:formatCode>General</c:formatCode>
                <c:ptCount val="171"/>
                <c:pt idx="4" formatCode="0.0">
                  <c:v>11.641666666666669</c:v>
                </c:pt>
                <c:pt idx="8" formatCode="0.00">
                  <c:v>6.8580000000000005</c:v>
                </c:pt>
                <c:pt idx="9" formatCode="0.0">
                  <c:v>50.038000000000004</c:v>
                </c:pt>
                <c:pt idx="10" formatCode="0.0">
                  <c:v>40.131999999999998</c:v>
                </c:pt>
                <c:pt idx="11" formatCode="0.00">
                  <c:v>4.5720000000000001</c:v>
                </c:pt>
                <c:pt idx="12" formatCode="0">
                  <c:v>116.84</c:v>
                </c:pt>
                <c:pt idx="13" formatCode="0.0">
                  <c:v>40.64</c:v>
                </c:pt>
                <c:pt idx="14" formatCode="0">
                  <c:v>428.54880000000003</c:v>
                </c:pt>
                <c:pt idx="15" formatCode="0">
                  <c:v>166.72559999999999</c:v>
                </c:pt>
                <c:pt idx="16" formatCode="0">
                  <c:v>659.83104000000003</c:v>
                </c:pt>
                <c:pt idx="17" formatCode="0">
                  <c:v>670.86479999999995</c:v>
                </c:pt>
                <c:pt idx="18" formatCode="0">
                  <c:v>426.41519999999997</c:v>
                </c:pt>
                <c:pt idx="19" formatCode="0">
                  <c:v>737.3112000000001</c:v>
                </c:pt>
                <c:pt idx="20" formatCode="0">
                  <c:v>256.03199999999998</c:v>
                </c:pt>
                <c:pt idx="21" formatCode="0">
                  <c:v>221.89440000000002</c:v>
                </c:pt>
                <c:pt idx="22" formatCode="0">
                  <c:v>588.56880000000001</c:v>
                </c:pt>
                <c:pt idx="23" formatCode="#,##0">
                  <c:v>1306.83</c:v>
                </c:pt>
                <c:pt idx="24" formatCode="#,##0">
                  <c:v>1328.9280000000001</c:v>
                </c:pt>
                <c:pt idx="25" formatCode="#,##0">
                  <c:v>1206.6540387096775</c:v>
                </c:pt>
                <c:pt idx="26" formatCode="#,##0">
                  <c:v>3215.0304000000001</c:v>
                </c:pt>
                <c:pt idx="27" formatCode="#,##0">
                  <c:v>2205.2280000000001</c:v>
                </c:pt>
                <c:pt idx="28" formatCode="#,##0">
                  <c:v>1691.64</c:v>
                </c:pt>
                <c:pt idx="29" formatCode="0">
                  <c:v>938.14471910112354</c:v>
                </c:pt>
                <c:pt idx="30" formatCode="0">
                  <c:v>569.16320000000007</c:v>
                </c:pt>
                <c:pt idx="31" formatCode="0">
                  <c:v>728.87839999999994</c:v>
                </c:pt>
                <c:pt idx="32" formatCode="#,##0">
                  <c:v>369.11279999999999</c:v>
                </c:pt>
                <c:pt idx="33" formatCode="#,##0">
                  <c:v>440.94400000000007</c:v>
                </c:pt>
                <c:pt idx="34" formatCode="#,##0">
                  <c:v>3306.8711681688392</c:v>
                </c:pt>
                <c:pt idx="35" formatCode="#,##0">
                  <c:v>3807.4405521418444</c:v>
                </c:pt>
                <c:pt idx="36" formatCode="#,##0">
                  <c:v>11400.784751487497</c:v>
                </c:pt>
                <c:pt idx="37" formatCode="#,##0">
                  <c:v>25243.276034943232</c:v>
                </c:pt>
                <c:pt idx="38" formatCode="#,##0">
                  <c:v>29064.172898964858</c:v>
                </c:pt>
                <c:pt idx="39" formatCode="#,##0">
                  <c:v>34454.273483098623</c:v>
                </c:pt>
                <c:pt idx="40" formatCode="#,##0">
                  <c:v>70392.120085282673</c:v>
                </c:pt>
                <c:pt idx="41" formatCode="#,##0">
                  <c:v>70336.696741655134</c:v>
                </c:pt>
                <c:pt idx="42" formatCode="#,##0">
                  <c:v>86587.257863999999</c:v>
                </c:pt>
                <c:pt idx="43" formatCode="#,##0">
                  <c:v>55594.388876185141</c:v>
                </c:pt>
                <c:pt idx="44" formatCode="#,##0">
                  <c:v>57331.086556800001</c:v>
                </c:pt>
                <c:pt idx="45" formatCode="#,##0">
                  <c:v>91028.780604</c:v>
                </c:pt>
                <c:pt idx="46" formatCode="#,##0">
                  <c:v>106764.8941152</c:v>
                </c:pt>
                <c:pt idx="47" formatCode="#,##0">
                  <c:v>103805.7343744</c:v>
                </c:pt>
                <c:pt idx="48" formatCode="#,##0">
                  <c:v>192817.61182399999</c:v>
                </c:pt>
                <c:pt idx="49" formatCode="#,##0">
                  <c:v>169672.658368</c:v>
                </c:pt>
                <c:pt idx="50" formatCode="#,##0">
                  <c:v>150692.0024</c:v>
                </c:pt>
                <c:pt idx="51" formatCode="#,##0">
                  <c:v>136300.55747200001</c:v>
                </c:pt>
                <c:pt idx="52" formatCode="#,##0">
                  <c:v>140043.40800000002</c:v>
                </c:pt>
                <c:pt idx="53" formatCode="#,##0">
                  <c:v>185062.36799999999</c:v>
                </c:pt>
                <c:pt idx="54" formatCode="#,##0">
                  <c:v>192057.52800000002</c:v>
                </c:pt>
                <c:pt idx="55" formatCode="#,##0">
                  <c:v>167332.152</c:v>
                </c:pt>
                <c:pt idx="56" formatCode="#,##0">
                  <c:v>223439.228</c:v>
                </c:pt>
                <c:pt idx="57" formatCode="#,##0">
                  <c:v>199180.66336000001</c:v>
                </c:pt>
                <c:pt idx="58" formatCode="#,##0">
                  <c:v>188747.4</c:v>
                </c:pt>
                <c:pt idx="59" formatCode="#,##0">
                  <c:v>202559.58471999998</c:v>
                </c:pt>
                <c:pt idx="60" formatCode="#,##0">
                  <c:v>225271.27920000005</c:v>
                </c:pt>
                <c:pt idx="61" formatCode="#,##0">
                  <c:v>256327.47311999998</c:v>
                </c:pt>
                <c:pt idx="62" formatCode="#,##0">
                  <c:v>258698.79679999998</c:v>
                </c:pt>
                <c:pt idx="63" formatCode="#,##0">
                  <c:v>203232.63391999999</c:v>
                </c:pt>
                <c:pt idx="64" formatCode="#,##0">
                  <c:v>164793.32039999997</c:v>
                </c:pt>
                <c:pt idx="65" formatCode="#,##0">
                  <c:v>150366.55728000004</c:v>
                </c:pt>
                <c:pt idx="66" formatCode="#,##0">
                  <c:v>167538.90799999997</c:v>
                </c:pt>
                <c:pt idx="67" formatCode="#,##0">
                  <c:v>200449.82008</c:v>
                </c:pt>
                <c:pt idx="68" formatCode="#,##0">
                  <c:v>67251.793359999996</c:v>
                </c:pt>
                <c:pt idx="69" formatCode="#,##0">
                  <c:v>18652.418880000001</c:v>
                </c:pt>
                <c:pt idx="70" formatCode="#,##0">
                  <c:v>82302.532879999999</c:v>
                </c:pt>
                <c:pt idx="71" formatCode="#,##0">
                  <c:v>154088.28719999999</c:v>
                </c:pt>
                <c:pt idx="72" formatCode="#,##0">
                  <c:v>167663.64232000001</c:v>
                </c:pt>
                <c:pt idx="73" formatCode="#,##0">
                  <c:v>153291.86512</c:v>
                </c:pt>
                <c:pt idx="74" formatCode="#,##0">
                  <c:v>189566.42808000001</c:v>
                </c:pt>
                <c:pt idx="75" formatCode="#,##0">
                  <c:v>184304.50311999998</c:v>
                </c:pt>
                <c:pt idx="76" formatCode="#,##0">
                  <c:v>199329.74104000002</c:v>
                </c:pt>
                <c:pt idx="77" formatCode="#,##0">
                  <c:v>178201.32</c:v>
                </c:pt>
                <c:pt idx="78" formatCode="#,##0">
                  <c:v>194914.52</c:v>
                </c:pt>
                <c:pt idx="79" formatCode="#,##0">
                  <c:v>197358.46736000001</c:v>
                </c:pt>
                <c:pt idx="80" formatCode="#,##0">
                  <c:v>150814.02399999998</c:v>
                </c:pt>
                <c:pt idx="81" formatCode="#,##0">
                  <c:v>212515.704</c:v>
                </c:pt>
                <c:pt idx="82" formatCode="#,##0">
                  <c:v>224367.34400000001</c:v>
                </c:pt>
                <c:pt idx="83" formatCode="#,##0">
                  <c:v>231858.31200000001</c:v>
                </c:pt>
                <c:pt idx="84" formatCode="#,##0">
                  <c:v>224670.11199999999</c:v>
                </c:pt>
                <c:pt idx="85" formatCode="#,##0">
                  <c:v>233288.83999999997</c:v>
                </c:pt>
                <c:pt idx="86" formatCode="#,##0">
                  <c:v>248853.96</c:v>
                </c:pt>
                <c:pt idx="87" formatCode="#,##0">
                  <c:v>278307.80000000005</c:v>
                </c:pt>
                <c:pt idx="88" formatCode="#,##0">
                  <c:v>284499.304</c:v>
                </c:pt>
                <c:pt idx="89" formatCode="#,##0">
                  <c:v>293366.95199999999</c:v>
                </c:pt>
                <c:pt idx="90" formatCode="#,##0">
                  <c:v>295732.2</c:v>
                </c:pt>
                <c:pt idx="91" formatCode="#,##0">
                  <c:v>265884.152</c:v>
                </c:pt>
                <c:pt idx="92" formatCode="#,##0">
                  <c:v>208785.96800000002</c:v>
                </c:pt>
                <c:pt idx="93" formatCode="#,##0">
                  <c:v>191859.408</c:v>
                </c:pt>
                <c:pt idx="94" formatCode="#,##0">
                  <c:v>164931.34400000001</c:v>
                </c:pt>
                <c:pt idx="95" formatCode="#,##0">
                  <c:v>184285.128</c:v>
                </c:pt>
                <c:pt idx="96" formatCode="#,##0">
                  <c:v>196002.65600000002</c:v>
                </c:pt>
                <c:pt idx="97" formatCode="#,##0">
                  <c:v>213574.37600000002</c:v>
                </c:pt>
                <c:pt idx="98" formatCode="#,##0">
                  <c:v>215225.37599999999</c:v>
                </c:pt>
                <c:pt idx="99" formatCode="#,##0">
                  <c:v>229847.64799999999</c:v>
                </c:pt>
                <c:pt idx="100" formatCode="#,##0">
                  <c:v>216226.136</c:v>
                </c:pt>
                <c:pt idx="101" formatCode="#,##0">
                  <c:v>232909.872</c:v>
                </c:pt>
                <c:pt idx="102" formatCode="#,##0">
                  <c:v>274482.56</c:v>
                </c:pt>
                <c:pt idx="103" formatCode="#,##0">
                  <c:v>290199.06399999995</c:v>
                </c:pt>
                <c:pt idx="104" formatCode="#,##0">
                  <c:v>300677.27519999997</c:v>
                </c:pt>
                <c:pt idx="105" formatCode="#,##0">
                  <c:v>304273.712</c:v>
                </c:pt>
                <c:pt idx="106" formatCode="#,##0">
                  <c:v>339093.04800000001</c:v>
                </c:pt>
                <c:pt idx="107" formatCode="#,##0">
                  <c:v>333599.53599999996</c:v>
                </c:pt>
                <c:pt idx="108" formatCode="#,##0">
                  <c:v>321353.68800000008</c:v>
                </c:pt>
                <c:pt idx="109" formatCode="#,##0">
                  <c:v>313093.60800000001</c:v>
                </c:pt>
                <c:pt idx="110" formatCode="#,##0">
                  <c:v>273970.49599999998</c:v>
                </c:pt>
                <c:pt idx="111" formatCode="#,##0">
                  <c:v>376031.76000000007</c:v>
                </c:pt>
                <c:pt idx="112" formatCode="#,##0">
                  <c:v>416855.65599999996</c:v>
                </c:pt>
                <c:pt idx="113" formatCode="#,##0">
                  <c:v>380904.49600000004</c:v>
                </c:pt>
                <c:pt idx="114" formatCode="#,##0">
                  <c:v>367931.12800000003</c:v>
                </c:pt>
                <c:pt idx="115" formatCode="#,##0">
                  <c:v>370736.01600000006</c:v>
                </c:pt>
                <c:pt idx="116" formatCode="#,##0">
                  <c:v>381766.94399999996</c:v>
                </c:pt>
                <c:pt idx="117" formatCode="#,##0">
                  <c:v>388773.89600000007</c:v>
                </c:pt>
                <c:pt idx="118" formatCode="#,##0">
                  <c:v>452039.19999999995</c:v>
                </c:pt>
                <c:pt idx="119" formatCode="#,##0">
                  <c:v>456744</c:v>
                </c:pt>
                <c:pt idx="120" formatCode="#,##0">
                  <c:v>403554</c:v>
                </c:pt>
                <c:pt idx="121" formatCode="#,##0">
                  <c:v>396001</c:v>
                </c:pt>
                <c:pt idx="122" formatCode="#,##0">
                  <c:v>402796</c:v>
                </c:pt>
                <c:pt idx="123" formatCode="#,##0">
                  <c:v>375304</c:v>
                </c:pt>
                <c:pt idx="124" formatCode="#,##0">
                  <c:v>407801</c:v>
                </c:pt>
                <c:pt idx="125" formatCode="#,##0">
                  <c:v>397403</c:v>
                </c:pt>
                <c:pt idx="126" formatCode="#,##0">
                  <c:v>432204</c:v>
                </c:pt>
                <c:pt idx="127" formatCode="#,##0">
                  <c:v>400291</c:v>
                </c:pt>
                <c:pt idx="128" formatCode="#,##0">
                  <c:v>421581</c:v>
                </c:pt>
                <c:pt idx="129" formatCode="#,##0">
                  <c:v>397491</c:v>
                </c:pt>
                <c:pt idx="130" formatCode="#,##0">
                  <c:v>388122</c:v>
                </c:pt>
                <c:pt idx="131" formatCode="#,##0">
                  <c:v>455338</c:v>
                </c:pt>
                <c:pt idx="132" formatCode="#,##0">
                  <c:v>480626</c:v>
                </c:pt>
                <c:pt idx="133" formatCode="#,##0">
                  <c:v>440620</c:v>
                </c:pt>
                <c:pt idx="134" formatCode="#,##0">
                  <c:v>497969</c:v>
                </c:pt>
                <c:pt idx="135" formatCode="#,##0">
                  <c:v>447673</c:v>
                </c:pt>
                <c:pt idx="136" formatCode="#,##0">
                  <c:v>489150</c:v>
                </c:pt>
                <c:pt idx="137" formatCode="#,##0">
                  <c:v>472065</c:v>
                </c:pt>
                <c:pt idx="138" formatCode="#,##0">
                  <c:v>493597</c:v>
                </c:pt>
                <c:pt idx="139" formatCode="#,##0">
                  <c:v>578305</c:v>
                </c:pt>
                <c:pt idx="140" formatCode="#,##0">
                  <c:v>576421</c:v>
                </c:pt>
                <c:pt idx="141" formatCode="#,##0">
                  <c:v>585966.63450000004</c:v>
                </c:pt>
                <c:pt idx="142" formatCode="#,##0">
                  <c:v>540350.49600000004</c:v>
                </c:pt>
                <c:pt idx="143" formatCode="#,##0">
                  <c:v>511962.72100000002</c:v>
                </c:pt>
                <c:pt idx="144" formatCode="#,##0">
                  <c:v>465003.64879999997</c:v>
                </c:pt>
                <c:pt idx="145" formatCode="#,##0">
                  <c:v>527052.2156</c:v>
                </c:pt>
                <c:pt idx="146" formatCode="#,##0">
                  <c:v>529892.71</c:v>
                </c:pt>
                <c:pt idx="147" formatCode="#,##0">
                  <c:v>619686.28559999994</c:v>
                </c:pt>
                <c:pt idx="148" formatCode="#,##0">
                  <c:v>676849</c:v>
                </c:pt>
                <c:pt idx="149" formatCode="#,##0">
                  <c:v>699352.3</c:v>
                </c:pt>
                <c:pt idx="150" formatCode="#,##0">
                  <c:v>759104.35</c:v>
                </c:pt>
                <c:pt idx="151" formatCode="#,##0">
                  <c:v>693852</c:v>
                </c:pt>
                <c:pt idx="152" formatCode="#,##0">
                  <c:v>687736</c:v>
                </c:pt>
                <c:pt idx="153" formatCode="#,##0">
                  <c:v>673587</c:v>
                </c:pt>
                <c:pt idx="154" formatCode="#,##0">
                  <c:v>766215</c:v>
                </c:pt>
                <c:pt idx="155" formatCode="#,##0">
                  <c:v>668023</c:v>
                </c:pt>
                <c:pt idx="156" formatCode="#,##0">
                  <c:v>640648</c:v>
                </c:pt>
                <c:pt idx="157" formatCode="#,##0">
                  <c:v>649824</c:v>
                </c:pt>
                <c:pt idx="158" formatCode="#,##0">
                  <c:v>567007.03936652944</c:v>
                </c:pt>
                <c:pt idx="159" formatCode="#,##0">
                  <c:v>711366.40190587624</c:v>
                </c:pt>
                <c:pt idx="160" formatCode="#,##0">
                  <c:v>621486.70150535507</c:v>
                </c:pt>
                <c:pt idx="161" formatCode="#,##0">
                  <c:v>620598.05263044243</c:v>
                </c:pt>
                <c:pt idx="162" formatCode="#,##0">
                  <c:v>711209.94463537156</c:v>
                </c:pt>
                <c:pt idx="163" formatCode="#,##0">
                  <c:v>727953.87206077087</c:v>
                </c:pt>
                <c:pt idx="164" formatCode="#,##0">
                  <c:v>653488.36972626369</c:v>
                </c:pt>
                <c:pt idx="165" formatCode="#,##0">
                  <c:v>441338</c:v>
                </c:pt>
                <c:pt idx="166" formatCode="#,##0">
                  <c:v>395189.97225670412</c:v>
                </c:pt>
                <c:pt idx="167" formatCode="#,##0">
                  <c:v>446571</c:v>
                </c:pt>
                <c:pt idx="168" formatCode="#,##0">
                  <c:v>500985.30335</c:v>
                </c:pt>
                <c:pt idx="169" formatCode="#,##0">
                  <c:v>494270.61760821467</c:v>
                </c:pt>
                <c:pt idx="170" formatCode="#,##0">
                  <c:v>487563.24652588001</c:v>
                </c:pt>
              </c:numCache>
            </c:numRef>
          </c:yVal>
          <c:smooth val="1"/>
          <c:extLst>
            <c:ext xmlns:c16="http://schemas.microsoft.com/office/drawing/2014/chart" uri="{C3380CC4-5D6E-409C-BE32-E72D297353CC}">
              <c16:uniqueId val="{00000001-EE99-48F8-BD58-B39547473A9D}"/>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800000"/>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inorUnit val="50000"/>
        <c:dispUnits>
          <c:builtInUnit val="thousands"/>
        </c:dispUnits>
      </c:valAx>
      <c:valAx>
        <c:axId val="1291331152"/>
        <c:scaling>
          <c:orientation val="minMax"/>
          <c:max val="800000"/>
          <c:min val="0"/>
        </c:scaling>
        <c:delete val="0"/>
        <c:axPos val="r"/>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100000"/>
        <c:minorUnit val="50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7.8689523206431591E-2"/>
          <c:y val="0.14875686022883491"/>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Zinc Production: Reported vs Calculated (kt Zn/year)</a:t>
            </a:r>
          </a:p>
        </c:rich>
      </c:tx>
      <c:layout>
        <c:manualLayout>
          <c:xMode val="edge"/>
          <c:yMode val="edge"/>
          <c:x val="0.10583417364729528"/>
          <c:y val="4.1842968610360416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9078970010255827E-2"/>
          <c:y val="2.3013632735698231E-2"/>
          <c:w val="0.85091511050845592"/>
          <c:h val="0.89733119286231444"/>
        </c:manualLayout>
      </c:layout>
      <c:scatterChart>
        <c:scatterStyle val="smoothMarker"/>
        <c:varyColors val="0"/>
        <c:ser>
          <c:idx val="1"/>
          <c:order val="0"/>
          <c:tx>
            <c:v>Calculated</c:v>
          </c:tx>
          <c:spPr>
            <a:ln w="25400" cap="rnd">
              <a:solidFill>
                <a:srgbClr val="FF0000"/>
              </a:solidFill>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Data'!$DX$63:$DX$233</c:f>
              <c:numCache>
                <c:formatCode>General</c:formatCode>
                <c:ptCount val="171"/>
                <c:pt idx="46" formatCode="#,##0">
                  <c:v>10328.656000000001</c:v>
                </c:pt>
                <c:pt idx="47" formatCode="#,##0">
                  <c:v>6198.3776464000002</c:v>
                </c:pt>
                <c:pt idx="48" formatCode="#,##0">
                  <c:v>48042.576000000001</c:v>
                </c:pt>
                <c:pt idx="49" formatCode="#,##0">
                  <c:v>35519.360000000001</c:v>
                </c:pt>
                <c:pt idx="50" formatCode="#,##0">
                  <c:v>37518.847999999998</c:v>
                </c:pt>
                <c:pt idx="51" formatCode="#,##0">
                  <c:v>29902.912</c:v>
                </c:pt>
                <c:pt idx="52" formatCode="#,##0">
                  <c:v>36062.92</c:v>
                </c:pt>
                <c:pt idx="53" formatCode="#,##0">
                  <c:v>22393.655999999999</c:v>
                </c:pt>
                <c:pt idx="54" formatCode="#,##0">
                  <c:v>42075.608</c:v>
                </c:pt>
                <c:pt idx="55" formatCode="#,##0">
                  <c:v>41723.056000000004</c:v>
                </c:pt>
                <c:pt idx="56" formatCode="#,##0">
                  <c:v>96012</c:v>
                </c:pt>
                <c:pt idx="57" formatCode="#,##0">
                  <c:v>112138.96800000001</c:v>
                </c:pt>
                <c:pt idx="58" formatCode="#,##0">
                  <c:v>151954.992</c:v>
                </c:pt>
                <c:pt idx="59" formatCode="#,##0">
                  <c:v>209183.22400000002</c:v>
                </c:pt>
                <c:pt idx="60" formatCode="#,##0">
                  <c:v>241396.52</c:v>
                </c:pt>
                <c:pt idx="61" formatCode="#,##0">
                  <c:v>232280.96799999999</c:v>
                </c:pt>
                <c:pt idx="62" formatCode="#,##0">
                  <c:v>221748.90798719999</c:v>
                </c:pt>
                <c:pt idx="63" formatCode="#,##0">
                  <c:v>168386.76</c:v>
                </c:pt>
                <c:pt idx="64" formatCode="#,##0">
                  <c:v>133600.95199999999</c:v>
                </c:pt>
                <c:pt idx="65" formatCode="#,##0">
                  <c:v>120582.944</c:v>
                </c:pt>
                <c:pt idx="66" formatCode="#,##0">
                  <c:v>160103.31200000001</c:v>
                </c:pt>
                <c:pt idx="67" formatCode="#,##0">
                  <c:v>184652.92</c:v>
                </c:pt>
                <c:pt idx="68" formatCode="#,##0">
                  <c:v>66383.19057703999</c:v>
                </c:pt>
                <c:pt idx="69" formatCode="#,##0">
                  <c:v>10237.216</c:v>
                </c:pt>
                <c:pt idx="70" formatCode="#,##0">
                  <c:v>141691.35999999999</c:v>
                </c:pt>
                <c:pt idx="71" formatCode="#,##0">
                  <c:v>198661.52799999999</c:v>
                </c:pt>
                <c:pt idx="72" formatCode="#,##0">
                  <c:v>145505.424</c:v>
                </c:pt>
                <c:pt idx="73" formatCode="#,##0">
                  <c:v>109950.504</c:v>
                </c:pt>
                <c:pt idx="74" formatCode="#,##0">
                  <c:v>141384.56538879999</c:v>
                </c:pt>
                <c:pt idx="75" formatCode="#,##0">
                  <c:v>151440.71149440002</c:v>
                </c:pt>
                <c:pt idx="76" formatCode="#,##0">
                  <c:v>171614.75456</c:v>
                </c:pt>
                <c:pt idx="77" formatCode="#,##0">
                  <c:v>146292.2989312</c:v>
                </c:pt>
                <c:pt idx="78" formatCode="#,##0">
                  <c:v>153391.99395200002</c:v>
                </c:pt>
                <c:pt idx="79" formatCode="#,##0">
                  <c:v>126007.49235840001</c:v>
                </c:pt>
                <c:pt idx="80" formatCode="#,##0">
                  <c:v>76781.964800000002</c:v>
                </c:pt>
                <c:pt idx="81" formatCode="#,##0">
                  <c:v>117522.75200000001</c:v>
                </c:pt>
                <c:pt idx="82" formatCode="#,##0">
                  <c:v>125682.24800000001</c:v>
                </c:pt>
                <c:pt idx="83" formatCode="#,##0">
                  <c:v>139049.76</c:v>
                </c:pt>
                <c:pt idx="84" formatCode="#,##0">
                  <c:v>148440.64800000002</c:v>
                </c:pt>
                <c:pt idx="85" formatCode="#,##0">
                  <c:v>182093.77600000001</c:v>
                </c:pt>
                <c:pt idx="86" formatCode="#,##0">
                  <c:v>201475.94959999999</c:v>
                </c:pt>
                <c:pt idx="87" formatCode="#,##0">
                  <c:v>217191.33600000001</c:v>
                </c:pt>
                <c:pt idx="88" formatCode="#,##0">
                  <c:v>214198.79943999997</c:v>
                </c:pt>
                <c:pt idx="89" formatCode="#,##0">
                  <c:v>239969.08064</c:v>
                </c:pt>
                <c:pt idx="90" formatCode="#,##0">
                  <c:v>244963.62488000002</c:v>
                </c:pt>
                <c:pt idx="91" formatCode="#,##0">
                  <c:v>217146.06304000001</c:v>
                </c:pt>
                <c:pt idx="92" formatCode="#,##0">
                  <c:v>178711.19959999999</c:v>
                </c:pt>
                <c:pt idx="93" formatCode="#,##0">
                  <c:v>170897.44839999999</c:v>
                </c:pt>
                <c:pt idx="94" formatCode="#,##0">
                  <c:v>148405.43344000002</c:v>
                </c:pt>
                <c:pt idx="95" formatCode="#,##0">
                  <c:v>168102.80733041599</c:v>
                </c:pt>
                <c:pt idx="96" formatCode="#,##0">
                  <c:v>178698.55367050401</c:v>
                </c:pt>
                <c:pt idx="97" formatCode="#,##0">
                  <c:v>187757.01626169597</c:v>
                </c:pt>
                <c:pt idx="98" formatCode="#,##0">
                  <c:v>188576.86471955231</c:v>
                </c:pt>
                <c:pt idx="99" formatCode="#,##0">
                  <c:v>208723.24015999999</c:v>
                </c:pt>
                <c:pt idx="100" formatCode="#,##0">
                  <c:v>199762.35478446184</c:v>
                </c:pt>
                <c:pt idx="101" formatCode="#,##0">
                  <c:v>207957.67490228248</c:v>
                </c:pt>
                <c:pt idx="102" formatCode="#,##0">
                  <c:v>250553.06760000001</c:v>
                </c:pt>
                <c:pt idx="103" formatCode="#,##0">
                  <c:v>266659.29143999994</c:v>
                </c:pt>
                <c:pt idx="104" formatCode="#,##0">
                  <c:v>271058.07104000001</c:v>
                </c:pt>
                <c:pt idx="105" formatCode="#,##0">
                  <c:v>290314.21744000004</c:v>
                </c:pt>
                <c:pt idx="106" formatCode="#,##0">
                  <c:v>305198.67839999998</c:v>
                </c:pt>
                <c:pt idx="107" formatCode="#,##0">
                  <c:v>276444.51695999998</c:v>
                </c:pt>
                <c:pt idx="108" formatCode="#,##0">
                  <c:v>261375.144</c:v>
                </c:pt>
                <c:pt idx="109" formatCode="#,##0">
                  <c:v>303877.47200000001</c:v>
                </c:pt>
                <c:pt idx="110" formatCode="#,##0">
                  <c:v>306230.52799999999</c:v>
                </c:pt>
                <c:pt idx="111" formatCode="#,##0">
                  <c:v>321483.73599999998</c:v>
                </c:pt>
                <c:pt idx="112" formatCode="#,##0">
                  <c:v>334788.25599999999</c:v>
                </c:pt>
                <c:pt idx="113" formatCode="#,##0">
                  <c:v>328326.57727999997</c:v>
                </c:pt>
                <c:pt idx="114" formatCode="#,##0">
                  <c:v>337484.88256</c:v>
                </c:pt>
                <c:pt idx="115" formatCode="#,##0">
                  <c:v>362689.75976000004</c:v>
                </c:pt>
                <c:pt idx="116" formatCode="#,##0">
                  <c:v>381685.4</c:v>
                </c:pt>
                <c:pt idx="117" formatCode="#,##0">
                  <c:v>387601.31199999998</c:v>
                </c:pt>
                <c:pt idx="118" formatCode="#,##0">
                  <c:v>473858.70395999996</c:v>
                </c:pt>
                <c:pt idx="119" formatCode="#,##0">
                  <c:v>426428.43599999999</c:v>
                </c:pt>
                <c:pt idx="120" formatCode="#,##0">
                  <c:v>443458.6</c:v>
                </c:pt>
                <c:pt idx="121" formatCode="#,##0">
                  <c:v>469803.09600000002</c:v>
                </c:pt>
                <c:pt idx="122" formatCode="#,##0">
                  <c:v>476201.16</c:v>
                </c:pt>
                <c:pt idx="123" formatCode="#,##0">
                  <c:v>433806.63949999999</c:v>
                </c:pt>
                <c:pt idx="124" formatCode="#,##0">
                  <c:v>476691.348</c:v>
                </c:pt>
                <c:pt idx="125" formatCode="#,##0">
                  <c:v>437017.46749999997</c:v>
                </c:pt>
                <c:pt idx="126" formatCode="#,##0">
                  <c:v>457508.86900000001</c:v>
                </c:pt>
                <c:pt idx="127" formatCode="#,##0">
                  <c:v>457570.60249999998</c:v>
                </c:pt>
                <c:pt idx="128" formatCode="#,##0">
                  <c:v>520297.99599999998</c:v>
                </c:pt>
                <c:pt idx="129" formatCode="#,##0">
                  <c:v>496109.04200000002</c:v>
                </c:pt>
                <c:pt idx="130" formatCode="#,##0">
                  <c:v>528912.8003</c:v>
                </c:pt>
                <c:pt idx="131" formatCode="#,##0">
                  <c:v>669902.84273000003</c:v>
                </c:pt>
                <c:pt idx="132" formatCode="#,##0">
                  <c:v>704237.54827999999</c:v>
                </c:pt>
                <c:pt idx="133" formatCode="#,##0">
                  <c:v>684493.44590000005</c:v>
                </c:pt>
                <c:pt idx="134" formatCode="#,##0">
                  <c:v>769291.90299999993</c:v>
                </c:pt>
                <c:pt idx="135" formatCode="#,##0">
                  <c:v>719916.31400000001</c:v>
                </c:pt>
                <c:pt idx="136" formatCode="#,##0">
                  <c:v>744846.77</c:v>
                </c:pt>
                <c:pt idx="137" formatCode="#,##0">
                  <c:v>650805.5</c:v>
                </c:pt>
                <c:pt idx="138" formatCode="#,##0">
                  <c:v>792188.32400000002</c:v>
                </c:pt>
                <c:pt idx="139" formatCode="#,##0">
                  <c:v>877439.83700000017</c:v>
                </c:pt>
                <c:pt idx="140" formatCode="#,##0">
                  <c:v>990136.49056799989</c:v>
                </c:pt>
                <c:pt idx="141" formatCode="#,##0">
                  <c:v>952710.05856000003</c:v>
                </c:pt>
                <c:pt idx="142" formatCode="#,##0">
                  <c:v>951362.84561200009</c:v>
                </c:pt>
                <c:pt idx="143" formatCode="#,##0">
                  <c:v>978586.74938000005</c:v>
                </c:pt>
                <c:pt idx="144" formatCode="#,##0">
                  <c:v>898084.35938000004</c:v>
                </c:pt>
                <c:pt idx="145" formatCode="#,##0">
                  <c:v>1042683.3761428572</c:v>
                </c:pt>
                <c:pt idx="146" formatCode="#,##0">
                  <c:v>984683.73028571438</c:v>
                </c:pt>
                <c:pt idx="147" formatCode="#,##0">
                  <c:v>1008670.0518428572</c:v>
                </c:pt>
                <c:pt idx="148" formatCode="#,##0">
                  <c:v>1087023.452857143</c:v>
                </c:pt>
                <c:pt idx="149" formatCode="#,##0">
                  <c:v>1291460.885</c:v>
                </c:pt>
                <c:pt idx="150" formatCode="#,##0">
                  <c:v>1487164.22</c:v>
                </c:pt>
                <c:pt idx="151" formatCode="#,##0">
                  <c:v>1429663.5319047619</c:v>
                </c:pt>
                <c:pt idx="152" formatCode="#,##0">
                  <c:v>1449257.4807142855</c:v>
                </c:pt>
                <c:pt idx="153" formatCode="#,##0">
                  <c:v>1316099.8616780045</c:v>
                </c:pt>
                <c:pt idx="154" formatCode="#,##0">
                  <c:v>1338966</c:v>
                </c:pt>
                <c:pt idx="155" formatCode="#,##0">
                  <c:v>1331691.317</c:v>
                </c:pt>
                <c:pt idx="156" formatCode="#,##0">
                  <c:v>1475264.1334000002</c:v>
                </c:pt>
                <c:pt idx="157" formatCode="#,##0">
                  <c:v>1441101.2070000002</c:v>
                </c:pt>
                <c:pt idx="158" formatCode="#,##0">
                  <c:v>1268137.6889371786</c:v>
                </c:pt>
                <c:pt idx="159" formatCode="#,##0">
                  <c:v>1447843.1059999999</c:v>
                </c:pt>
                <c:pt idx="160" formatCode="#,##0">
                  <c:v>1471947.8235547151</c:v>
                </c:pt>
                <c:pt idx="161" formatCode="#,##0">
                  <c:v>1469666.702</c:v>
                </c:pt>
                <c:pt idx="162" formatCode="#,##0">
                  <c:v>1425869.689</c:v>
                </c:pt>
                <c:pt idx="163" formatCode="#,##0">
                  <c:v>1465388.1814583999</c:v>
                </c:pt>
                <c:pt idx="164" formatCode="#,##0">
                  <c:v>1554452.8480799999</c:v>
                </c:pt>
                <c:pt idx="165" formatCode="#,##0">
                  <c:v>826447.2030789</c:v>
                </c:pt>
                <c:pt idx="166" formatCode="#,##0">
                  <c:v>745060.37554199994</c:v>
                </c:pt>
                <c:pt idx="167" formatCode="#,##0">
                  <c:v>999155.41789583396</c:v>
                </c:pt>
                <c:pt idx="168" formatCode="#,##0">
                  <c:v>1169806.8503027</c:v>
                </c:pt>
                <c:pt idx="169" formatCode="#,##0">
                  <c:v>1251553.633595</c:v>
                </c:pt>
                <c:pt idx="170" formatCode="#,##0">
                  <c:v>1227163.9620000001</c:v>
                </c:pt>
              </c:numCache>
            </c:numRef>
          </c:yVal>
          <c:smooth val="1"/>
          <c:extLst>
            <c:ext xmlns:c16="http://schemas.microsoft.com/office/drawing/2014/chart" uri="{C3380CC4-5D6E-409C-BE32-E72D297353CC}">
              <c16:uniqueId val="{00000000-328E-4D4D-9DFA-C81F7933B07B}"/>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Data'!$DV$63:$DV$233</c:f>
              <c:numCache>
                <c:formatCode>General</c:formatCode>
                <c:ptCount val="171"/>
                <c:pt idx="38" formatCode="0">
                  <c:v>530.35199999999998</c:v>
                </c:pt>
                <c:pt idx="39" formatCode="0.0">
                  <c:v>92.455999999999989</c:v>
                </c:pt>
                <c:pt idx="40" formatCode="0.0">
                  <c:v>102.616</c:v>
                </c:pt>
                <c:pt idx="41" formatCode="0.0">
                  <c:v>212.34399999999999</c:v>
                </c:pt>
                <c:pt idx="42" formatCode="0.0">
                  <c:v>74.168000000000006</c:v>
                </c:pt>
                <c:pt idx="43" formatCode="0.0">
                  <c:v>45.72</c:v>
                </c:pt>
                <c:pt idx="44" formatCode="0.0">
                  <c:v>26.416</c:v>
                </c:pt>
                <c:pt idx="45" formatCode="0.0">
                  <c:v>35.56</c:v>
                </c:pt>
                <c:pt idx="46" formatCode="#,##0">
                  <c:v>10339.832</c:v>
                </c:pt>
                <c:pt idx="47" formatCode="#,##0">
                  <c:v>13963.904</c:v>
                </c:pt>
                <c:pt idx="48" formatCode="#,##0">
                  <c:v>17882.616000000002</c:v>
                </c:pt>
                <c:pt idx="49" formatCode="#,##0">
                  <c:v>7258.3040000000001</c:v>
                </c:pt>
                <c:pt idx="50" formatCode="0">
                  <c:v>226.56800000000001</c:v>
                </c:pt>
                <c:pt idx="51" formatCode="0.0">
                  <c:v>19.304000000000002</c:v>
                </c:pt>
                <c:pt idx="52" formatCode="#,##0">
                  <c:v>7363.9679999999998</c:v>
                </c:pt>
                <c:pt idx="53" formatCode="#,##0">
                  <c:v>22393.655999999999</c:v>
                </c:pt>
                <c:pt idx="54" formatCode="#,##0">
                  <c:v>42075.608</c:v>
                </c:pt>
                <c:pt idx="55" formatCode="#,##0">
                  <c:v>41723.056000000004</c:v>
                </c:pt>
                <c:pt idx="56" formatCode="#,##0">
                  <c:v>96012</c:v>
                </c:pt>
                <c:pt idx="57" formatCode="#,##0">
                  <c:v>112138.96800000001</c:v>
                </c:pt>
                <c:pt idx="58" formatCode="#,##0">
                  <c:v>151958.04</c:v>
                </c:pt>
                <c:pt idx="59" formatCode="#,##0">
                  <c:v>209223.864</c:v>
                </c:pt>
                <c:pt idx="60" formatCode="#,##0">
                  <c:v>241880.136</c:v>
                </c:pt>
                <c:pt idx="61" formatCode="#,##0">
                  <c:v>232722.92800000001</c:v>
                </c:pt>
                <c:pt idx="62" formatCode="#,##0">
                  <c:v>219627.704</c:v>
                </c:pt>
                <c:pt idx="63" formatCode="#,##0">
                  <c:v>168386.76</c:v>
                </c:pt>
                <c:pt idx="64" formatCode="#,##0">
                  <c:v>133600.95199999999</c:v>
                </c:pt>
                <c:pt idx="65" formatCode="#,##0">
                  <c:v>120582.944</c:v>
                </c:pt>
                <c:pt idx="66" formatCode="#,##0">
                  <c:v>160103.31200000001</c:v>
                </c:pt>
                <c:pt idx="67" formatCode="#,##0">
                  <c:v>184652.92</c:v>
                </c:pt>
                <c:pt idx="68" formatCode="#,##0">
                  <c:v>66387.471999999994</c:v>
                </c:pt>
                <c:pt idx="69" formatCode="#,##0">
                  <c:v>10246.36</c:v>
                </c:pt>
                <c:pt idx="70" formatCode="#,##0">
                  <c:v>141691.35999999999</c:v>
                </c:pt>
                <c:pt idx="71" formatCode="#,##0">
                  <c:v>198661.52799999999</c:v>
                </c:pt>
                <c:pt idx="72" formatCode="#,##0">
                  <c:v>145505.424</c:v>
                </c:pt>
                <c:pt idx="73" formatCode="#,##0">
                  <c:v>112873.53599999999</c:v>
                </c:pt>
                <c:pt idx="74" formatCode="#,##0">
                  <c:v>144340.07199999999</c:v>
                </c:pt>
                <c:pt idx="75" formatCode="#,##0">
                  <c:v>151438.86400000003</c:v>
                </c:pt>
                <c:pt idx="76" formatCode="#,##0">
                  <c:v>172523.91200000001</c:v>
                </c:pt>
                <c:pt idx="77" formatCode="#,##0">
                  <c:v>149148.79999999999</c:v>
                </c:pt>
                <c:pt idx="78" formatCode="#,##0">
                  <c:v>155475.432</c:v>
                </c:pt>
                <c:pt idx="79" formatCode="#,##0">
                  <c:v>122484.89600000001</c:v>
                </c:pt>
                <c:pt idx="80" formatCode="#,##0">
                  <c:v>75399.392000000007</c:v>
                </c:pt>
                <c:pt idx="81" formatCode="#,##0">
                  <c:v>117522.75200000001</c:v>
                </c:pt>
                <c:pt idx="82" formatCode="#,##0">
                  <c:v>125682.24800000001</c:v>
                </c:pt>
                <c:pt idx="83" formatCode="#,##0">
                  <c:v>138948.16</c:v>
                </c:pt>
                <c:pt idx="84" formatCode="#,##0">
                  <c:v>148440.64800000002</c:v>
                </c:pt>
                <c:pt idx="85" formatCode="#,##0">
                  <c:v>193426.08</c:v>
                </c:pt>
                <c:pt idx="86" formatCode="#,##0">
                  <c:v>206988.66400000002</c:v>
                </c:pt>
                <c:pt idx="87" formatCode="#,##0">
                  <c:v>223579.94400000002</c:v>
                </c:pt>
                <c:pt idx="88" formatCode="#,##0">
                  <c:v>220299.28</c:v>
                </c:pt>
                <c:pt idx="89" formatCode="#,##0">
                  <c:v>246142.25600000002</c:v>
                </c:pt>
                <c:pt idx="90" formatCode="#,##0">
                  <c:v>251184.66399999999</c:v>
                </c:pt>
                <c:pt idx="91" formatCode="#,##0">
                  <c:v>224145.85600000003</c:v>
                </c:pt>
                <c:pt idx="92" formatCode="#,##0">
                  <c:v>184144.91999999998</c:v>
                </c:pt>
                <c:pt idx="93" formatCode="#,##0">
                  <c:v>176469.03999999998</c:v>
                </c:pt>
                <c:pt idx="94" formatCode="#,##0">
                  <c:v>152718.008</c:v>
                </c:pt>
                <c:pt idx="95" formatCode="#,##0">
                  <c:v>174754.03200000001</c:v>
                </c:pt>
                <c:pt idx="96" formatCode="#,##0">
                  <c:v>185435.24</c:v>
                </c:pt>
                <c:pt idx="97" formatCode="#,##0">
                  <c:v>193751.2</c:v>
                </c:pt>
                <c:pt idx="98" formatCode="#,##0">
                  <c:v>194669.66399999999</c:v>
                </c:pt>
                <c:pt idx="99" formatCode="#,##0">
                  <c:v>226220.52799999999</c:v>
                </c:pt>
                <c:pt idx="100" formatCode="#,##0">
                  <c:v>214649.304</c:v>
                </c:pt>
                <c:pt idx="101" formatCode="#,##0">
                  <c:v>222844.36</c:v>
                </c:pt>
                <c:pt idx="102" formatCode="#,##0">
                  <c:v>264572.49599999998</c:v>
                </c:pt>
                <c:pt idx="103" formatCode="#,##0">
                  <c:v>283348.17599999998</c:v>
                </c:pt>
                <c:pt idx="104" formatCode="#,##0">
                  <c:v>287039.304</c:v>
                </c:pt>
                <c:pt idx="105" formatCode="#,##0">
                  <c:v>308499.25599999999</c:v>
                </c:pt>
                <c:pt idx="106" formatCode="#,##0">
                  <c:v>323953.63200000004</c:v>
                </c:pt>
                <c:pt idx="107" formatCode="#,##0">
                  <c:v>298407.32800000004</c:v>
                </c:pt>
                <c:pt idx="108" formatCode="#,##0">
                  <c:v>279817.576</c:v>
                </c:pt>
                <c:pt idx="109" formatCode="#,##0">
                  <c:v>322568.82400000002</c:v>
                </c:pt>
                <c:pt idx="110" formatCode="#,##0">
                  <c:v>316135.51199999999</c:v>
                </c:pt>
                <c:pt idx="111" formatCode="#,##0">
                  <c:v>342932.51199999999</c:v>
                </c:pt>
                <c:pt idx="112" formatCode="#,##0">
                  <c:v>357093.52</c:v>
                </c:pt>
                <c:pt idx="113" formatCode="#,##0">
                  <c:v>350113.60000000003</c:v>
                </c:pt>
                <c:pt idx="114" formatCode="#,##0">
                  <c:v>354818.696</c:v>
                </c:pt>
                <c:pt idx="115" formatCode="#,##0">
                  <c:v>375524.77599999995</c:v>
                </c:pt>
                <c:pt idx="116" formatCode="#,##0">
                  <c:v>407801.06399999995</c:v>
                </c:pt>
                <c:pt idx="117" formatCode="#,##0">
                  <c:v>424609.7680000001</c:v>
                </c:pt>
                <c:pt idx="118" formatCode="#,##0">
                  <c:v>516610.43199999997</c:v>
                </c:pt>
                <c:pt idx="119" formatCode="#,##0">
                  <c:v>487548</c:v>
                </c:pt>
                <c:pt idx="120" formatCode="#,##0">
                  <c:v>452668</c:v>
                </c:pt>
                <c:pt idx="121" formatCode="#,##0">
                  <c:v>507055</c:v>
                </c:pt>
                <c:pt idx="122" formatCode="#,##0">
                  <c:v>480582</c:v>
                </c:pt>
                <c:pt idx="123" formatCode="#,##0">
                  <c:v>473445</c:v>
                </c:pt>
                <c:pt idx="124" formatCode="#,##0">
                  <c:v>522725</c:v>
                </c:pt>
                <c:pt idx="125" formatCode="#,##0">
                  <c:v>479446</c:v>
                </c:pt>
                <c:pt idx="126" formatCode="#,##0">
                  <c:v>491608</c:v>
                </c:pt>
                <c:pt idx="127" formatCode="#,##0">
                  <c:v>477466</c:v>
                </c:pt>
                <c:pt idx="128" formatCode="#,##0">
                  <c:v>529157</c:v>
                </c:pt>
                <c:pt idx="129" formatCode="#,##0">
                  <c:v>495312</c:v>
                </c:pt>
                <c:pt idx="130" formatCode="#,##0">
                  <c:v>513888.21600000001</c:v>
                </c:pt>
                <c:pt idx="131" formatCode="#,##0">
                  <c:v>686140.91200000001</c:v>
                </c:pt>
                <c:pt idx="132" formatCode="#,##0">
                  <c:v>686223.35999999999</c:v>
                </c:pt>
                <c:pt idx="133" formatCode="#,##0">
                  <c:v>709505</c:v>
                </c:pt>
                <c:pt idx="134" formatCode="#,##0">
                  <c:v>806392</c:v>
                </c:pt>
                <c:pt idx="135" formatCode="#,##0">
                  <c:v>773551</c:v>
                </c:pt>
                <c:pt idx="136" formatCode="#,##0">
                  <c:v>804621</c:v>
                </c:pt>
                <c:pt idx="137" formatCode="#,##0">
                  <c:v>787222</c:v>
                </c:pt>
                <c:pt idx="138" formatCode="#,##0">
                  <c:v>829483</c:v>
                </c:pt>
                <c:pt idx="139" formatCode="#,##0">
                  <c:v>934279.6</c:v>
                </c:pt>
                <c:pt idx="140" formatCode="#,##0">
                  <c:v>1012320.2</c:v>
                </c:pt>
                <c:pt idx="141" formatCode="#,##0">
                  <c:v>1065310.4405999999</c:v>
                </c:pt>
                <c:pt idx="142" formatCode="#,##0">
                  <c:v>1021516.573</c:v>
                </c:pt>
                <c:pt idx="143" formatCode="#,##0">
                  <c:v>965527.62699999998</c:v>
                </c:pt>
                <c:pt idx="144" formatCode="#,##0">
                  <c:v>939497.46199999994</c:v>
                </c:pt>
                <c:pt idx="145" formatCode="#,##0">
                  <c:v>1027552</c:v>
                </c:pt>
                <c:pt idx="146" formatCode="#,##0">
                  <c:v>957436</c:v>
                </c:pt>
                <c:pt idx="147" formatCode="#,##0">
                  <c:v>1019358</c:v>
                </c:pt>
                <c:pt idx="148" formatCode="#,##0">
                  <c:v>1119666.2</c:v>
                </c:pt>
                <c:pt idx="149" formatCode="#,##0">
                  <c:v>1379674.7</c:v>
                </c:pt>
                <c:pt idx="150" formatCode="#,##0">
                  <c:v>1476588.8589999999</c:v>
                </c:pt>
                <c:pt idx="151" formatCode="#,##0">
                  <c:v>1439931</c:v>
                </c:pt>
                <c:pt idx="152" formatCode="#,##0">
                  <c:v>1442135</c:v>
                </c:pt>
                <c:pt idx="153" formatCode="#,##0">
                  <c:v>1297259</c:v>
                </c:pt>
                <c:pt idx="154" formatCode="#,##0">
                  <c:v>1328740</c:v>
                </c:pt>
                <c:pt idx="155" formatCode="#,##0">
                  <c:v>1326675</c:v>
                </c:pt>
                <c:pt idx="156" formatCode="#,##0">
                  <c:v>1481325.0000000002</c:v>
                </c:pt>
                <c:pt idx="157" formatCode="#,##0">
                  <c:v>1482578</c:v>
                </c:pt>
                <c:pt idx="158" formatCode="#,##0">
                  <c:v>1252853.4940511892</c:v>
                </c:pt>
                <c:pt idx="159" formatCode="#,##0">
                  <c:v>1441091.7401851437</c:v>
                </c:pt>
                <c:pt idx="160" formatCode="#,##0">
                  <c:v>1472108.406037108</c:v>
                </c:pt>
                <c:pt idx="161" formatCode="#,##0">
                  <c:v>1498938.239365</c:v>
                </c:pt>
                <c:pt idx="162" formatCode="#,##0">
                  <c:v>1481135.0255324405</c:v>
                </c:pt>
                <c:pt idx="163" formatCode="#,##0">
                  <c:v>1505968.093630827</c:v>
                </c:pt>
                <c:pt idx="164" formatCode="#,##0">
                  <c:v>1610004.1699713438</c:v>
                </c:pt>
                <c:pt idx="165" formatCode="#,##0">
                  <c:v>884825.62429999991</c:v>
                </c:pt>
                <c:pt idx="166" formatCode="#,##0">
                  <c:v>852164.27516975091</c:v>
                </c:pt>
                <c:pt idx="167" formatCode="#,##0">
                  <c:v>1146780.692</c:v>
                </c:pt>
                <c:pt idx="168" formatCode="#,##0">
                  <c:v>1337321.0427669904</c:v>
                </c:pt>
                <c:pt idx="169" formatCode="#,##0">
                  <c:v>1314909.8034396484</c:v>
                </c:pt>
                <c:pt idx="170" formatCode="#,##0">
                  <c:v>1322974.0853010868</c:v>
                </c:pt>
              </c:numCache>
            </c:numRef>
          </c:yVal>
          <c:smooth val="1"/>
          <c:extLst>
            <c:ext xmlns:c16="http://schemas.microsoft.com/office/drawing/2014/chart" uri="{C3380CC4-5D6E-409C-BE32-E72D297353CC}">
              <c16:uniqueId val="{00000001-328E-4D4D-9DFA-C81F7933B07B}"/>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1650000"/>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ajorUnit val="250000"/>
        <c:minorUnit val="125000"/>
        <c:dispUnits>
          <c:builtInUnit val="thousands"/>
        </c:dispUnits>
      </c:valAx>
      <c:valAx>
        <c:axId val="1291331152"/>
        <c:scaling>
          <c:orientation val="minMax"/>
          <c:max val="1650000"/>
          <c:min val="0"/>
        </c:scaling>
        <c:delete val="0"/>
        <c:axPos val="r"/>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250000"/>
        <c:minorUnit val="125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8.6884735309705891E-2"/>
          <c:y val="0.12783537592365471"/>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600" b="1">
                <a:solidFill>
                  <a:schemeClr val="tx1"/>
                </a:solidFill>
                <a:latin typeface="Arial" panose="020B0604020202020204" pitchFamily="34" charset="0"/>
                <a:cs typeface="Arial" panose="020B0604020202020204" pitchFamily="34" charset="0"/>
              </a:rPr>
              <a:t>Annual Nickel Production: Reported vs Calculated (kt Ni/year)</a:t>
            </a:r>
          </a:p>
        </c:rich>
      </c:tx>
      <c:layout>
        <c:manualLayout>
          <c:xMode val="edge"/>
          <c:yMode val="edge"/>
          <c:x val="0.14544436547978773"/>
          <c:y val="8.1593788790202806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978758698540086E-2"/>
          <c:y val="2.3013632735698231E-2"/>
          <c:w val="0.85296541921628832"/>
          <c:h val="0.89733119286231444"/>
        </c:manualLayout>
      </c:layout>
      <c:scatterChart>
        <c:scatterStyle val="smoothMarker"/>
        <c:varyColors val="0"/>
        <c:ser>
          <c:idx val="1"/>
          <c:order val="0"/>
          <c:tx>
            <c:v>Calculated</c:v>
          </c:tx>
          <c:spPr>
            <a:ln w="25400" cap="rnd">
              <a:solidFill>
                <a:srgbClr val="FF0000"/>
              </a:solidFill>
              <a:round/>
            </a:ln>
            <a:effectLst/>
          </c:spPr>
          <c:marker>
            <c:symbol val="x"/>
            <c:size val="6"/>
            <c:spPr>
              <a:noFill/>
              <a:ln w="25400">
                <a:solidFill>
                  <a:srgbClr val="FF0000"/>
                </a:solidFill>
              </a:ln>
              <a:effectLst/>
            </c:spPr>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Data'!$DB$63:$DB$233</c:f>
              <c:numCache>
                <c:formatCode>General</c:formatCode>
                <c:ptCount val="171"/>
                <c:pt idx="62" formatCode="0">
                  <c:v>36.576000000000001</c:v>
                </c:pt>
                <c:pt idx="63" formatCode="0">
                  <c:v>282.45815999999996</c:v>
                </c:pt>
                <c:pt idx="76" formatCode="0">
                  <c:v>87.5792</c:v>
                </c:pt>
                <c:pt idx="77" formatCode="0">
                  <c:v>10.16</c:v>
                </c:pt>
                <c:pt idx="78" formatCode="0">
                  <c:v>86.807040000000001</c:v>
                </c:pt>
                <c:pt idx="79" formatCode="0">
                  <c:v>119.4816</c:v>
                </c:pt>
                <c:pt idx="80" formatCode="0.0">
                  <c:v>0.20320000000000002</c:v>
                </c:pt>
                <c:pt idx="81" formatCode="0.0">
                  <c:v>0.55880000000000007</c:v>
                </c:pt>
                <c:pt idx="82" formatCode="0">
                  <c:v>8.7884000000000011</c:v>
                </c:pt>
                <c:pt idx="87" formatCode="0">
                  <c:v>20.065999999999999</c:v>
                </c:pt>
                <c:pt idx="116" formatCode="#,##0">
                  <c:v>2093.4679999999998</c:v>
                </c:pt>
                <c:pt idx="117" formatCode="#,##0">
                  <c:v>5519.6841600000007</c:v>
                </c:pt>
                <c:pt idx="118" formatCode="#,##0">
                  <c:v>10973.165759999998</c:v>
                </c:pt>
                <c:pt idx="119" formatCode="#,##0">
                  <c:v>32692.187999999998</c:v>
                </c:pt>
                <c:pt idx="120" formatCode="#,##0">
                  <c:v>37734.301999999996</c:v>
                </c:pt>
                <c:pt idx="121" formatCode="#,##0">
                  <c:v>38556.18</c:v>
                </c:pt>
                <c:pt idx="122" formatCode="#,##0">
                  <c:v>40001.903999999995</c:v>
                </c:pt>
                <c:pt idx="123" formatCode="#,##0">
                  <c:v>51896.496117999995</c:v>
                </c:pt>
                <c:pt idx="124" formatCode="#,##0">
                  <c:v>66484.452542932573</c:v>
                </c:pt>
                <c:pt idx="125" formatCode="#,##0">
                  <c:v>80798.674070905632</c:v>
                </c:pt>
                <c:pt idx="126" formatCode="#,##0">
                  <c:v>76085.999276882183</c:v>
                </c:pt>
                <c:pt idx="127" formatCode="#,##0">
                  <c:v>72850.773074752127</c:v>
                </c:pt>
                <c:pt idx="128" formatCode="#,##0">
                  <c:v>66704.660042456293</c:v>
                </c:pt>
                <c:pt idx="129" formatCode="#,##0">
                  <c:v>71133.448897406357</c:v>
                </c:pt>
                <c:pt idx="130" formatCode="#,##0">
                  <c:v>71697.151835783035</c:v>
                </c:pt>
                <c:pt idx="131" formatCode="#,##0">
                  <c:v>81622.232118006737</c:v>
                </c:pt>
                <c:pt idx="132" formatCode="#,##0">
                  <c:v>74836.310384238561</c:v>
                </c:pt>
                <c:pt idx="133" formatCode="#,##0">
                  <c:v>74826.364921291766</c:v>
                </c:pt>
                <c:pt idx="134" formatCode="#,##0">
                  <c:v>63278.295274613585</c:v>
                </c:pt>
                <c:pt idx="135" formatCode="#,##0">
                  <c:v>71974.799629868183</c:v>
                </c:pt>
                <c:pt idx="136" formatCode="#,##0">
                  <c:v>68674.695145104371</c:v>
                </c:pt>
                <c:pt idx="137" formatCode="#,##0">
                  <c:v>58119.455177677359</c:v>
                </c:pt>
                <c:pt idx="138" formatCode="#,##0">
                  <c:v>59207.246315026336</c:v>
                </c:pt>
                <c:pt idx="139" formatCode="#,##0">
                  <c:v>62901.894843155555</c:v>
                </c:pt>
                <c:pt idx="140" formatCode="#,##0">
                  <c:v>62535.682697611395</c:v>
                </c:pt>
                <c:pt idx="141" formatCode="#,##0">
                  <c:v>53573.881187150357</c:v>
                </c:pt>
                <c:pt idx="142" formatCode="#,##0">
                  <c:v>69759.330050312259</c:v>
                </c:pt>
                <c:pt idx="143" formatCode="#,##0">
                  <c:v>76100.931340214738</c:v>
                </c:pt>
                <c:pt idx="144" formatCode="#,##0">
                  <c:v>101455.70415837379</c:v>
                </c:pt>
                <c:pt idx="145" formatCode="#,##0">
                  <c:v>112426</c:v>
                </c:pt>
                <c:pt idx="146" formatCode="#,##0">
                  <c:v>123093</c:v>
                </c:pt>
                <c:pt idx="147" formatCode="#,##0">
                  <c:v>144067.10579999999</c:v>
                </c:pt>
                <c:pt idx="148" formatCode="#,##0">
                  <c:v>117208.8461</c:v>
                </c:pt>
                <c:pt idx="149" formatCode="#,##0">
                  <c:v>156020.07519999999</c:v>
                </c:pt>
                <c:pt idx="150" formatCode="#,##0">
                  <c:v>171317.15359999999</c:v>
                </c:pt>
                <c:pt idx="151" formatCode="#,##0">
                  <c:v>171269.15085742055</c:v>
                </c:pt>
                <c:pt idx="152" formatCode="#,##0">
                  <c:v>176327.65939562616</c:v>
                </c:pt>
                <c:pt idx="153" formatCode="#,##0">
                  <c:v>177739.38801340965</c:v>
                </c:pt>
                <c:pt idx="154" formatCode="#,##0">
                  <c:v>178504.26611779822</c:v>
                </c:pt>
                <c:pt idx="155" formatCode="#,##0">
                  <c:v>178868.71659022858</c:v>
                </c:pt>
                <c:pt idx="156" formatCode="#,##0">
                  <c:v>184268.31022167008</c:v>
                </c:pt>
                <c:pt idx="157" formatCode="#,##0">
                  <c:v>210410.22613027418</c:v>
                </c:pt>
                <c:pt idx="158" formatCode="#,##0">
                  <c:v>181816.80298631382</c:v>
                </c:pt>
                <c:pt idx="159" formatCode="#,##0">
                  <c:v>176100.35226547177</c:v>
                </c:pt>
                <c:pt idx="160" formatCode="#,##0">
                  <c:v>195468.42557458614</c:v>
                </c:pt>
                <c:pt idx="161" formatCode="#,##0">
                  <c:v>231345.60546261418</c:v>
                </c:pt>
                <c:pt idx="162" formatCode="#,##0">
                  <c:v>241013.25419428572</c:v>
                </c:pt>
                <c:pt idx="163" formatCode="#,##0">
                  <c:v>208452.51421220918</c:v>
                </c:pt>
                <c:pt idx="164" formatCode="#,##0">
                  <c:v>194729.21386387097</c:v>
                </c:pt>
                <c:pt idx="165" formatCode="#,##0">
                  <c:v>161415.8737380103</c:v>
                </c:pt>
                <c:pt idx="166" formatCode="#,##0">
                  <c:v>171644.86108583939</c:v>
                </c:pt>
                <c:pt idx="167" formatCode="#,##0">
                  <c:v>150155.98557000002</c:v>
                </c:pt>
                <c:pt idx="168" formatCode="#,##0">
                  <c:v>149929</c:v>
                </c:pt>
                <c:pt idx="169" formatCode="#,##0">
                  <c:v>158127.90000000002</c:v>
                </c:pt>
                <c:pt idx="170" formatCode="#,##0">
                  <c:v>148559.29999999999</c:v>
                </c:pt>
              </c:numCache>
            </c:numRef>
          </c:yVal>
          <c:smooth val="1"/>
          <c:extLst>
            <c:ext xmlns:c16="http://schemas.microsoft.com/office/drawing/2014/chart" uri="{C3380CC4-5D6E-409C-BE32-E72D297353CC}">
              <c16:uniqueId val="{00000000-FE40-4EBB-80D0-75FE6B06F69F}"/>
            </c:ext>
          </c:extLst>
        </c:ser>
        <c:dLbls>
          <c:showLegendKey val="0"/>
          <c:showVal val="0"/>
          <c:showCatName val="0"/>
          <c:showSerName val="0"/>
          <c:showPercent val="0"/>
          <c:showBubbleSize val="0"/>
        </c:dLbls>
        <c:axId val="1299020256"/>
        <c:axId val="1299007776"/>
      </c:scatterChart>
      <c:scatterChart>
        <c:scatterStyle val="smoothMarker"/>
        <c:varyColors val="0"/>
        <c:ser>
          <c:idx val="0"/>
          <c:order val="1"/>
          <c:tx>
            <c:v>Reported</c:v>
          </c:tx>
          <c:spPr>
            <a:ln w="25400" cap="rnd">
              <a:solidFill>
                <a:srgbClr val="0000CC"/>
              </a:solidFill>
              <a:round/>
            </a:ln>
            <a:effectLst/>
          </c:spPr>
          <c:marker>
            <c:symbol val="none"/>
          </c:marker>
          <c:xVal>
            <c:numRef>
              <c:f>'Annual Data'!$A$63:$A$233</c:f>
              <c:numCache>
                <c:formatCode>General</c:formatCode>
                <c:ptCount val="171"/>
                <c:pt idx="0">
                  <c:v>1851</c:v>
                </c:pt>
                <c:pt idx="1">
                  <c:v>1852</c:v>
                </c:pt>
                <c:pt idx="2">
                  <c:v>1853</c:v>
                </c:pt>
                <c:pt idx="3">
                  <c:v>1854</c:v>
                </c:pt>
                <c:pt idx="4">
                  <c:v>1855</c:v>
                </c:pt>
                <c:pt idx="5">
                  <c:v>1856</c:v>
                </c:pt>
                <c:pt idx="6">
                  <c:v>1857</c:v>
                </c:pt>
                <c:pt idx="7">
                  <c:v>1858</c:v>
                </c:pt>
                <c:pt idx="8">
                  <c:v>1859</c:v>
                </c:pt>
                <c:pt idx="9">
                  <c:v>1860</c:v>
                </c:pt>
                <c:pt idx="10">
                  <c:v>1861</c:v>
                </c:pt>
                <c:pt idx="11">
                  <c:v>1862</c:v>
                </c:pt>
                <c:pt idx="12">
                  <c:v>1863</c:v>
                </c:pt>
                <c:pt idx="13">
                  <c:v>1864</c:v>
                </c:pt>
                <c:pt idx="14">
                  <c:v>1865</c:v>
                </c:pt>
                <c:pt idx="15">
                  <c:v>1866</c:v>
                </c:pt>
                <c:pt idx="16">
                  <c:v>1867</c:v>
                </c:pt>
                <c:pt idx="17">
                  <c:v>1868</c:v>
                </c:pt>
                <c:pt idx="18">
                  <c:v>1869</c:v>
                </c:pt>
                <c:pt idx="19">
                  <c:v>1870</c:v>
                </c:pt>
                <c:pt idx="20">
                  <c:v>1871</c:v>
                </c:pt>
                <c:pt idx="21">
                  <c:v>1872</c:v>
                </c:pt>
                <c:pt idx="22">
                  <c:v>1873</c:v>
                </c:pt>
                <c:pt idx="23">
                  <c:v>1874</c:v>
                </c:pt>
                <c:pt idx="24">
                  <c:v>1875</c:v>
                </c:pt>
                <c:pt idx="25">
                  <c:v>1876</c:v>
                </c:pt>
                <c:pt idx="26">
                  <c:v>1877</c:v>
                </c:pt>
                <c:pt idx="27">
                  <c:v>1878</c:v>
                </c:pt>
                <c:pt idx="28">
                  <c:v>1879</c:v>
                </c:pt>
                <c:pt idx="29">
                  <c:v>1880</c:v>
                </c:pt>
                <c:pt idx="30">
                  <c:v>1881</c:v>
                </c:pt>
                <c:pt idx="31">
                  <c:v>1882</c:v>
                </c:pt>
                <c:pt idx="32">
                  <c:v>1883</c:v>
                </c:pt>
                <c:pt idx="33">
                  <c:v>1884</c:v>
                </c:pt>
                <c:pt idx="34">
                  <c:v>1885</c:v>
                </c:pt>
                <c:pt idx="35">
                  <c:v>1886</c:v>
                </c:pt>
                <c:pt idx="36">
                  <c:v>1887</c:v>
                </c:pt>
                <c:pt idx="37">
                  <c:v>1888</c:v>
                </c:pt>
                <c:pt idx="38">
                  <c:v>1889</c:v>
                </c:pt>
                <c:pt idx="39">
                  <c:v>1890</c:v>
                </c:pt>
                <c:pt idx="40">
                  <c:v>1891</c:v>
                </c:pt>
                <c:pt idx="41">
                  <c:v>1892</c:v>
                </c:pt>
                <c:pt idx="42">
                  <c:v>1893</c:v>
                </c:pt>
                <c:pt idx="43">
                  <c:v>1894</c:v>
                </c:pt>
                <c:pt idx="44">
                  <c:v>1895</c:v>
                </c:pt>
                <c:pt idx="45">
                  <c:v>1896</c:v>
                </c:pt>
                <c:pt idx="46">
                  <c:v>1897</c:v>
                </c:pt>
                <c:pt idx="47">
                  <c:v>1898</c:v>
                </c:pt>
                <c:pt idx="48">
                  <c:v>1899</c:v>
                </c:pt>
                <c:pt idx="49">
                  <c:v>1900</c:v>
                </c:pt>
                <c:pt idx="50">
                  <c:v>1901</c:v>
                </c:pt>
                <c:pt idx="51">
                  <c:v>1902</c:v>
                </c:pt>
                <c:pt idx="52">
                  <c:v>1903</c:v>
                </c:pt>
                <c:pt idx="53">
                  <c:v>1904</c:v>
                </c:pt>
                <c:pt idx="54">
                  <c:v>1905</c:v>
                </c:pt>
                <c:pt idx="55">
                  <c:v>1906</c:v>
                </c:pt>
                <c:pt idx="56">
                  <c:v>1907</c:v>
                </c:pt>
                <c:pt idx="57">
                  <c:v>1908</c:v>
                </c:pt>
                <c:pt idx="58">
                  <c:v>1909</c:v>
                </c:pt>
                <c:pt idx="59">
                  <c:v>1910</c:v>
                </c:pt>
                <c:pt idx="60">
                  <c:v>1911</c:v>
                </c:pt>
                <c:pt idx="61">
                  <c:v>1912</c:v>
                </c:pt>
                <c:pt idx="62">
                  <c:v>1913</c:v>
                </c:pt>
                <c:pt idx="63">
                  <c:v>1914</c:v>
                </c:pt>
                <c:pt idx="64">
                  <c:v>1915</c:v>
                </c:pt>
                <c:pt idx="65">
                  <c:v>1916</c:v>
                </c:pt>
                <c:pt idx="66">
                  <c:v>1917</c:v>
                </c:pt>
                <c:pt idx="67">
                  <c:v>1918</c:v>
                </c:pt>
                <c:pt idx="68">
                  <c:v>1919</c:v>
                </c:pt>
                <c:pt idx="69">
                  <c:v>1920</c:v>
                </c:pt>
                <c:pt idx="70">
                  <c:v>1921</c:v>
                </c:pt>
                <c:pt idx="71">
                  <c:v>1922</c:v>
                </c:pt>
                <c:pt idx="72">
                  <c:v>1923</c:v>
                </c:pt>
                <c:pt idx="73">
                  <c:v>1924</c:v>
                </c:pt>
                <c:pt idx="74">
                  <c:v>1925</c:v>
                </c:pt>
                <c:pt idx="75">
                  <c:v>1926</c:v>
                </c:pt>
                <c:pt idx="76">
                  <c:v>1927</c:v>
                </c:pt>
                <c:pt idx="77">
                  <c:v>1928</c:v>
                </c:pt>
                <c:pt idx="78">
                  <c:v>1929</c:v>
                </c:pt>
                <c:pt idx="79">
                  <c:v>1930</c:v>
                </c:pt>
                <c:pt idx="80">
                  <c:v>1931</c:v>
                </c:pt>
                <c:pt idx="81">
                  <c:v>1932</c:v>
                </c:pt>
                <c:pt idx="82">
                  <c:v>1933</c:v>
                </c:pt>
                <c:pt idx="83">
                  <c:v>1934</c:v>
                </c:pt>
                <c:pt idx="84">
                  <c:v>1935</c:v>
                </c:pt>
                <c:pt idx="85">
                  <c:v>1936</c:v>
                </c:pt>
                <c:pt idx="86">
                  <c:v>1937</c:v>
                </c:pt>
                <c:pt idx="87">
                  <c:v>1938</c:v>
                </c:pt>
                <c:pt idx="88">
                  <c:v>1939</c:v>
                </c:pt>
                <c:pt idx="89">
                  <c:v>1940</c:v>
                </c:pt>
                <c:pt idx="90">
                  <c:v>1941</c:v>
                </c:pt>
                <c:pt idx="91">
                  <c:v>1942</c:v>
                </c:pt>
                <c:pt idx="92">
                  <c:v>1943</c:v>
                </c:pt>
                <c:pt idx="93">
                  <c:v>1944</c:v>
                </c:pt>
                <c:pt idx="94">
                  <c:v>1945</c:v>
                </c:pt>
                <c:pt idx="95">
                  <c:v>1946</c:v>
                </c:pt>
                <c:pt idx="96">
                  <c:v>1947</c:v>
                </c:pt>
                <c:pt idx="97">
                  <c:v>1948</c:v>
                </c:pt>
                <c:pt idx="98">
                  <c:v>1949</c:v>
                </c:pt>
                <c:pt idx="99">
                  <c:v>1950</c:v>
                </c:pt>
                <c:pt idx="100">
                  <c:v>1951</c:v>
                </c:pt>
                <c:pt idx="101">
                  <c:v>1952</c:v>
                </c:pt>
                <c:pt idx="102">
                  <c:v>1953</c:v>
                </c:pt>
                <c:pt idx="103">
                  <c:v>1954</c:v>
                </c:pt>
                <c:pt idx="104">
                  <c:v>1955</c:v>
                </c:pt>
                <c:pt idx="105">
                  <c:v>1956</c:v>
                </c:pt>
                <c:pt idx="106">
                  <c:v>1957</c:v>
                </c:pt>
                <c:pt idx="107">
                  <c:v>1958</c:v>
                </c:pt>
                <c:pt idx="108">
                  <c:v>1959</c:v>
                </c:pt>
                <c:pt idx="109">
                  <c:v>1960</c:v>
                </c:pt>
                <c:pt idx="110">
                  <c:v>1961</c:v>
                </c:pt>
                <c:pt idx="111">
                  <c:v>1962</c:v>
                </c:pt>
                <c:pt idx="112">
                  <c:v>1963</c:v>
                </c:pt>
                <c:pt idx="113">
                  <c:v>1964</c:v>
                </c:pt>
                <c:pt idx="114">
                  <c:v>1965</c:v>
                </c:pt>
                <c:pt idx="115">
                  <c:v>1966</c:v>
                </c:pt>
                <c:pt idx="116">
                  <c:v>1967</c:v>
                </c:pt>
                <c:pt idx="117">
                  <c:v>1968</c:v>
                </c:pt>
                <c:pt idx="118">
                  <c:v>1969</c:v>
                </c:pt>
                <c:pt idx="119">
                  <c:v>1970</c:v>
                </c:pt>
                <c:pt idx="120">
                  <c:v>1971</c:v>
                </c:pt>
                <c:pt idx="121">
                  <c:v>1972</c:v>
                </c:pt>
                <c:pt idx="122">
                  <c:v>1973</c:v>
                </c:pt>
                <c:pt idx="123">
                  <c:v>1974</c:v>
                </c:pt>
                <c:pt idx="124">
                  <c:v>1975</c:v>
                </c:pt>
                <c:pt idx="125">
                  <c:v>1976</c:v>
                </c:pt>
                <c:pt idx="126">
                  <c:v>1977</c:v>
                </c:pt>
                <c:pt idx="127">
                  <c:v>1978</c:v>
                </c:pt>
                <c:pt idx="128">
                  <c:v>1979</c:v>
                </c:pt>
                <c:pt idx="129">
                  <c:v>1980</c:v>
                </c:pt>
                <c:pt idx="130">
                  <c:v>1981</c:v>
                </c:pt>
                <c:pt idx="131">
                  <c:v>1982</c:v>
                </c:pt>
                <c:pt idx="132">
                  <c:v>1983</c:v>
                </c:pt>
                <c:pt idx="133">
                  <c:v>1984</c:v>
                </c:pt>
                <c:pt idx="134">
                  <c:v>1985</c:v>
                </c:pt>
                <c:pt idx="135">
                  <c:v>1986</c:v>
                </c:pt>
                <c:pt idx="136">
                  <c:v>1987</c:v>
                </c:pt>
                <c:pt idx="137">
                  <c:v>1988</c:v>
                </c:pt>
                <c:pt idx="138">
                  <c:v>1989</c:v>
                </c:pt>
                <c:pt idx="139">
                  <c:v>1990</c:v>
                </c:pt>
                <c:pt idx="140">
                  <c:v>1991</c:v>
                </c:pt>
                <c:pt idx="141">
                  <c:v>1992</c:v>
                </c:pt>
                <c:pt idx="142">
                  <c:v>1993</c:v>
                </c:pt>
                <c:pt idx="143">
                  <c:v>1994</c:v>
                </c:pt>
                <c:pt idx="144">
                  <c:v>1995</c:v>
                </c:pt>
                <c:pt idx="145">
                  <c:v>1996</c:v>
                </c:pt>
                <c:pt idx="146">
                  <c:v>1997</c:v>
                </c:pt>
                <c:pt idx="147">
                  <c:v>1998</c:v>
                </c:pt>
                <c:pt idx="148">
                  <c:v>1999</c:v>
                </c:pt>
                <c:pt idx="149">
                  <c:v>2000</c:v>
                </c:pt>
                <c:pt idx="150">
                  <c:v>2001</c:v>
                </c:pt>
                <c:pt idx="151">
                  <c:v>2002</c:v>
                </c:pt>
                <c:pt idx="152">
                  <c:v>2003</c:v>
                </c:pt>
                <c:pt idx="153">
                  <c:v>2004</c:v>
                </c:pt>
                <c:pt idx="154">
                  <c:v>2005</c:v>
                </c:pt>
                <c:pt idx="155">
                  <c:v>2006</c:v>
                </c:pt>
                <c:pt idx="156">
                  <c:v>2007</c:v>
                </c:pt>
                <c:pt idx="157">
                  <c:v>2008</c:v>
                </c:pt>
                <c:pt idx="158">
                  <c:v>2009</c:v>
                </c:pt>
                <c:pt idx="159">
                  <c:v>2010</c:v>
                </c:pt>
                <c:pt idx="160">
                  <c:v>2011</c:v>
                </c:pt>
                <c:pt idx="161">
                  <c:v>2012</c:v>
                </c:pt>
                <c:pt idx="162">
                  <c:v>2013</c:v>
                </c:pt>
                <c:pt idx="163">
                  <c:v>2014</c:v>
                </c:pt>
                <c:pt idx="164">
                  <c:v>2015</c:v>
                </c:pt>
                <c:pt idx="165">
                  <c:v>2016</c:v>
                </c:pt>
                <c:pt idx="166">
                  <c:v>2017</c:v>
                </c:pt>
                <c:pt idx="167">
                  <c:v>2018</c:v>
                </c:pt>
                <c:pt idx="168">
                  <c:v>2019</c:v>
                </c:pt>
                <c:pt idx="169">
                  <c:v>2020</c:v>
                </c:pt>
                <c:pt idx="170">
                  <c:v>2021</c:v>
                </c:pt>
              </c:numCache>
            </c:numRef>
          </c:xVal>
          <c:yVal>
            <c:numRef>
              <c:f>'Annual Data'!$CY$63:$CY$233</c:f>
              <c:numCache>
                <c:formatCode>General</c:formatCode>
                <c:ptCount val="171"/>
                <c:pt idx="62" formatCode="0.0">
                  <c:v>36.576000000000001</c:v>
                </c:pt>
                <c:pt idx="63" formatCode="0">
                  <c:v>282.45815999999996</c:v>
                </c:pt>
                <c:pt idx="77" formatCode="0.0">
                  <c:v>87.5792</c:v>
                </c:pt>
                <c:pt idx="78" formatCode="0.0">
                  <c:v>10.16</c:v>
                </c:pt>
                <c:pt idx="79" formatCode="0.0">
                  <c:v>86.807040000000001</c:v>
                </c:pt>
                <c:pt idx="80" formatCode="0">
                  <c:v>119.4816</c:v>
                </c:pt>
                <c:pt idx="81" formatCode="0.00">
                  <c:v>0.20320000000000002</c:v>
                </c:pt>
                <c:pt idx="82" formatCode="0.00">
                  <c:v>0.55880000000000007</c:v>
                </c:pt>
                <c:pt idx="83" formatCode="0.00">
                  <c:v>8.7884000000000011</c:v>
                </c:pt>
                <c:pt idx="87" formatCode="0.0">
                  <c:v>20.065999999999999</c:v>
                </c:pt>
                <c:pt idx="116" formatCode="#,##0">
                  <c:v>2093.4602784000003</c:v>
                </c:pt>
                <c:pt idx="117" formatCode="#,##0">
                  <c:v>5519.6841599999998</c:v>
                </c:pt>
                <c:pt idx="118" formatCode="#,##0">
                  <c:v>10973.165759999998</c:v>
                </c:pt>
                <c:pt idx="119" formatCode="#,##0">
                  <c:v>28832.173374400001</c:v>
                </c:pt>
                <c:pt idx="120" formatCode="#,##0">
                  <c:v>34659.884302648003</c:v>
                </c:pt>
                <c:pt idx="121" formatCode="#,##0">
                  <c:v>29679.770590032</c:v>
                </c:pt>
                <c:pt idx="122" formatCode="#,##0">
                  <c:v>37772.906199999998</c:v>
                </c:pt>
                <c:pt idx="123" formatCode="#,##0">
                  <c:v>52934.678546000003</c:v>
                </c:pt>
                <c:pt idx="124" formatCode="#,##0">
                  <c:v>62490.410842932572</c:v>
                </c:pt>
                <c:pt idx="125" formatCode="#,##0">
                  <c:v>75812.046370905649</c:v>
                </c:pt>
                <c:pt idx="126" formatCode="#,##0">
                  <c:v>73259.558676882181</c:v>
                </c:pt>
                <c:pt idx="127" formatCode="#,##0">
                  <c:v>72958.200974752122</c:v>
                </c:pt>
                <c:pt idx="128" formatCode="#,##0">
                  <c:v>71947.201542456314</c:v>
                </c:pt>
                <c:pt idx="129" formatCode="#,##0">
                  <c:v>69131.519897406353</c:v>
                </c:pt>
                <c:pt idx="130" formatCode="#,##0">
                  <c:v>68499.503235783035</c:v>
                </c:pt>
                <c:pt idx="131" formatCode="#,##0">
                  <c:v>79576.484518006735</c:v>
                </c:pt>
                <c:pt idx="132" formatCode="#,##0">
                  <c:v>74087.855484238564</c:v>
                </c:pt>
                <c:pt idx="133" formatCode="#,##0">
                  <c:v>73633.464469291765</c:v>
                </c:pt>
                <c:pt idx="134" formatCode="#,##0">
                  <c:v>74496.760833020657</c:v>
                </c:pt>
                <c:pt idx="135" formatCode="#,##0">
                  <c:v>69267.542629868185</c:v>
                </c:pt>
                <c:pt idx="136" formatCode="#,##0">
                  <c:v>68046.567445104374</c:v>
                </c:pt>
                <c:pt idx="137" formatCode="#,##0">
                  <c:v>55079.204577677359</c:v>
                </c:pt>
                <c:pt idx="138" formatCode="#,##0">
                  <c:v>56200.960315026336</c:v>
                </c:pt>
                <c:pt idx="139" formatCode="#,##0">
                  <c:v>60849.895343155564</c:v>
                </c:pt>
                <c:pt idx="140" formatCode="#,##0">
                  <c:v>64178.412997611398</c:v>
                </c:pt>
                <c:pt idx="141" formatCode="#,##0">
                  <c:v>52949.378187150345</c:v>
                </c:pt>
                <c:pt idx="142" formatCode="#,##0">
                  <c:v>60791.524550312257</c:v>
                </c:pt>
                <c:pt idx="143" formatCode="#,##0">
                  <c:v>80745.853740214734</c:v>
                </c:pt>
                <c:pt idx="144" formatCode="#,##0">
                  <c:v>106330.53515837376</c:v>
                </c:pt>
                <c:pt idx="145" formatCode="#,##0">
                  <c:v>112124.9252</c:v>
                </c:pt>
                <c:pt idx="146" formatCode="#,##0">
                  <c:v>122991.11697999999</c:v>
                </c:pt>
                <c:pt idx="147" formatCode="#,##0">
                  <c:v>140559.16990000001</c:v>
                </c:pt>
                <c:pt idx="148" formatCode="#,##0">
                  <c:v>117685.59540000001</c:v>
                </c:pt>
                <c:pt idx="149" formatCode="#,##0">
                  <c:v>145552.21090000001</c:v>
                </c:pt>
                <c:pt idx="150" formatCode="#,##0">
                  <c:v>185089.89059999998</c:v>
                </c:pt>
                <c:pt idx="151" formatCode="#,##0">
                  <c:v>179766</c:v>
                </c:pt>
                <c:pt idx="152" formatCode="#,##0">
                  <c:v>187737</c:v>
                </c:pt>
                <c:pt idx="153" formatCode="#,##0">
                  <c:v>174701</c:v>
                </c:pt>
                <c:pt idx="154" formatCode="#,##0">
                  <c:v>188362</c:v>
                </c:pt>
                <c:pt idx="155" formatCode="#,##0">
                  <c:v>175087</c:v>
                </c:pt>
                <c:pt idx="156" formatCode="#,##0">
                  <c:v>162492.00000000003</c:v>
                </c:pt>
                <c:pt idx="157" formatCode="#,##0">
                  <c:v>189791</c:v>
                </c:pt>
                <c:pt idx="158" formatCode="#,##0">
                  <c:v>172178</c:v>
                </c:pt>
                <c:pt idx="159" formatCode="#,##0">
                  <c:v>193259</c:v>
                </c:pt>
                <c:pt idx="160" formatCode="#,##0">
                  <c:v>185130</c:v>
                </c:pt>
                <c:pt idx="161" formatCode="#,##0">
                  <c:v>230767.1003574091</c:v>
                </c:pt>
                <c:pt idx="162" formatCode="#,##0">
                  <c:v>229730</c:v>
                </c:pt>
                <c:pt idx="163" formatCode="#,##0">
                  <c:v>218563.11600000001</c:v>
                </c:pt>
                <c:pt idx="164" formatCode="#,##0">
                  <c:v>173974.19099999999</c:v>
                </c:pt>
                <c:pt idx="165" formatCode="#,##0">
                  <c:v>165475.67600000001</c:v>
                </c:pt>
                <c:pt idx="166" formatCode="#,##0">
                  <c:v>165182.95699999999</c:v>
                </c:pt>
                <c:pt idx="167" formatCode="#,##0">
                  <c:v>149706.005</c:v>
                </c:pt>
                <c:pt idx="168" formatCode="#,##0">
                  <c:v>153502.27000000002</c:v>
                </c:pt>
                <c:pt idx="169" formatCode="#,##0">
                  <c:v>165478.12899999999</c:v>
                </c:pt>
                <c:pt idx="170" formatCode="#,##0">
                  <c:v>150298.95800000001</c:v>
                </c:pt>
              </c:numCache>
            </c:numRef>
          </c:yVal>
          <c:smooth val="1"/>
          <c:extLst>
            <c:ext xmlns:c16="http://schemas.microsoft.com/office/drawing/2014/chart" uri="{C3380CC4-5D6E-409C-BE32-E72D297353CC}">
              <c16:uniqueId val="{00000001-FE40-4EBB-80D0-75FE6B06F69F}"/>
            </c:ext>
          </c:extLst>
        </c:ser>
        <c:dLbls>
          <c:showLegendKey val="0"/>
          <c:showVal val="0"/>
          <c:showCatName val="0"/>
          <c:showSerName val="0"/>
          <c:showPercent val="0"/>
          <c:showBubbleSize val="0"/>
        </c:dLbls>
        <c:axId val="1009685920"/>
        <c:axId val="1291331152"/>
      </c:scatterChart>
      <c:valAx>
        <c:axId val="1299020256"/>
        <c:scaling>
          <c:orientation val="minMax"/>
          <c:max val="2022"/>
          <c:min val="1840"/>
        </c:scaling>
        <c:delete val="0"/>
        <c:axPos val="b"/>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07776"/>
        <c:crosses val="autoZero"/>
        <c:crossBetween val="midCat"/>
        <c:majorUnit val="20"/>
        <c:minorUnit val="5"/>
      </c:valAx>
      <c:valAx>
        <c:axId val="1299007776"/>
        <c:scaling>
          <c:orientation val="minMax"/>
          <c:max val="250000"/>
          <c:min val="0"/>
        </c:scaling>
        <c:delete val="0"/>
        <c:axPos val="l"/>
        <c:majorGridlines>
          <c:spPr>
            <a:ln w="12700" cap="flat" cmpd="sng" algn="ctr">
              <a:solidFill>
                <a:schemeClr val="tx1"/>
              </a:solidFill>
              <a:prstDash val="sysDot"/>
              <a:round/>
            </a:ln>
            <a:effectLst/>
          </c:spPr>
        </c:majorGridlines>
        <c:numFmt formatCode="0" sourceLinked="0"/>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99020256"/>
        <c:crosses val="autoZero"/>
        <c:crossBetween val="midCat"/>
        <c:majorUnit val="40000"/>
        <c:minorUnit val="20000"/>
        <c:dispUnits>
          <c:builtInUnit val="thousands"/>
        </c:dispUnits>
      </c:valAx>
      <c:valAx>
        <c:axId val="1291331152"/>
        <c:scaling>
          <c:orientation val="minMax"/>
          <c:max val="250000"/>
          <c:min val="0"/>
        </c:scaling>
        <c:delete val="0"/>
        <c:axPos val="r"/>
        <c:numFmt formatCode="General" sourceLinked="1"/>
        <c:majorTickMark val="out"/>
        <c:minorTickMark val="out"/>
        <c:tickLblPos val="nextTo"/>
        <c:spPr>
          <a:noFill/>
          <a:ln w="25400" cap="flat" cmpd="sng" algn="ctr">
            <a:solidFill>
              <a:schemeClr val="tx1"/>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09685920"/>
        <c:crosses val="max"/>
        <c:crossBetween val="midCat"/>
        <c:majorUnit val="40000"/>
        <c:minorUnit val="20000"/>
        <c:dispUnits>
          <c:builtInUnit val="thousands"/>
        </c:dispUnits>
      </c:valAx>
      <c:valAx>
        <c:axId val="1009685920"/>
        <c:scaling>
          <c:orientation val="minMax"/>
        </c:scaling>
        <c:delete val="1"/>
        <c:axPos val="b"/>
        <c:numFmt formatCode="General" sourceLinked="1"/>
        <c:majorTickMark val="out"/>
        <c:minorTickMark val="none"/>
        <c:tickLblPos val="nextTo"/>
        <c:crossAx val="1291331152"/>
        <c:crosses val="autoZero"/>
        <c:crossBetween val="midCat"/>
      </c:valAx>
      <c:spPr>
        <a:noFill/>
        <a:ln w="25400">
          <a:solidFill>
            <a:schemeClr val="tx1"/>
          </a:solidFill>
        </a:ln>
        <a:effectLst/>
      </c:spPr>
    </c:plotArea>
    <c:legend>
      <c:legendPos val="b"/>
      <c:layout>
        <c:manualLayout>
          <c:xMode val="edge"/>
          <c:yMode val="edge"/>
          <c:x val="7.8689523206431591E-2"/>
          <c:y val="0.23035064901903773"/>
          <c:w val="0.13061027873185438"/>
          <c:h val="8.5672489813131622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C287E3B-1CAE-4C73-945B-1B46F0F325FA}">
  <sheetPr/>
  <sheetViews>
    <sheetView zoomScale="89" workbookViewId="0" zoomToFit="1"/>
  </sheetViews>
  <pageMargins left="0.7" right="0.7" top="0.75" bottom="0.75" header="0.3" footer="0.3"/>
  <pageSetup paperSize="9"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87DDFD0-0DB9-4F4B-AF87-B03ABD5CED31}">
  <sheetPr/>
  <sheetViews>
    <sheetView zoomScale="89" workbookViewId="0" zoomToFit="1"/>
  </sheetViews>
  <pageMargins left="0.7" right="0.7" top="0.75" bottom="0.75" header="0.3" footer="0.3"/>
  <pageSetup paperSize="9" orientation="landscape" horizontalDpi="1200" verticalDpi="1200"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296B53B-EDF5-4089-AD8D-E1424643027D}">
  <sheetPr/>
  <sheetViews>
    <sheetView zoomScale="89" workbookViewId="0" zoomToFit="1"/>
  </sheetViews>
  <pageMargins left="0.7" right="0.7" top="0.75" bottom="0.75" header="0.3" footer="0.3"/>
  <pageSetup paperSize="9"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037E237-6686-4429-8B2D-B978BFCC35FE}">
  <sheetPr/>
  <sheetViews>
    <sheetView zoomScale="89" workbookViewId="0" zoomToFit="1"/>
  </sheetViews>
  <pageMargins left="0.7" right="0.7" top="0.75" bottom="0.75" header="0.3" footer="0.3"/>
  <pageSetup paperSize="9"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DD4E7D1-EBE8-4719-B153-092169E2A2C6}">
  <sheetPr/>
  <sheetViews>
    <sheetView zoomScale="89" workbookViewId="0" zoomToFit="1"/>
  </sheetViews>
  <pageMargins left="0.7" right="0.7" top="0.75" bottom="0.75" header="0.3" footer="0.3"/>
  <pageSetup paperSize="9" orientation="landscape" horizontalDpi="1200" verticalDpi="1200"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B5DECF4-D729-4A13-B58D-8BFC98C943F8}">
  <sheetPr/>
  <sheetViews>
    <sheetView zoomScale="89" workbookViewId="0" zoomToFit="1"/>
  </sheetViews>
  <pageMargins left="0.7" right="0.7" top="0.75" bottom="0.75" header="0.3" footer="0.3"/>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0AB09BCF-E7B1-D91C-8940-63474748974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0.75046</cdr:x>
      <cdr:y>0.8519</cdr:y>
    </cdr:from>
    <cdr:to>
      <cdr:x>0.90976</cdr:x>
      <cdr:y>0.90535</cdr:y>
    </cdr:to>
    <cdr:sp macro="" textlink="">
      <cdr:nvSpPr>
        <cdr:cNvPr id="2" name="TextBox 1">
          <a:extLst xmlns:a="http://schemas.openxmlformats.org/drawingml/2006/main">
            <a:ext uri="{FF2B5EF4-FFF2-40B4-BE49-F238E27FC236}">
              <a16:creationId xmlns:a16="http://schemas.microsoft.com/office/drawing/2014/main" id="{FD6E720D-DB6E-BA31-922E-915C77C8C454}"/>
            </a:ext>
          </a:extLst>
        </cdr:cNvPr>
        <cdr:cNvSpPr txBox="1"/>
      </cdr:nvSpPr>
      <cdr:spPr>
        <a:xfrm xmlns:a="http://schemas.openxmlformats.org/drawingml/2006/main">
          <a:off x="6977864" y="5171326"/>
          <a:ext cx="1481175" cy="324448"/>
        </a:xfrm>
        <a:prstGeom xmlns:a="http://schemas.openxmlformats.org/drawingml/2006/main" prst="rect">
          <a:avLst/>
        </a:prstGeom>
      </cdr:spPr>
      <cdr:txBody>
        <a:bodyPr xmlns:a="http://schemas.openxmlformats.org/drawingml/2006/main" vertOverflow="clip" horzOverflow="clip" wrap="none" lIns="0" tIns="0" rIns="0" bIns="0" rtlCol="0">
          <a:spAutoFit/>
        </a:bodyPr>
        <a:lstStyle xmlns:a="http://schemas.openxmlformats.org/drawingml/2006/main"/>
        <a:p xmlns:a="http://schemas.openxmlformats.org/drawingml/2006/main">
          <a:r>
            <a:rPr lang="en-AU" sz="1100" b="1">
              <a:solidFill>
                <a:schemeClr val="tx1"/>
              </a:solidFill>
              <a:latin typeface="Arial" panose="020B0604020202020204" pitchFamily="34" charset="0"/>
              <a:cs typeface="Arial" panose="020B0604020202020204" pitchFamily="34" charset="0"/>
            </a:rPr>
            <a:t>Note: Alluvial and</a:t>
          </a:r>
        </a:p>
        <a:p xmlns:a="http://schemas.openxmlformats.org/drawingml/2006/main">
          <a:r>
            <a:rPr lang="en-AU" sz="1100" b="1">
              <a:solidFill>
                <a:schemeClr val="tx1"/>
              </a:solidFill>
              <a:latin typeface="Arial" panose="020B0604020202020204" pitchFamily="34" charset="0"/>
              <a:cs typeface="Arial" panose="020B0604020202020204" pitchFamily="34" charset="0"/>
            </a:rPr>
            <a:t>dredging</a:t>
          </a:r>
          <a:r>
            <a:rPr lang="en-AU" sz="1100" b="1" baseline="0">
              <a:solidFill>
                <a:schemeClr val="tx1"/>
              </a:solidFill>
              <a:latin typeface="Arial" panose="020B0604020202020204" pitchFamily="34" charset="0"/>
              <a:cs typeface="Arial" panose="020B0604020202020204" pitchFamily="34" charset="0"/>
            </a:rPr>
            <a:t> not included</a:t>
          </a:r>
          <a:endParaRPr lang="en-AU" sz="1100" b="1">
            <a:solidFill>
              <a:schemeClr val="tx1"/>
            </a:solidFill>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D32D2BCF-6EFB-6190-8CA8-FFCB0AB3B84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7C839AE1-20DC-2A2D-FE03-8BC5444C695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C9F1F039-2EB6-58EC-1418-9655089F6A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DE0F9FD3-EA3D-A290-9810-B93C021ABC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975D5E51-1D7E-4D8E-2077-14937E4B5BA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A150-BF94-465D-A676-0881ECFA3E6E}">
  <sheetPr>
    <pageSetUpPr autoPageBreaks="0"/>
  </sheetPr>
  <dimension ref="B2:N138"/>
  <sheetViews>
    <sheetView showGridLines="0" tabSelected="1" workbookViewId="0"/>
  </sheetViews>
  <sheetFormatPr defaultColWidth="12.77734375" defaultRowHeight="13.2" x14ac:dyDescent="0.25"/>
  <cols>
    <col min="1" max="1" width="3.77734375" style="2" customWidth="1"/>
    <col min="2" max="16384" width="12.77734375" style="2"/>
  </cols>
  <sheetData>
    <row r="2" spans="2:11" ht="85.05" customHeight="1" x14ac:dyDescent="0.25">
      <c r="B2" s="244" t="s">
        <v>1680</v>
      </c>
      <c r="C2" s="244"/>
      <c r="D2" s="244"/>
      <c r="E2" s="244"/>
      <c r="F2" s="244"/>
      <c r="G2" s="244"/>
      <c r="H2" s="244"/>
      <c r="I2" s="244"/>
      <c r="J2" s="244"/>
      <c r="K2" s="244"/>
    </row>
    <row r="4" spans="2:11" ht="31.95" customHeight="1" x14ac:dyDescent="0.25">
      <c r="B4" s="245" t="s">
        <v>1668</v>
      </c>
      <c r="C4" s="245"/>
      <c r="D4" s="245"/>
      <c r="E4" s="245"/>
      <c r="F4" s="245"/>
      <c r="G4" s="245"/>
      <c r="H4" s="245"/>
      <c r="I4" s="245"/>
      <c r="J4" s="245"/>
      <c r="K4" s="245"/>
    </row>
    <row r="5" spans="2:11" ht="16.05" customHeight="1" x14ac:dyDescent="0.25">
      <c r="B5" s="247" t="s">
        <v>1294</v>
      </c>
      <c r="C5" s="247"/>
      <c r="D5" s="247"/>
      <c r="E5" s="247"/>
      <c r="F5" s="247"/>
      <c r="G5" s="247"/>
      <c r="H5" s="247"/>
      <c r="I5" s="247"/>
      <c r="J5" s="247"/>
      <c r="K5" s="247"/>
    </row>
    <row r="7" spans="2:11" ht="18" customHeight="1" x14ac:dyDescent="0.25">
      <c r="B7" s="248" t="s">
        <v>1926</v>
      </c>
      <c r="C7" s="248"/>
      <c r="D7" s="248"/>
      <c r="E7" s="248"/>
      <c r="F7" s="248"/>
      <c r="G7" s="248"/>
      <c r="H7" s="248"/>
      <c r="I7" s="248"/>
      <c r="J7" s="248"/>
      <c r="K7" s="248"/>
    </row>
    <row r="8" spans="2:11" ht="18" customHeight="1" x14ac:dyDescent="0.25">
      <c r="B8" s="248"/>
      <c r="C8" s="248"/>
      <c r="D8" s="248"/>
      <c r="E8" s="248"/>
      <c r="F8" s="248"/>
      <c r="G8" s="248"/>
      <c r="H8" s="248"/>
      <c r="I8" s="248"/>
      <c r="J8" s="248"/>
      <c r="K8" s="248"/>
    </row>
    <row r="9" spans="2:11" s="228" customFormat="1" x14ac:dyDescent="0.25"/>
    <row r="10" spans="2:11" s="228" customFormat="1" ht="18" customHeight="1" x14ac:dyDescent="0.25">
      <c r="B10" s="251" t="s">
        <v>1728</v>
      </c>
      <c r="C10" s="251"/>
      <c r="D10" s="251"/>
      <c r="E10" s="251"/>
      <c r="F10" s="251"/>
      <c r="G10" s="251"/>
      <c r="H10" s="251"/>
      <c r="I10" s="251"/>
      <c r="J10" s="251"/>
      <c r="K10" s="251"/>
    </row>
    <row r="12" spans="2:11" ht="18" customHeight="1" x14ac:dyDescent="0.25">
      <c r="B12" s="249" t="s">
        <v>1343</v>
      </c>
      <c r="C12" s="249"/>
    </row>
    <row r="13" spans="2:11" ht="13.2" customHeight="1" x14ac:dyDescent="0.25">
      <c r="B13" s="250" t="s">
        <v>1662</v>
      </c>
      <c r="C13" s="250"/>
      <c r="D13" s="250"/>
      <c r="E13" s="250"/>
      <c r="F13" s="250"/>
      <c r="G13" s="250"/>
      <c r="H13" s="250"/>
      <c r="I13" s="250"/>
      <c r="J13" s="250"/>
      <c r="K13" s="250"/>
    </row>
    <row r="14" spans="2:11" x14ac:dyDescent="0.25">
      <c r="B14" s="250"/>
      <c r="C14" s="250"/>
      <c r="D14" s="250"/>
      <c r="E14" s="250"/>
      <c r="F14" s="250"/>
      <c r="G14" s="250"/>
      <c r="H14" s="250"/>
      <c r="I14" s="250"/>
      <c r="J14" s="250"/>
      <c r="K14" s="250"/>
    </row>
    <row r="15" spans="2:11" x14ac:dyDescent="0.25">
      <c r="B15" s="250"/>
      <c r="C15" s="250"/>
      <c r="D15" s="250"/>
      <c r="E15" s="250"/>
      <c r="F15" s="250"/>
      <c r="G15" s="250"/>
      <c r="H15" s="250"/>
      <c r="I15" s="250"/>
      <c r="J15" s="250"/>
      <c r="K15" s="250"/>
    </row>
    <row r="16" spans="2:11" s="207" customFormat="1" x14ac:dyDescent="0.25">
      <c r="B16" s="250"/>
      <c r="C16" s="250"/>
      <c r="D16" s="250"/>
      <c r="E16" s="250"/>
      <c r="F16" s="250"/>
      <c r="G16" s="250"/>
      <c r="H16" s="250"/>
      <c r="I16" s="250"/>
      <c r="J16" s="250"/>
      <c r="K16" s="250"/>
    </row>
    <row r="17" spans="2:11" x14ac:dyDescent="0.25">
      <c r="B17" s="250"/>
      <c r="C17" s="250"/>
      <c r="D17" s="250"/>
      <c r="E17" s="250"/>
      <c r="F17" s="250"/>
      <c r="G17" s="250"/>
      <c r="H17" s="250"/>
      <c r="I17" s="250"/>
      <c r="J17" s="250"/>
      <c r="K17" s="250"/>
    </row>
    <row r="18" spans="2:11" x14ac:dyDescent="0.25">
      <c r="B18" s="250"/>
      <c r="C18" s="250"/>
      <c r="D18" s="250"/>
      <c r="E18" s="250"/>
      <c r="F18" s="250"/>
      <c r="G18" s="250"/>
      <c r="H18" s="250"/>
      <c r="I18" s="250"/>
      <c r="J18" s="250"/>
      <c r="K18" s="250"/>
    </row>
    <row r="19" spans="2:11" x14ac:dyDescent="0.25">
      <c r="B19" s="250"/>
      <c r="C19" s="250"/>
      <c r="D19" s="250"/>
      <c r="E19" s="250"/>
      <c r="F19" s="250"/>
      <c r="G19" s="250"/>
      <c r="H19" s="250"/>
      <c r="I19" s="250"/>
      <c r="J19" s="250"/>
      <c r="K19" s="250"/>
    </row>
    <row r="20" spans="2:11" x14ac:dyDescent="0.25">
      <c r="B20" s="250"/>
      <c r="C20" s="250"/>
      <c r="D20" s="250"/>
      <c r="E20" s="250"/>
      <c r="F20" s="250"/>
      <c r="G20" s="250"/>
      <c r="H20" s="250"/>
      <c r="I20" s="250"/>
      <c r="J20" s="250"/>
      <c r="K20" s="250"/>
    </row>
    <row r="21" spans="2:11" x14ac:dyDescent="0.25">
      <c r="B21" s="208"/>
      <c r="C21" s="208"/>
      <c r="D21" s="208"/>
      <c r="E21" s="208"/>
      <c r="F21" s="208"/>
      <c r="G21" s="208"/>
      <c r="H21" s="208"/>
      <c r="I21" s="208"/>
      <c r="J21" s="208"/>
      <c r="K21" s="208"/>
    </row>
    <row r="22" spans="2:11" ht="18" customHeight="1" x14ac:dyDescent="0.25">
      <c r="B22" s="138" t="s">
        <v>1293</v>
      </c>
    </row>
    <row r="23" spans="2:11" ht="13.2" customHeight="1" x14ac:dyDescent="0.25">
      <c r="B23" s="246" t="s">
        <v>1400</v>
      </c>
      <c r="C23" s="246"/>
      <c r="D23" s="246"/>
      <c r="E23" s="246"/>
      <c r="F23" s="246"/>
      <c r="G23" s="246"/>
      <c r="H23" s="246"/>
      <c r="I23" s="246"/>
      <c r="J23" s="246"/>
      <c r="K23" s="246"/>
    </row>
    <row r="24" spans="2:11" x14ac:dyDescent="0.25">
      <c r="B24" s="246"/>
      <c r="C24" s="246"/>
      <c r="D24" s="246"/>
      <c r="E24" s="246"/>
      <c r="F24" s="246"/>
      <c r="G24" s="246"/>
      <c r="H24" s="246"/>
      <c r="I24" s="246"/>
      <c r="J24" s="246"/>
      <c r="K24" s="246"/>
    </row>
    <row r="25" spans="2:11" x14ac:dyDescent="0.25">
      <c r="B25" s="246"/>
      <c r="C25" s="246"/>
      <c r="D25" s="246"/>
      <c r="E25" s="246"/>
      <c r="F25" s="246"/>
      <c r="G25" s="246"/>
      <c r="H25" s="246"/>
      <c r="I25" s="246"/>
      <c r="J25" s="246"/>
      <c r="K25" s="246"/>
    </row>
    <row r="26" spans="2:11" x14ac:dyDescent="0.25">
      <c r="B26" s="246"/>
      <c r="C26" s="246"/>
      <c r="D26" s="246"/>
      <c r="E26" s="246"/>
      <c r="F26" s="246"/>
      <c r="G26" s="246"/>
      <c r="H26" s="246"/>
      <c r="I26" s="246"/>
      <c r="J26" s="246"/>
      <c r="K26" s="246"/>
    </row>
    <row r="27" spans="2:11" x14ac:dyDescent="0.25">
      <c r="B27" s="246"/>
      <c r="C27" s="246"/>
      <c r="D27" s="246"/>
      <c r="E27" s="246"/>
      <c r="F27" s="246"/>
      <c r="G27" s="246"/>
      <c r="H27" s="246"/>
      <c r="I27" s="246"/>
      <c r="J27" s="246"/>
      <c r="K27" s="246"/>
    </row>
    <row r="28" spans="2:11" x14ac:dyDescent="0.25">
      <c r="B28" s="246"/>
      <c r="C28" s="246"/>
      <c r="D28" s="246"/>
      <c r="E28" s="246"/>
      <c r="F28" s="246"/>
      <c r="G28" s="246"/>
      <c r="H28" s="246"/>
      <c r="I28" s="246"/>
      <c r="J28" s="246"/>
      <c r="K28" s="246"/>
    </row>
    <row r="29" spans="2:11" x14ac:dyDescent="0.25">
      <c r="B29" s="246"/>
      <c r="C29" s="246"/>
      <c r="D29" s="246"/>
      <c r="E29" s="246"/>
      <c r="F29" s="246"/>
      <c r="G29" s="246"/>
      <c r="H29" s="246"/>
      <c r="I29" s="246"/>
      <c r="J29" s="246"/>
      <c r="K29" s="246"/>
    </row>
    <row r="30" spans="2:11" x14ac:dyDescent="0.25">
      <c r="B30" s="246"/>
      <c r="C30" s="246"/>
      <c r="D30" s="246"/>
      <c r="E30" s="246"/>
      <c r="F30" s="246"/>
      <c r="G30" s="246"/>
      <c r="H30" s="246"/>
      <c r="I30" s="246"/>
      <c r="J30" s="246"/>
      <c r="K30" s="246"/>
    </row>
    <row r="31" spans="2:11" x14ac:dyDescent="0.25">
      <c r="B31" s="246"/>
      <c r="C31" s="246"/>
      <c r="D31" s="246"/>
      <c r="E31" s="246"/>
      <c r="F31" s="246"/>
      <c r="G31" s="246"/>
      <c r="H31" s="246"/>
      <c r="I31" s="246"/>
      <c r="J31" s="246"/>
      <c r="K31" s="246"/>
    </row>
    <row r="32" spans="2:11" x14ac:dyDescent="0.25">
      <c r="B32" s="246"/>
      <c r="C32" s="246"/>
      <c r="D32" s="246"/>
      <c r="E32" s="246"/>
      <c r="F32" s="246"/>
      <c r="G32" s="246"/>
      <c r="H32" s="246"/>
      <c r="I32" s="246"/>
      <c r="J32" s="246"/>
      <c r="K32" s="246"/>
    </row>
    <row r="34" spans="2:2" x14ac:dyDescent="0.25">
      <c r="B34" s="116" t="s">
        <v>1339</v>
      </c>
    </row>
    <row r="35" spans="2:2" x14ac:dyDescent="0.25">
      <c r="B35" s="1" t="s">
        <v>1295</v>
      </c>
    </row>
    <row r="36" spans="2:2" x14ac:dyDescent="0.25">
      <c r="B36" s="1" t="s">
        <v>1610</v>
      </c>
    </row>
    <row r="37" spans="2:2" x14ac:dyDescent="0.25">
      <c r="B37" s="1" t="s">
        <v>1332</v>
      </c>
    </row>
    <row r="38" spans="2:2" x14ac:dyDescent="0.25">
      <c r="B38" s="1" t="s">
        <v>1404</v>
      </c>
    </row>
    <row r="39" spans="2:2" x14ac:dyDescent="0.25">
      <c r="B39" s="1" t="s">
        <v>1342</v>
      </c>
    </row>
    <row r="40" spans="2:2" x14ac:dyDescent="0.25">
      <c r="B40" s="1" t="s">
        <v>1340</v>
      </c>
    </row>
    <row r="41" spans="2:2" x14ac:dyDescent="0.25">
      <c r="B41" s="1" t="s">
        <v>1395</v>
      </c>
    </row>
    <row r="42" spans="2:2" x14ac:dyDescent="0.25">
      <c r="B42" s="1" t="s">
        <v>1402</v>
      </c>
    </row>
    <row r="43" spans="2:2" x14ac:dyDescent="0.25">
      <c r="B43" s="1" t="s">
        <v>1433</v>
      </c>
    </row>
    <row r="44" spans="2:2" x14ac:dyDescent="0.25">
      <c r="B44" s="1" t="s">
        <v>1512</v>
      </c>
    </row>
    <row r="45" spans="2:2" x14ac:dyDescent="0.25">
      <c r="B45" s="1" t="s">
        <v>1518</v>
      </c>
    </row>
    <row r="46" spans="2:2" s="209" customFormat="1" x14ac:dyDescent="0.25">
      <c r="B46" s="1" t="s">
        <v>1667</v>
      </c>
    </row>
    <row r="47" spans="2:2" x14ac:dyDescent="0.25">
      <c r="B47" s="1" t="s">
        <v>1669</v>
      </c>
    </row>
    <row r="49" spans="2:5" x14ac:dyDescent="0.25">
      <c r="B49" s="117" t="s">
        <v>1296</v>
      </c>
      <c r="C49" s="35"/>
      <c r="D49" s="35"/>
      <c r="E49" s="35"/>
    </row>
    <row r="50" spans="2:5" x14ac:dyDescent="0.25">
      <c r="B50" s="118" t="s">
        <v>1529</v>
      </c>
    </row>
    <row r="51" spans="2:5" x14ac:dyDescent="0.25">
      <c r="B51" s="118" t="s">
        <v>1530</v>
      </c>
    </row>
    <row r="52" spans="2:5" x14ac:dyDescent="0.25">
      <c r="B52" s="118" t="s">
        <v>1531</v>
      </c>
    </row>
    <row r="53" spans="2:5" x14ac:dyDescent="0.25">
      <c r="B53" s="118" t="s">
        <v>1532</v>
      </c>
    </row>
    <row r="54" spans="2:5" x14ac:dyDescent="0.25">
      <c r="B54" s="118" t="s">
        <v>1526</v>
      </c>
    </row>
    <row r="56" spans="2:5" x14ac:dyDescent="0.25">
      <c r="B56" s="117" t="s">
        <v>1298</v>
      </c>
      <c r="C56" s="35"/>
      <c r="D56" s="35"/>
      <c r="E56" s="35"/>
    </row>
    <row r="57" spans="2:5" x14ac:dyDescent="0.25">
      <c r="B57" s="1" t="s">
        <v>1527</v>
      </c>
    </row>
    <row r="58" spans="2:5" x14ac:dyDescent="0.25">
      <c r="B58" s="1" t="s">
        <v>1525</v>
      </c>
    </row>
    <row r="60" spans="2:5" x14ac:dyDescent="0.25">
      <c r="B60" s="117" t="s">
        <v>1297</v>
      </c>
      <c r="C60" s="35"/>
      <c r="D60" s="35"/>
      <c r="E60" s="35"/>
    </row>
    <row r="61" spans="2:5" x14ac:dyDescent="0.25">
      <c r="B61" s="1" t="s">
        <v>1533</v>
      </c>
    </row>
    <row r="62" spans="2:5" x14ac:dyDescent="0.25">
      <c r="B62" s="1" t="s">
        <v>1534</v>
      </c>
    </row>
    <row r="63" spans="2:5" x14ac:dyDescent="0.25">
      <c r="B63" s="1" t="s">
        <v>1535</v>
      </c>
    </row>
    <row r="64" spans="2:5" x14ac:dyDescent="0.25">
      <c r="B64" s="1" t="s">
        <v>1536</v>
      </c>
    </row>
    <row r="65" spans="2:5" x14ac:dyDescent="0.25">
      <c r="B65" s="1" t="s">
        <v>1537</v>
      </c>
    </row>
    <row r="66" spans="2:5" x14ac:dyDescent="0.25">
      <c r="B66" s="1" t="s">
        <v>1538</v>
      </c>
    </row>
    <row r="68" spans="2:5" x14ac:dyDescent="0.25">
      <c r="B68" s="117" t="s">
        <v>1299</v>
      </c>
      <c r="C68" s="35"/>
      <c r="D68" s="35"/>
      <c r="E68" s="35"/>
    </row>
    <row r="69" spans="2:5" x14ac:dyDescent="0.25">
      <c r="B69" s="1" t="s">
        <v>1539</v>
      </c>
    </row>
    <row r="70" spans="2:5" x14ac:dyDescent="0.25">
      <c r="B70" s="1" t="s">
        <v>1540</v>
      </c>
    </row>
    <row r="71" spans="2:5" x14ac:dyDescent="0.25">
      <c r="B71" s="1" t="s">
        <v>1519</v>
      </c>
    </row>
    <row r="73" spans="2:5" x14ac:dyDescent="0.25">
      <c r="B73" s="117" t="s">
        <v>1300</v>
      </c>
      <c r="C73" s="35"/>
      <c r="D73" s="35"/>
      <c r="E73" s="35"/>
    </row>
    <row r="74" spans="2:5" x14ac:dyDescent="0.25">
      <c r="B74" s="1" t="s">
        <v>1524</v>
      </c>
    </row>
    <row r="75" spans="2:5" x14ac:dyDescent="0.25">
      <c r="B75" s="1" t="s">
        <v>1541</v>
      </c>
    </row>
    <row r="76" spans="2:5" x14ac:dyDescent="0.25">
      <c r="B76" s="1" t="s">
        <v>1542</v>
      </c>
    </row>
    <row r="77" spans="2:5" x14ac:dyDescent="0.25">
      <c r="B77" s="1" t="s">
        <v>1519</v>
      </c>
    </row>
    <row r="79" spans="2:5" x14ac:dyDescent="0.25">
      <c r="B79" s="117" t="s">
        <v>1301</v>
      </c>
      <c r="C79" s="35"/>
      <c r="D79" s="35"/>
      <c r="E79" s="35"/>
    </row>
    <row r="80" spans="2:5" x14ac:dyDescent="0.25">
      <c r="B80" s="1" t="s">
        <v>1543</v>
      </c>
    </row>
    <row r="81" spans="2:5" x14ac:dyDescent="0.25">
      <c r="B81" s="1" t="s">
        <v>1544</v>
      </c>
    </row>
    <row r="83" spans="2:5" x14ac:dyDescent="0.25">
      <c r="B83" s="117" t="s">
        <v>1302</v>
      </c>
      <c r="C83" s="35"/>
      <c r="D83" s="35"/>
      <c r="E83" s="35"/>
    </row>
    <row r="84" spans="2:5" x14ac:dyDescent="0.25">
      <c r="B84" s="1" t="s">
        <v>1545</v>
      </c>
    </row>
    <row r="85" spans="2:5" x14ac:dyDescent="0.25">
      <c r="B85" s="1" t="s">
        <v>1546</v>
      </c>
    </row>
    <row r="86" spans="2:5" x14ac:dyDescent="0.25">
      <c r="B86" s="1" t="s">
        <v>1547</v>
      </c>
    </row>
    <row r="87" spans="2:5" x14ac:dyDescent="0.25">
      <c r="B87" s="1" t="s">
        <v>1548</v>
      </c>
    </row>
    <row r="88" spans="2:5" x14ac:dyDescent="0.25">
      <c r="B88" s="1" t="s">
        <v>1523</v>
      </c>
    </row>
    <row r="90" spans="2:5" x14ac:dyDescent="0.25">
      <c r="B90" s="117" t="s">
        <v>1303</v>
      </c>
      <c r="C90" s="35"/>
      <c r="D90" s="35"/>
      <c r="E90" s="35"/>
    </row>
    <row r="91" spans="2:5" x14ac:dyDescent="0.25">
      <c r="B91" s="1" t="s">
        <v>1522</v>
      </c>
    </row>
    <row r="92" spans="2:5" x14ac:dyDescent="0.25">
      <c r="B92" s="1" t="s">
        <v>1521</v>
      </c>
    </row>
    <row r="94" spans="2:5" x14ac:dyDescent="0.25">
      <c r="B94" s="117" t="s">
        <v>1304</v>
      </c>
      <c r="C94" s="35"/>
      <c r="D94" s="35"/>
      <c r="E94" s="35"/>
    </row>
    <row r="95" spans="2:5" x14ac:dyDescent="0.25">
      <c r="B95" s="1" t="s">
        <v>1549</v>
      </c>
    </row>
    <row r="96" spans="2:5" x14ac:dyDescent="0.25">
      <c r="B96" s="1" t="s">
        <v>1305</v>
      </c>
    </row>
    <row r="97" spans="2:13" x14ac:dyDescent="0.25">
      <c r="B97" s="1" t="s">
        <v>1550</v>
      </c>
    </row>
    <row r="98" spans="2:13" x14ac:dyDescent="0.25">
      <c r="B98" s="1" t="s">
        <v>1553</v>
      </c>
    </row>
    <row r="99" spans="2:13" x14ac:dyDescent="0.25">
      <c r="B99" s="1" t="s">
        <v>1551</v>
      </c>
    </row>
    <row r="100" spans="2:13" x14ac:dyDescent="0.25">
      <c r="B100" s="1" t="s">
        <v>1552</v>
      </c>
    </row>
    <row r="101" spans="2:13" x14ac:dyDescent="0.25">
      <c r="B101" s="1" t="s">
        <v>1554</v>
      </c>
    </row>
    <row r="102" spans="2:13" x14ac:dyDescent="0.25">
      <c r="B102" s="1" t="s">
        <v>1555</v>
      </c>
    </row>
    <row r="103" spans="2:13" x14ac:dyDescent="0.25">
      <c r="B103" s="1" t="s">
        <v>1556</v>
      </c>
    </row>
    <row r="104" spans="2:13" x14ac:dyDescent="0.25">
      <c r="B104" s="1" t="s">
        <v>1520</v>
      </c>
    </row>
    <row r="105" spans="2:13" x14ac:dyDescent="0.25">
      <c r="B105" s="1" t="s">
        <v>1528</v>
      </c>
    </row>
    <row r="107" spans="2:13" x14ac:dyDescent="0.25">
      <c r="B107" s="241" t="s">
        <v>1344</v>
      </c>
      <c r="C107" s="242"/>
    </row>
    <row r="108" spans="2:13" x14ac:dyDescent="0.25">
      <c r="B108" s="139" t="s">
        <v>1345</v>
      </c>
      <c r="C108" s="140" t="s">
        <v>1366</v>
      </c>
      <c r="D108" s="141"/>
      <c r="E108" s="141"/>
      <c r="F108" s="141"/>
      <c r="G108" s="141"/>
      <c r="H108" s="141"/>
      <c r="I108" s="141"/>
      <c r="J108" s="141"/>
      <c r="K108" s="141"/>
      <c r="L108" s="141"/>
      <c r="M108" s="142"/>
    </row>
    <row r="109" spans="2:13" x14ac:dyDescent="0.25">
      <c r="B109" s="139" t="s">
        <v>1346</v>
      </c>
      <c r="C109" s="140" t="s">
        <v>1347</v>
      </c>
      <c r="D109" s="141"/>
      <c r="E109" s="141"/>
      <c r="F109" s="141"/>
      <c r="G109" s="141"/>
      <c r="H109" s="141"/>
      <c r="I109" s="141"/>
      <c r="J109" s="141"/>
      <c r="K109" s="141"/>
      <c r="L109" s="141"/>
      <c r="M109" s="142"/>
    </row>
    <row r="110" spans="2:13" x14ac:dyDescent="0.25">
      <c r="B110" s="139" t="s">
        <v>1350</v>
      </c>
      <c r="C110" s="140" t="s">
        <v>1351</v>
      </c>
      <c r="D110" s="141"/>
      <c r="E110" s="141"/>
      <c r="F110" s="141"/>
      <c r="G110" s="141"/>
      <c r="H110" s="141"/>
      <c r="I110" s="141"/>
      <c r="J110" s="141"/>
      <c r="K110" s="141"/>
      <c r="L110" s="141"/>
      <c r="M110" s="142"/>
    </row>
    <row r="111" spans="2:13" x14ac:dyDescent="0.25">
      <c r="B111" s="139" t="s">
        <v>1349</v>
      </c>
      <c r="C111" s="140" t="s">
        <v>1348</v>
      </c>
      <c r="D111" s="141"/>
      <c r="E111" s="141"/>
      <c r="F111" s="141"/>
      <c r="G111" s="141"/>
      <c r="H111" s="141"/>
      <c r="I111" s="141"/>
      <c r="J111" s="141"/>
      <c r="K111" s="141"/>
      <c r="L111" s="141"/>
      <c r="M111" s="142"/>
    </row>
    <row r="112" spans="2:13" x14ac:dyDescent="0.25">
      <c r="B112" s="139" t="s">
        <v>1352</v>
      </c>
      <c r="C112" s="140" t="s">
        <v>1353</v>
      </c>
      <c r="D112" s="141"/>
      <c r="E112" s="141"/>
      <c r="F112" s="141"/>
      <c r="G112" s="141"/>
      <c r="H112" s="141"/>
      <c r="I112" s="141"/>
      <c r="J112" s="141"/>
      <c r="K112" s="141"/>
      <c r="L112" s="141"/>
      <c r="M112" s="142"/>
    </row>
    <row r="113" spans="2:14" x14ac:dyDescent="0.25">
      <c r="B113" s="139" t="s">
        <v>1354</v>
      </c>
      <c r="C113" s="140" t="s">
        <v>1355</v>
      </c>
      <c r="D113" s="141"/>
      <c r="E113" s="141"/>
      <c r="F113" s="141"/>
      <c r="G113" s="141"/>
      <c r="H113" s="141"/>
      <c r="I113" s="141"/>
      <c r="J113" s="141"/>
      <c r="K113" s="141"/>
      <c r="L113" s="141"/>
      <c r="M113" s="142"/>
    </row>
    <row r="114" spans="2:14" x14ac:dyDescent="0.25">
      <c r="B114" s="139" t="s">
        <v>1356</v>
      </c>
      <c r="C114" s="140" t="s">
        <v>1357</v>
      </c>
      <c r="D114" s="141"/>
      <c r="E114" s="141"/>
      <c r="F114" s="141"/>
      <c r="G114" s="141"/>
      <c r="H114" s="141"/>
      <c r="I114" s="141"/>
      <c r="J114" s="141"/>
      <c r="K114" s="141"/>
      <c r="L114" s="141"/>
      <c r="M114" s="142"/>
    </row>
    <row r="115" spans="2:14" x14ac:dyDescent="0.25">
      <c r="B115" s="139" t="s">
        <v>1396</v>
      </c>
      <c r="C115" s="140" t="s">
        <v>1397</v>
      </c>
      <c r="D115" s="141"/>
      <c r="E115" s="141"/>
      <c r="F115" s="141"/>
      <c r="G115" s="141"/>
      <c r="H115" s="141"/>
      <c r="I115" s="141"/>
      <c r="J115" s="141"/>
      <c r="K115" s="141"/>
      <c r="L115" s="141"/>
      <c r="M115" s="142"/>
    </row>
    <row r="116" spans="2:14" x14ac:dyDescent="0.25">
      <c r="B116" s="139" t="s">
        <v>1398</v>
      </c>
      <c r="C116" s="140" t="s">
        <v>1399</v>
      </c>
      <c r="D116" s="141"/>
      <c r="E116" s="141"/>
      <c r="F116" s="141"/>
      <c r="G116" s="141"/>
      <c r="H116" s="141"/>
      <c r="I116" s="141"/>
      <c r="J116" s="141"/>
      <c r="K116" s="141"/>
      <c r="L116" s="141"/>
      <c r="M116" s="142"/>
    </row>
    <row r="118" spans="2:14" s="219" customFormat="1" x14ac:dyDescent="0.25">
      <c r="E118" s="238" t="s">
        <v>1723</v>
      </c>
      <c r="F118" s="239"/>
      <c r="H118" s="238" t="s">
        <v>1723</v>
      </c>
      <c r="I118" s="240"/>
      <c r="J118" s="239"/>
      <c r="L118" s="238" t="s">
        <v>1723</v>
      </c>
      <c r="M118" s="240"/>
      <c r="N118" s="239"/>
    </row>
    <row r="119" spans="2:14" x14ac:dyDescent="0.25">
      <c r="B119" s="52" t="s">
        <v>1358</v>
      </c>
      <c r="E119" s="243" t="s">
        <v>1367</v>
      </c>
      <c r="F119" s="243"/>
      <c r="H119" s="243" t="s">
        <v>1367</v>
      </c>
      <c r="I119" s="243"/>
      <c r="J119" s="243"/>
      <c r="L119" s="243" t="s">
        <v>1367</v>
      </c>
      <c r="M119" s="243"/>
      <c r="N119" s="243"/>
    </row>
    <row r="120" spans="2:14" x14ac:dyDescent="0.25">
      <c r="B120" s="134" t="s">
        <v>798</v>
      </c>
      <c r="C120" s="1" t="s">
        <v>1359</v>
      </c>
      <c r="E120" s="221" t="s">
        <v>1370</v>
      </c>
      <c r="F120" s="222" t="s">
        <v>1107</v>
      </c>
      <c r="G120" s="21"/>
      <c r="H120" s="221" t="s">
        <v>1112</v>
      </c>
      <c r="I120" s="223" t="s">
        <v>1112</v>
      </c>
      <c r="J120" s="224"/>
      <c r="K120" s="21"/>
      <c r="L120" s="221" t="s">
        <v>1130</v>
      </c>
      <c r="M120" s="223" t="s">
        <v>1130</v>
      </c>
      <c r="N120" s="224"/>
    </row>
    <row r="121" spans="2:14" ht="15.6" x14ac:dyDescent="0.25">
      <c r="B121" s="137" t="s">
        <v>796</v>
      </c>
      <c r="C121" s="1" t="s">
        <v>1360</v>
      </c>
      <c r="E121" s="221" t="s">
        <v>1368</v>
      </c>
      <c r="F121" s="222" t="s">
        <v>1106</v>
      </c>
      <c r="G121" s="21"/>
      <c r="H121" s="221" t="s">
        <v>1687</v>
      </c>
      <c r="I121" s="223" t="s">
        <v>1114</v>
      </c>
      <c r="J121" s="224"/>
      <c r="K121" s="21"/>
      <c r="L121" s="221" t="s">
        <v>1387</v>
      </c>
      <c r="M121" s="223" t="s">
        <v>1688</v>
      </c>
      <c r="N121" s="224"/>
    </row>
    <row r="122" spans="2:14" x14ac:dyDescent="0.25">
      <c r="B122" s="135" t="s">
        <v>795</v>
      </c>
      <c r="C122" s="1" t="s">
        <v>1361</v>
      </c>
      <c r="E122" s="221" t="s">
        <v>1369</v>
      </c>
      <c r="F122" s="222" t="s">
        <v>1126</v>
      </c>
      <c r="G122" s="21"/>
      <c r="H122" s="221" t="s">
        <v>1378</v>
      </c>
      <c r="I122" s="223" t="s">
        <v>1224</v>
      </c>
      <c r="J122" s="224"/>
      <c r="K122" s="21"/>
      <c r="L122" s="221" t="s">
        <v>1388</v>
      </c>
      <c r="M122" s="223" t="s">
        <v>1389</v>
      </c>
      <c r="N122" s="224"/>
    </row>
    <row r="123" spans="2:14" ht="15.6" x14ac:dyDescent="0.25">
      <c r="B123" s="45" t="s">
        <v>794</v>
      </c>
      <c r="C123" s="1" t="s">
        <v>1362</v>
      </c>
      <c r="E123" s="221" t="s">
        <v>1371</v>
      </c>
      <c r="F123" s="222" t="s">
        <v>1143</v>
      </c>
      <c r="G123" s="21"/>
      <c r="H123" s="221" t="s">
        <v>1379</v>
      </c>
      <c r="I123" s="223" t="s">
        <v>1380</v>
      </c>
      <c r="J123" s="224"/>
      <c r="K123" s="21"/>
      <c r="L123" s="221" t="s">
        <v>1690</v>
      </c>
      <c r="M123" s="223" t="s">
        <v>1168</v>
      </c>
      <c r="N123" s="224"/>
    </row>
    <row r="124" spans="2:14" x14ac:dyDescent="0.25">
      <c r="B124" s="133" t="s">
        <v>793</v>
      </c>
      <c r="C124" s="1" t="s">
        <v>1363</v>
      </c>
      <c r="E124" s="221" t="s">
        <v>1372</v>
      </c>
      <c r="F124" s="222" t="s">
        <v>1147</v>
      </c>
      <c r="G124" s="21"/>
      <c r="H124" s="221" t="s">
        <v>1381</v>
      </c>
      <c r="I124" s="223" t="s">
        <v>1150</v>
      </c>
      <c r="J124" s="224"/>
      <c r="K124" s="21"/>
      <c r="L124" s="221" t="s">
        <v>1691</v>
      </c>
      <c r="M124" s="223" t="s">
        <v>1171</v>
      </c>
      <c r="N124" s="224"/>
    </row>
    <row r="125" spans="2:14" ht="15.6" x14ac:dyDescent="0.25">
      <c r="B125" s="44" t="s">
        <v>792</v>
      </c>
      <c r="C125" s="1" t="s">
        <v>1364</v>
      </c>
      <c r="E125" s="221" t="s">
        <v>1373</v>
      </c>
      <c r="F125" s="222" t="s">
        <v>1140</v>
      </c>
      <c r="G125" s="21"/>
      <c r="H125" s="221" t="s">
        <v>1383</v>
      </c>
      <c r="I125" s="223" t="s">
        <v>1382</v>
      </c>
      <c r="J125" s="224"/>
      <c r="K125" s="21"/>
      <c r="L125" s="221" t="s">
        <v>1218</v>
      </c>
      <c r="M125" s="223" t="s">
        <v>1218</v>
      </c>
      <c r="N125" s="224"/>
    </row>
    <row r="126" spans="2:14" ht="15.6" x14ac:dyDescent="0.25">
      <c r="B126" s="136" t="s">
        <v>797</v>
      </c>
      <c r="C126" s="1" t="s">
        <v>1365</v>
      </c>
      <c r="E126" s="221" t="s">
        <v>1376</v>
      </c>
      <c r="F126" s="222" t="s">
        <v>1123</v>
      </c>
      <c r="G126" s="21"/>
      <c r="H126" s="221" t="s">
        <v>1393</v>
      </c>
      <c r="I126" s="223" t="s">
        <v>1394</v>
      </c>
      <c r="J126" s="224"/>
      <c r="K126" s="21"/>
      <c r="L126" s="221" t="s">
        <v>1692</v>
      </c>
      <c r="M126" s="223" t="s">
        <v>1219</v>
      </c>
      <c r="N126" s="224"/>
    </row>
    <row r="127" spans="2:14" s="219" customFormat="1" ht="13.2" customHeight="1" x14ac:dyDescent="0.25">
      <c r="E127" s="221" t="s">
        <v>1374</v>
      </c>
      <c r="F127" s="222" t="s">
        <v>1375</v>
      </c>
      <c r="G127" s="21"/>
      <c r="H127" s="221" t="s">
        <v>1390</v>
      </c>
      <c r="I127" s="223" t="s">
        <v>1391</v>
      </c>
      <c r="J127" s="224"/>
      <c r="K127" s="21"/>
      <c r="L127" s="221" t="s">
        <v>1693</v>
      </c>
      <c r="M127" s="223" t="s">
        <v>1220</v>
      </c>
      <c r="N127" s="224"/>
    </row>
    <row r="128" spans="2:14" s="219" customFormat="1" ht="15.6" x14ac:dyDescent="0.25">
      <c r="E128" s="221" t="s">
        <v>1689</v>
      </c>
      <c r="F128" s="222" t="s">
        <v>980</v>
      </c>
      <c r="G128" s="21"/>
      <c r="H128" s="221" t="s">
        <v>1392</v>
      </c>
      <c r="I128" s="223" t="s">
        <v>1694</v>
      </c>
      <c r="J128" s="224"/>
      <c r="K128" s="21"/>
      <c r="L128" s="221" t="s">
        <v>1708</v>
      </c>
      <c r="M128" s="223" t="s">
        <v>1225</v>
      </c>
      <c r="N128" s="224"/>
    </row>
    <row r="129" spans="2:14" s="219" customFormat="1" x14ac:dyDescent="0.25">
      <c r="E129" s="221" t="s">
        <v>1377</v>
      </c>
      <c r="F129" s="222" t="s">
        <v>1148</v>
      </c>
      <c r="G129" s="21"/>
      <c r="H129" s="221" t="s">
        <v>1117</v>
      </c>
      <c r="I129" s="223" t="s">
        <v>1117</v>
      </c>
      <c r="J129" s="224"/>
      <c r="K129" s="21"/>
      <c r="L129" s="221" t="s">
        <v>1709</v>
      </c>
      <c r="M129" s="223" t="s">
        <v>1228</v>
      </c>
      <c r="N129" s="224"/>
    </row>
    <row r="130" spans="2:14" s="219" customFormat="1" x14ac:dyDescent="0.25">
      <c r="E130" s="221" t="s">
        <v>1384</v>
      </c>
      <c r="F130" s="222" t="s">
        <v>1174</v>
      </c>
      <c r="G130" s="21"/>
      <c r="H130" s="221" t="s">
        <v>1120</v>
      </c>
      <c r="I130" s="223" t="s">
        <v>1120</v>
      </c>
      <c r="J130" s="224"/>
      <c r="K130" s="21"/>
      <c r="L130" s="221" t="s">
        <v>1710</v>
      </c>
      <c r="M130" s="223" t="s">
        <v>1265</v>
      </c>
      <c r="N130" s="224"/>
    </row>
    <row r="131" spans="2:14" s="219" customFormat="1" x14ac:dyDescent="0.25">
      <c r="E131" s="221" t="s">
        <v>1696</v>
      </c>
      <c r="F131" s="222" t="s">
        <v>1697</v>
      </c>
      <c r="G131" s="21"/>
      <c r="H131" s="221" t="s">
        <v>1396</v>
      </c>
      <c r="I131" s="223" t="s">
        <v>1695</v>
      </c>
      <c r="J131" s="224"/>
      <c r="K131" s="21"/>
      <c r="L131" s="221" t="s">
        <v>1598</v>
      </c>
      <c r="M131" s="223" t="s">
        <v>1713</v>
      </c>
      <c r="N131" s="224"/>
    </row>
    <row r="132" spans="2:14" s="219" customFormat="1" ht="15.6" x14ac:dyDescent="0.25">
      <c r="E132" s="221" t="s">
        <v>1700</v>
      </c>
      <c r="F132" s="222" t="s">
        <v>1698</v>
      </c>
      <c r="G132" s="21"/>
      <c r="H132" s="221" t="s">
        <v>1704</v>
      </c>
      <c r="I132" s="223" t="s">
        <v>1705</v>
      </c>
      <c r="J132" s="224"/>
      <c r="K132" s="21"/>
      <c r="L132" s="221" t="s">
        <v>1717</v>
      </c>
      <c r="M132" s="223" t="s">
        <v>1714</v>
      </c>
      <c r="N132" s="224"/>
    </row>
    <row r="133" spans="2:14" s="219" customFormat="1" ht="15.6" x14ac:dyDescent="0.25">
      <c r="E133" s="221" t="s">
        <v>1197</v>
      </c>
      <c r="F133" s="222" t="s">
        <v>1699</v>
      </c>
      <c r="G133" s="21"/>
      <c r="H133" s="221" t="s">
        <v>1706</v>
      </c>
      <c r="I133" s="223" t="s">
        <v>1707</v>
      </c>
      <c r="J133" s="224"/>
      <c r="K133" s="21"/>
      <c r="L133" s="221" t="s">
        <v>1715</v>
      </c>
      <c r="M133" s="223" t="s">
        <v>1716</v>
      </c>
      <c r="N133" s="224"/>
    </row>
    <row r="134" spans="2:14" s="219" customFormat="1" ht="15.6" x14ac:dyDescent="0.25">
      <c r="E134" s="221" t="s">
        <v>1198</v>
      </c>
      <c r="F134" s="222" t="s">
        <v>1701</v>
      </c>
      <c r="G134" s="21"/>
      <c r="H134" s="221" t="s">
        <v>1711</v>
      </c>
      <c r="I134" s="223" t="s">
        <v>1712</v>
      </c>
      <c r="J134" s="224"/>
      <c r="K134" s="21"/>
      <c r="L134" s="221" t="s">
        <v>1721</v>
      </c>
      <c r="M134" s="223" t="s">
        <v>1720</v>
      </c>
      <c r="N134" s="224"/>
    </row>
    <row r="135" spans="2:14" s="219" customFormat="1" ht="15.6" customHeight="1" x14ac:dyDescent="0.25">
      <c r="E135" s="221" t="s">
        <v>1204</v>
      </c>
      <c r="F135" s="222" t="s">
        <v>1702</v>
      </c>
      <c r="G135" s="21"/>
      <c r="H135" s="221" t="s">
        <v>1388</v>
      </c>
      <c r="I135" s="223" t="s">
        <v>1389</v>
      </c>
      <c r="J135" s="224"/>
      <c r="K135" s="21"/>
      <c r="L135" s="221" t="s">
        <v>1718</v>
      </c>
      <c r="M135" s="223" t="s">
        <v>1719</v>
      </c>
      <c r="N135" s="224"/>
    </row>
    <row r="136" spans="2:14" s="219" customFormat="1" x14ac:dyDescent="0.25">
      <c r="E136" s="221" t="s">
        <v>1199</v>
      </c>
      <c r="F136" s="222" t="s">
        <v>1703</v>
      </c>
      <c r="G136" s="21"/>
      <c r="H136" s="221" t="s">
        <v>1385</v>
      </c>
      <c r="I136" s="223" t="s">
        <v>1386</v>
      </c>
      <c r="J136" s="224"/>
      <c r="K136" s="21"/>
      <c r="L136" s="221" t="s">
        <v>1604</v>
      </c>
      <c r="M136" s="223" t="s">
        <v>1722</v>
      </c>
      <c r="N136" s="224"/>
    </row>
    <row r="138" spans="2:14" ht="18" customHeight="1" x14ac:dyDescent="0.25">
      <c r="B138" s="237" t="s">
        <v>1686</v>
      </c>
      <c r="C138" s="237"/>
      <c r="D138" s="237"/>
      <c r="E138" s="237"/>
      <c r="F138" s="237"/>
      <c r="G138" s="237"/>
      <c r="H138" s="237"/>
      <c r="I138" s="237"/>
      <c r="J138" s="237"/>
      <c r="K138" s="237"/>
      <c r="L138" s="237"/>
      <c r="M138" s="237"/>
      <c r="N138" s="237"/>
    </row>
  </sheetData>
  <mergeCells count="16">
    <mergeCell ref="B2:K2"/>
    <mergeCell ref="B4:K4"/>
    <mergeCell ref="B23:K32"/>
    <mergeCell ref="B5:K5"/>
    <mergeCell ref="B7:K8"/>
    <mergeCell ref="B12:C12"/>
    <mergeCell ref="B13:K20"/>
    <mergeCell ref="B10:K10"/>
    <mergeCell ref="B138:N138"/>
    <mergeCell ref="E118:F118"/>
    <mergeCell ref="H118:J118"/>
    <mergeCell ref="L118:N118"/>
    <mergeCell ref="B107:C107"/>
    <mergeCell ref="E119:F119"/>
    <mergeCell ref="H119:J119"/>
    <mergeCell ref="L119:N119"/>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7BF3-07A6-4067-AFE1-1357AAD85A42}">
  <dimension ref="A1:AU31"/>
  <sheetViews>
    <sheetView workbookViewId="0">
      <pane xSplit="2" ySplit="4" topLeftCell="C5" activePane="bottomRight" state="frozen"/>
      <selection pane="topRight" activeCell="B1" sqref="B1"/>
      <selection pane="bottomLeft" activeCell="A5" sqref="A5"/>
      <selection pane="bottomRight" activeCell="C5" sqref="C5"/>
    </sheetView>
  </sheetViews>
  <sheetFormatPr defaultColWidth="10.77734375" defaultRowHeight="13.2" x14ac:dyDescent="0.25"/>
  <cols>
    <col min="1" max="1" width="3.33203125" style="185" customWidth="1"/>
    <col min="2" max="2" width="28.77734375" style="2" customWidth="1"/>
    <col min="3" max="16384" width="10.77734375" style="2"/>
  </cols>
  <sheetData>
    <row r="1" spans="1:47" x14ac:dyDescent="0.25">
      <c r="C1" s="254" t="s">
        <v>1106</v>
      </c>
      <c r="D1" s="254" t="s">
        <v>1107</v>
      </c>
      <c r="E1" s="254" t="s">
        <v>1126</v>
      </c>
      <c r="F1" s="254" t="s">
        <v>1143</v>
      </c>
      <c r="G1" s="254" t="s">
        <v>1147</v>
      </c>
      <c r="H1" s="254" t="s">
        <v>1140</v>
      </c>
      <c r="I1" s="254" t="s">
        <v>1123</v>
      </c>
      <c r="J1" s="255" t="s">
        <v>1558</v>
      </c>
      <c r="K1" s="254" t="s">
        <v>1148</v>
      </c>
      <c r="L1" s="255" t="s">
        <v>1559</v>
      </c>
      <c r="M1" s="255" t="s">
        <v>1560</v>
      </c>
      <c r="N1" s="254" t="s">
        <v>1266</v>
      </c>
      <c r="O1" s="255" t="s">
        <v>1593</v>
      </c>
      <c r="P1" s="255" t="s">
        <v>1561</v>
      </c>
      <c r="Q1" s="255" t="s">
        <v>1562</v>
      </c>
      <c r="R1" s="254" t="s">
        <v>1174</v>
      </c>
      <c r="S1" s="255" t="s">
        <v>1563</v>
      </c>
      <c r="T1" s="254" t="s">
        <v>1130</v>
      </c>
      <c r="U1" s="255" t="s">
        <v>1564</v>
      </c>
      <c r="V1" s="254" t="s">
        <v>1168</v>
      </c>
      <c r="W1" s="254" t="s">
        <v>1112</v>
      </c>
      <c r="X1" s="254" t="s">
        <v>1114</v>
      </c>
      <c r="Y1" s="254" t="s">
        <v>1171</v>
      </c>
      <c r="Z1" s="254" t="s">
        <v>1177</v>
      </c>
      <c r="AA1" s="254" t="s">
        <v>1218</v>
      </c>
      <c r="AB1" s="254" t="s">
        <v>1219</v>
      </c>
      <c r="AC1" s="254" t="s">
        <v>1220</v>
      </c>
      <c r="AD1" s="254" t="s">
        <v>1225</v>
      </c>
      <c r="AE1" s="254" t="s">
        <v>1228</v>
      </c>
      <c r="AF1" s="254" t="s">
        <v>1265</v>
      </c>
      <c r="AG1" s="254" t="s">
        <v>1598</v>
      </c>
      <c r="AH1" s="254" t="s">
        <v>1600</v>
      </c>
      <c r="AI1" s="254" t="s">
        <v>1602</v>
      </c>
      <c r="AJ1" s="254" t="s">
        <v>1605</v>
      </c>
      <c r="AK1" s="254" t="s">
        <v>1603</v>
      </c>
      <c r="AL1" s="254" t="s">
        <v>1604</v>
      </c>
      <c r="AM1" s="254" t="s">
        <v>1386</v>
      </c>
    </row>
    <row r="2" spans="1:47" x14ac:dyDescent="0.25">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254"/>
      <c r="AM2" s="254"/>
    </row>
    <row r="3" spans="1:47" x14ac:dyDescent="0.25">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254"/>
      <c r="AM3" s="254"/>
    </row>
    <row r="4" spans="1:47" ht="15.6" x14ac:dyDescent="0.25">
      <c r="C4" s="21" t="s">
        <v>27</v>
      </c>
      <c r="D4" s="21" t="s">
        <v>98</v>
      </c>
      <c r="E4" s="21" t="s">
        <v>14</v>
      </c>
      <c r="F4" s="21" t="s">
        <v>15</v>
      </c>
      <c r="G4" s="21" t="s">
        <v>16</v>
      </c>
      <c r="H4" s="21" t="s">
        <v>17</v>
      </c>
      <c r="I4" s="21" t="s">
        <v>18</v>
      </c>
      <c r="J4" s="21" t="s">
        <v>712</v>
      </c>
      <c r="K4" s="21" t="s">
        <v>938</v>
      </c>
      <c r="L4" s="21" t="s">
        <v>961</v>
      </c>
      <c r="M4" s="21" t="s">
        <v>363</v>
      </c>
      <c r="N4" s="21" t="s">
        <v>1244</v>
      </c>
      <c r="O4" s="21" t="s">
        <v>1594</v>
      </c>
      <c r="P4" s="21" t="s">
        <v>20</v>
      </c>
      <c r="Q4" s="21" t="s">
        <v>735</v>
      </c>
      <c r="R4" s="21" t="s">
        <v>424</v>
      </c>
      <c r="S4" s="21" t="s">
        <v>1565</v>
      </c>
      <c r="T4" s="21" t="s">
        <v>1156</v>
      </c>
      <c r="U4" s="21" t="s">
        <v>1341</v>
      </c>
      <c r="V4" s="21" t="s">
        <v>1169</v>
      </c>
      <c r="W4" s="21" t="s">
        <v>20</v>
      </c>
      <c r="X4" s="21" t="s">
        <v>20</v>
      </c>
      <c r="Y4" s="21" t="s">
        <v>1597</v>
      </c>
      <c r="Z4" s="21" t="s">
        <v>1641</v>
      </c>
      <c r="AA4" s="21" t="s">
        <v>1617</v>
      </c>
      <c r="AB4" s="21" t="s">
        <v>1596</v>
      </c>
      <c r="AC4" s="21" t="s">
        <v>973</v>
      </c>
      <c r="AD4" s="21" t="s">
        <v>1226</v>
      </c>
      <c r="AE4" s="21" t="s">
        <v>1227</v>
      </c>
      <c r="AF4" s="21" t="s">
        <v>923</v>
      </c>
      <c r="AG4" s="21" t="s">
        <v>1599</v>
      </c>
      <c r="AH4" s="21" t="s">
        <v>1601</v>
      </c>
      <c r="AI4" s="21" t="s">
        <v>1607</v>
      </c>
      <c r="AJ4" s="21" t="s">
        <v>1606</v>
      </c>
      <c r="AK4" s="21" t="s">
        <v>1608</v>
      </c>
      <c r="AL4" s="21" t="s">
        <v>1609</v>
      </c>
      <c r="AM4" s="21" t="s">
        <v>613</v>
      </c>
    </row>
    <row r="5" spans="1:47" x14ac:dyDescent="0.25">
      <c r="A5" s="252" t="s">
        <v>1612</v>
      </c>
      <c r="B5" s="2" t="s">
        <v>1557</v>
      </c>
      <c r="C5" s="21">
        <f>COUNT('Mine by Mine'!BS5:BS594)</f>
        <v>340</v>
      </c>
      <c r="D5" s="21">
        <f>COUNT('Mine by Mine'!BT5:BT594)</f>
        <v>137</v>
      </c>
      <c r="E5" s="21">
        <f>COUNT('Mine by Mine'!BU5:BU594)</f>
        <v>147</v>
      </c>
      <c r="F5" s="21">
        <f>COUNT('Mine by Mine'!BV5:BV594)</f>
        <v>47</v>
      </c>
      <c r="G5" s="21">
        <f>COUNT('Mine by Mine'!BW5:BW594)</f>
        <v>33</v>
      </c>
      <c r="H5" s="21">
        <f>COUNT('Mine by Mine'!BX5:BX594)</f>
        <v>25</v>
      </c>
      <c r="I5" s="21">
        <f>COUNT('Mine by Mine'!BY5:BY594)</f>
        <v>11</v>
      </c>
      <c r="J5" s="21">
        <f>COUNT('Mine by Mine'!BZ5:BZ594)</f>
        <v>45</v>
      </c>
      <c r="K5" s="21">
        <f>COUNT('Mine by Mine'!CA5:CA594)</f>
        <v>41</v>
      </c>
      <c r="L5" s="21">
        <f>COUNT('Mine by Mine'!CB5:CB594)</f>
        <v>20</v>
      </c>
      <c r="M5" s="21">
        <f>COUNT('Mine by Mine'!CC5:CC594)</f>
        <v>14</v>
      </c>
      <c r="N5" s="21">
        <f>COUNT('Mine by Mine'!CD5:CD594)</f>
        <v>3</v>
      </c>
      <c r="O5" s="21" t="s">
        <v>1592</v>
      </c>
      <c r="P5" s="21">
        <f>COUNT('Mine by Mine'!CE5:CE594)</f>
        <v>10</v>
      </c>
      <c r="Q5" s="21">
        <f>COUNT('Mine by Mine'!CF5:CF594)</f>
        <v>5</v>
      </c>
      <c r="R5" s="21">
        <f>COUNT('Mine by Mine'!CG5:CG594)</f>
        <v>2</v>
      </c>
      <c r="S5" s="21">
        <f>COUNT('Mine by Mine'!CH5:CH594)</f>
        <v>3</v>
      </c>
      <c r="T5" s="21">
        <f>COUNT('Mine by Mine'!CI5:CI594)</f>
        <v>5</v>
      </c>
      <c r="U5" s="21">
        <f>COUNT('Mine by Mine'!CJ5:CJ594)</f>
        <v>1</v>
      </c>
      <c r="V5" s="21" t="s">
        <v>1592</v>
      </c>
      <c r="W5" s="21">
        <v>14</v>
      </c>
      <c r="X5" s="21">
        <v>8</v>
      </c>
      <c r="Y5" s="185" t="s">
        <v>1592</v>
      </c>
      <c r="Z5" s="21">
        <v>1</v>
      </c>
      <c r="AA5" s="21" t="s">
        <v>1592</v>
      </c>
      <c r="AB5" s="21">
        <v>5</v>
      </c>
      <c r="AC5" s="21">
        <v>2</v>
      </c>
      <c r="AD5" s="21" t="s">
        <v>1592</v>
      </c>
      <c r="AE5" s="21" t="s">
        <v>1592</v>
      </c>
      <c r="AF5" s="21">
        <v>1</v>
      </c>
      <c r="AG5" s="21" t="s">
        <v>1592</v>
      </c>
      <c r="AH5" s="21" t="s">
        <v>1592</v>
      </c>
      <c r="AI5" s="21" t="s">
        <v>1592</v>
      </c>
      <c r="AJ5" s="21" t="s">
        <v>1592</v>
      </c>
      <c r="AK5" s="21" t="s">
        <v>1592</v>
      </c>
      <c r="AL5" s="21" t="s">
        <v>1592</v>
      </c>
      <c r="AM5" s="21">
        <v>5</v>
      </c>
    </row>
    <row r="6" spans="1:47" x14ac:dyDescent="0.25">
      <c r="A6" s="252"/>
      <c r="B6" s="2" t="s">
        <v>1359</v>
      </c>
      <c r="C6" s="186">
        <f>SUM('Mine by Mine'!BS147,'Mine by Mine'!BS157,'Mine by Mine'!BS202,'Mine by Mine'!BS235:BS270,'Mine by Mine'!CP266,'Mine by Mine'!BS310:BS316,'Mine by Mine'!BS318:BS320,'Mine by Mine'!BS335:BS337,'Mine by Mine'!BS340:BS341,'Mine by Mine'!BS351,'Mine by Mine'!BS374:BS426,'Mine by Mine'!BS439,'Mine by Mine'!BS463:BS467,'Mine by Mine'!BS470:BS472,'Mine by Mine'!BS477:BS481,'Mine by Mine'!BS489:BS499,'Mine by Mine'!BS556,'Mine by Mine'!BS578,'Mine by Mine'!BS658:BS690,'Mine by Mine'!CN658:CP690)</f>
        <v>1633.1343698830055</v>
      </c>
      <c r="D6" s="187">
        <f>SUM('Mine by Mine'!BT157,'Mine by Mine'!BT202,'Mine by Mine'!BT235:BT270,'Mine by Mine'!BT310:BT316,'Mine by Mine'!BT318:BT320,'Mine by Mine'!BT335:BT337,'Mine by Mine'!BT340:BT341,'Mine by Mine'!BT351,'Mine by Mine'!BT374:BT426,'Mine by Mine'!BT439,'Mine by Mine'!BT463:BT467,'Mine by Mine'!BT470:BT472,'Mine by Mine'!BT477:BT481,'Mine by Mine'!BT489:BT499,'Mine by Mine'!BT556,'Mine by Mine'!BT578)</f>
        <v>47239.907010023562</v>
      </c>
      <c r="E6" s="187">
        <f>SUM('Mine by Mine'!BU157,'Mine by Mine'!BU202,'Mine by Mine'!BU235:BU270,'Mine by Mine'!BU310:BU316,'Mine by Mine'!BU318:BU320,'Mine by Mine'!BU335:BU337,'Mine by Mine'!BU340:BU341,'Mine by Mine'!BU351,'Mine by Mine'!BU374:BU426,'Mine by Mine'!BU439,'Mine by Mine'!BU463:BU467,'Mine by Mine'!BU470:BU472,'Mine by Mine'!BU477:BU481,'Mine by Mine'!BU489:BU499,'Mine by Mine'!BU556,'Mine by Mine'!BU578)</f>
        <v>14415.529306829812</v>
      </c>
      <c r="F6" s="187">
        <f>SUM('Mine by Mine'!BV157,'Mine by Mine'!BV202,'Mine by Mine'!BV235:BV270,'Mine by Mine'!BV310:BV316,'Mine by Mine'!BV318:BV320,'Mine by Mine'!BV335:BV337,'Mine by Mine'!BV340:BV341,'Mine by Mine'!BV351,'Mine by Mine'!BV374:BV426,'Mine by Mine'!BV439,'Mine by Mine'!BV463:BV467,'Mine by Mine'!BV470:BV472,'Mine by Mine'!BV477:BV481,'Mine by Mine'!BV489:BV499,'Mine by Mine'!BV556,'Mine by Mine'!BV578)</f>
        <v>15492.366920225833</v>
      </c>
      <c r="G6" s="187">
        <f>SUM('Mine by Mine'!BW157,'Mine by Mine'!BW202,'Mine by Mine'!BW235:BW270,'Mine by Mine'!BW310:BW316,'Mine by Mine'!BW318:BW320,'Mine by Mine'!BW335:BW337,'Mine by Mine'!BW340:BW341,'Mine by Mine'!BW351,'Mine by Mine'!BW374:BW426,'Mine by Mine'!BW439,'Mine by Mine'!BW463:BW467,'Mine by Mine'!BW470:BW472,'Mine by Mine'!BW477:BW481,'Mine by Mine'!BW489:BW499,'Mine by Mine'!BW556,'Mine by Mine'!BW578)</f>
        <v>22421.412816978867</v>
      </c>
      <c r="H6" s="188">
        <f>SUM('Mine by Mine'!BX157,'Mine by Mine'!BX202,'Mine by Mine'!BX235:BX270,'Mine by Mine'!BX310:BX316,'Mine by Mine'!BX318:BX320,'Mine by Mine'!BX335:BX337,'Mine by Mine'!BX340:BX341,'Mine by Mine'!BX351,'Mine by Mine'!BX374:BX426,'Mine by Mine'!BX439,'Mine by Mine'!BX463:BX467,'Mine by Mine'!BX470:BX472,'Mine by Mine'!BX477:BX481,'Mine by Mine'!BX489:BX499,'Mine by Mine'!BX556,'Mine by Mine'!BX578)</f>
        <v>327.38471469016997</v>
      </c>
      <c r="I6" s="50">
        <f>SUM('Mine by Mine'!BY157,'Mine by Mine'!BY202,'Mine by Mine'!BY235:BY270,'Mine by Mine'!BY310:BY316,'Mine by Mine'!BY318:BY320,'Mine by Mine'!BY335:BY337,'Mine by Mine'!BY340:BY341,'Mine by Mine'!BY351,'Mine by Mine'!BY374:BY426,'Mine by Mine'!BY439,'Mine by Mine'!BY463:BY467,'Mine by Mine'!BY470:BY472,'Mine by Mine'!BY477:BY481,'Mine by Mine'!BY489:BY499,'Mine by Mine'!BY556,'Mine by Mine'!BY578)</f>
        <v>14.630675551579101</v>
      </c>
      <c r="J6" s="21">
        <f>SUM('Mine by Mine'!BZ157,'Mine by Mine'!BZ202,'Mine by Mine'!BZ235:BZ270,'Mine by Mine'!BZ310:BZ316,'Mine by Mine'!BZ318:BZ320,'Mine by Mine'!BZ335:BZ337,'Mine by Mine'!BZ340:BZ341,'Mine by Mine'!BZ351,'Mine by Mine'!BZ374:BZ426,'Mine by Mine'!BZ439,'Mine by Mine'!BZ463:BZ467,'Mine by Mine'!BZ470:BZ472,'Mine by Mine'!BZ477:BZ481,'Mine by Mine'!BZ489:BZ499,'Mine by Mine'!BZ556,'Mine by Mine'!BZ578)</f>
        <v>0</v>
      </c>
      <c r="K6" s="188">
        <f>SUM('Mine by Mine'!CA157,'Mine by Mine'!CA202,'Mine by Mine'!CA235:CA270,'Mine by Mine'!CA310:CA316,'Mine by Mine'!CA318:CA320,'Mine by Mine'!CA335:CA337,'Mine by Mine'!CA340:CA341,'Mine by Mine'!CA351,'Mine by Mine'!CA374:CA426,'Mine by Mine'!CA439,'Mine by Mine'!CA463:CA467,'Mine by Mine'!CA470:CA472,'Mine by Mine'!CA477:CA481,'Mine by Mine'!CA489:CA499,'Mine by Mine'!CA556,'Mine by Mine'!CA578)</f>
        <v>191.58888920908569</v>
      </c>
      <c r="L6" s="188">
        <f>SUM('Mine by Mine'!CB157,'Mine by Mine'!CB202,'Mine by Mine'!CB235:CB270,'Mine by Mine'!CB310:CB316,'Mine by Mine'!CB318:CB320,'Mine by Mine'!CB335:CB337,'Mine by Mine'!CB340:CB341,'Mine by Mine'!CB351,'Mine by Mine'!CB374:CB426,'Mine by Mine'!CB439,'Mine by Mine'!CB463:CB467,'Mine by Mine'!CB470:CB472,'Mine by Mine'!CB477:CB481,'Mine by Mine'!CB489:CB499,'Mine by Mine'!CB556,'Mine by Mine'!CB578)</f>
        <v>15.3764728833553</v>
      </c>
      <c r="M6" s="189">
        <f>SUM('Mine by Mine'!CC157,'Mine by Mine'!CC202,'Mine by Mine'!CC235:CC270,'Mine by Mine'!CC310:CC316,'Mine by Mine'!CC318:CC320,'Mine by Mine'!CC335:CC337,'Mine by Mine'!CC340:CC341,'Mine by Mine'!CC351,'Mine by Mine'!CC374:CC426,'Mine by Mine'!CC439,'Mine by Mine'!CC463:CC467,'Mine by Mine'!CC470:CC472,'Mine by Mine'!CC477:CC481,'Mine by Mine'!CC489:CC499,'Mine by Mine'!CC556,'Mine by Mine'!CC578)</f>
        <v>8.8927600000000009</v>
      </c>
      <c r="N6" s="21">
        <f>SUM('Mine by Mine'!CD157,'Mine by Mine'!CD202,'Mine by Mine'!CD235:CD270,'Mine by Mine'!CD310:CD316,'Mine by Mine'!CD318:CD320,'Mine by Mine'!CD335:CD337,'Mine by Mine'!CD340:CD341,'Mine by Mine'!CD351,'Mine by Mine'!CD374:CD426,'Mine by Mine'!CD439,'Mine by Mine'!CD463:CD467,'Mine by Mine'!CD470:CD472,'Mine by Mine'!CD477:CD481,'Mine by Mine'!CD489:CD499,'Mine by Mine'!CD556,'Mine by Mine'!CD578)</f>
        <v>0</v>
      </c>
      <c r="O6" s="21" t="s">
        <v>1592</v>
      </c>
      <c r="P6" s="21">
        <f>SUM('Mine by Mine'!CE157,'Mine by Mine'!CE202,'Mine by Mine'!CE235:CE270,'Mine by Mine'!CE310:CE316,'Mine by Mine'!CE318:CE320,'Mine by Mine'!CE335:CE337,'Mine by Mine'!CE340:CE341,'Mine by Mine'!CE351,'Mine by Mine'!CE374:CE426,'Mine by Mine'!CE439,'Mine by Mine'!CE463:CE467,'Mine by Mine'!CE470:CE472,'Mine by Mine'!CE477:CE481,'Mine by Mine'!CE489:CE499,'Mine by Mine'!CE556,'Mine by Mine'!CE578)</f>
        <v>0</v>
      </c>
      <c r="Q6" s="21">
        <f>SUM('Mine by Mine'!CF157,'Mine by Mine'!CF202,'Mine by Mine'!CF235:CF270,'Mine by Mine'!CF310:CF316,'Mine by Mine'!CF318:CF320,'Mine by Mine'!CF335:CF337,'Mine by Mine'!CF340:CF341,'Mine by Mine'!CF351,'Mine by Mine'!CF374:CF426,'Mine by Mine'!CF439,'Mine by Mine'!CF463:CF467,'Mine by Mine'!CF470:CF472,'Mine by Mine'!CF477:CF481,'Mine by Mine'!CF489:CF499,'Mine by Mine'!CF556,'Mine by Mine'!CF578)</f>
        <v>0</v>
      </c>
      <c r="R6" s="21">
        <f>SUM('Mine by Mine'!CG157,'Mine by Mine'!CG202,'Mine by Mine'!CG235:CG270,'Mine by Mine'!CG310:CG316,'Mine by Mine'!CG318:CG320,'Mine by Mine'!CG335:CG337,'Mine by Mine'!CG340:CG341,'Mine by Mine'!CG351,'Mine by Mine'!CG374:CG426,'Mine by Mine'!CG439,'Mine by Mine'!CG463:CG467,'Mine by Mine'!CG470:CG472,'Mine by Mine'!CG477:CG481,'Mine by Mine'!CG489:CG499,'Mine by Mine'!CG556,'Mine by Mine'!CG578)</f>
        <v>0</v>
      </c>
      <c r="S6" s="50">
        <f>SUM('Mine by Mine'!CH157,'Mine by Mine'!CH202,'Mine by Mine'!CH235:CH270,'Mine by Mine'!CH310:CH316,'Mine by Mine'!CH318:CH320,'Mine by Mine'!CH335:CH337,'Mine by Mine'!CH340:CH341,'Mine by Mine'!CH351,'Mine by Mine'!CH374:CH426,'Mine by Mine'!CH439,'Mine by Mine'!CH463:CH467,'Mine by Mine'!CH470:CH472,'Mine by Mine'!CH477:CH481,'Mine by Mine'!CH489:CH499,'Mine by Mine'!CH556,'Mine by Mine'!CH578)</f>
        <v>32.3280672</v>
      </c>
      <c r="T6" s="21">
        <f>SUM('Mine by Mine'!CI157,'Mine by Mine'!CI202,'Mine by Mine'!CI235:CI270,'Mine by Mine'!CI310:CI316,'Mine by Mine'!CI318:CI320,'Mine by Mine'!CI335:CI337,'Mine by Mine'!CI340:CI341,'Mine by Mine'!CI351,'Mine by Mine'!CI374:CI426,'Mine by Mine'!CI439,'Mine by Mine'!CI463:CI467,'Mine by Mine'!CI470:CI472,'Mine by Mine'!CI477:CI481,'Mine by Mine'!CI489:CI499,'Mine by Mine'!CI556,'Mine by Mine'!CI578)</f>
        <v>0</v>
      </c>
      <c r="U6" s="21">
        <f>SUM('Mine by Mine'!CJ157,'Mine by Mine'!CJ202,'Mine by Mine'!CJ235:CJ270,'Mine by Mine'!CJ310:CJ316,'Mine by Mine'!CJ318:CJ320,'Mine by Mine'!CJ335:CJ337,'Mine by Mine'!CJ340:CJ341,'Mine by Mine'!CJ351,'Mine by Mine'!CJ374:CJ426,'Mine by Mine'!CJ439,'Mine by Mine'!CJ463:CJ467,'Mine by Mine'!CJ470:CJ472,'Mine by Mine'!CJ477:CJ481,'Mine by Mine'!CJ489:CJ499,'Mine by Mine'!CJ556,'Mine by Mine'!CJ578)</f>
        <v>0</v>
      </c>
      <c r="V6" s="21" t="s">
        <v>1592</v>
      </c>
      <c r="W6" s="186">
        <v>780.07338514790001</v>
      </c>
      <c r="X6" s="50">
        <v>197.80303301999299</v>
      </c>
      <c r="Y6" s="185" t="s">
        <v>1592</v>
      </c>
      <c r="Z6" s="21">
        <v>0</v>
      </c>
      <c r="AA6" s="21" t="s">
        <v>1592</v>
      </c>
      <c r="AB6" s="21" t="s">
        <v>1592</v>
      </c>
      <c r="AC6" s="148">
        <v>0.41279899999999997</v>
      </c>
      <c r="AD6" s="21" t="s">
        <v>1592</v>
      </c>
      <c r="AE6" s="21" t="s">
        <v>1592</v>
      </c>
      <c r="AF6" s="21">
        <v>0</v>
      </c>
      <c r="AG6" s="21" t="s">
        <v>1592</v>
      </c>
      <c r="AH6" s="21" t="s">
        <v>1592</v>
      </c>
      <c r="AI6" s="21" t="s">
        <v>1592</v>
      </c>
      <c r="AJ6" s="21" t="s">
        <v>1592</v>
      </c>
      <c r="AK6" s="21" t="s">
        <v>1592</v>
      </c>
      <c r="AL6" s="21" t="s">
        <v>1592</v>
      </c>
      <c r="AM6" s="21">
        <v>0</v>
      </c>
    </row>
    <row r="7" spans="1:47" x14ac:dyDescent="0.25">
      <c r="A7" s="252"/>
      <c r="B7" s="2" t="s">
        <v>1360</v>
      </c>
      <c r="C7" s="186">
        <f>SUM('Mine by Mine'!BS162:BS194,'Mine by Mine'!BS309,'Mine by Mine'!BS321:BS323,'Mine by Mine'!BS429:BS431,'Mine by Mine'!BS447:BS449,'Mine by Mine'!BS452,'Mine by Mine'!BS473:BS476,'Mine by Mine'!BS482:BS484,'Mine by Mine'!BS581,'Mine by Mine'!BS591:BS594,'Mine by Mine'!BS720:BS732,'Mine by Mine'!CN720:CP732,'Mine by Mine'!BS735:BS747)</f>
        <v>1151.4172820534691</v>
      </c>
      <c r="D7" s="187">
        <f>SUM('Mine by Mine'!BT162:BT194,'Mine by Mine'!BT309,'Mine by Mine'!BT321:BT323,'Mine by Mine'!BT429:BT431,'Mine by Mine'!BT447:BT449,'Mine by Mine'!BT452,'Mine by Mine'!BT473:BT476,'Mine by Mine'!BT482:BT484,'Mine by Mine'!BT581,'Mine by Mine'!BT591:BT594)</f>
        <v>43039.426881599575</v>
      </c>
      <c r="E7" s="186">
        <f>SUM('Mine by Mine'!BU162:BU194,'Mine by Mine'!BU309,'Mine by Mine'!BU321:BU323,'Mine by Mine'!BU429:BU431,'Mine by Mine'!BU447:BU449,'Mine by Mine'!BU452,'Mine by Mine'!BU473:BU476,'Mine by Mine'!BU482:BU484,'Mine by Mine'!BU581,'Mine by Mine'!BU591:BU594)</f>
        <v>5370.5043827438294</v>
      </c>
      <c r="F7" s="187">
        <f>SUM('Mine by Mine'!BV162:BV194,'Mine by Mine'!BV309,'Mine by Mine'!BV321:BV323,'Mine by Mine'!BV429:BV431,'Mine by Mine'!BV447:BV449,'Mine by Mine'!BV452,'Mine by Mine'!BV473:BV476,'Mine by Mine'!BV482:BV484,'Mine by Mine'!BV581,'Mine by Mine'!BV591:BV594)</f>
        <v>25627.968143125559</v>
      </c>
      <c r="G7" s="187">
        <f>SUM('Mine by Mine'!BW162:BW194,'Mine by Mine'!BW309,'Mine by Mine'!BW321:BW323,'Mine by Mine'!BW429:BW431,'Mine by Mine'!BW447:BW449,'Mine by Mine'!BW452,'Mine by Mine'!BW473:BW476,'Mine by Mine'!BW482:BW484,'Mine by Mine'!BW581,'Mine by Mine'!BW591:BW594)</f>
        <v>27006.159434985821</v>
      </c>
      <c r="H7" s="21">
        <f>SUM('Mine by Mine'!BX162:BX194,'Mine by Mine'!BX309,'Mine by Mine'!BX321:BX323,'Mine by Mine'!BX429:BX431,'Mine by Mine'!BX447:BX449,'Mine by Mine'!BX452,'Mine by Mine'!BX473:BX476,'Mine by Mine'!BX482:BX484,'Mine by Mine'!BX581,'Mine by Mine'!BX591:BX594)</f>
        <v>0</v>
      </c>
      <c r="I7" s="147">
        <f>SUM('Mine by Mine'!BY162:BY194,'Mine by Mine'!BY309,'Mine by Mine'!BY321:BY323,'Mine by Mine'!BY429:BY431,'Mine by Mine'!BY447:BY449,'Mine by Mine'!BY452,'Mine by Mine'!BY473:BY476,'Mine by Mine'!BY482:BY484,'Mine by Mine'!BY581,'Mine by Mine'!BY591:BY594)</f>
        <v>0.95849440000000008</v>
      </c>
      <c r="J7" s="21">
        <f>SUM('Mine by Mine'!BZ162:BZ194,'Mine by Mine'!BZ309,'Mine by Mine'!BZ321:BZ323,'Mine by Mine'!BZ429:BZ431,'Mine by Mine'!BZ447:BZ449,'Mine by Mine'!BZ452,'Mine by Mine'!BZ473:BZ476,'Mine by Mine'!BZ482:BZ484,'Mine by Mine'!BZ581,'Mine by Mine'!BZ591:BZ594)</f>
        <v>0</v>
      </c>
      <c r="K7" s="188">
        <f>SUM('Mine by Mine'!CA162:CA194,'Mine by Mine'!CA309,'Mine by Mine'!CA321:CA323,'Mine by Mine'!CA429:CA431,'Mine by Mine'!CA447:CA449,'Mine by Mine'!CA452,'Mine by Mine'!CA473:CA476,'Mine by Mine'!CA482:CA484,'Mine by Mine'!CA581,'Mine by Mine'!CA591:CA594)</f>
        <v>177.97485366384399</v>
      </c>
      <c r="L7" s="21">
        <f>SUM('Mine by Mine'!CB162:CB194,'Mine by Mine'!CB309,'Mine by Mine'!CB321:CB323,'Mine by Mine'!CB429:CB431,'Mine by Mine'!CB447:CB449,'Mine by Mine'!CB452,'Mine by Mine'!CB473:CB476,'Mine by Mine'!CB482:CB484,'Mine by Mine'!CB581,'Mine by Mine'!CB591:CB594)</f>
        <v>0</v>
      </c>
      <c r="M7" s="21">
        <f>SUM('Mine by Mine'!CC162:CC194,'Mine by Mine'!CC309,'Mine by Mine'!CC321:CC323,'Mine by Mine'!CC429:CC431,'Mine by Mine'!CC447:CC449,'Mine by Mine'!CC452,'Mine by Mine'!CC473:CC476,'Mine by Mine'!CC482:CC484,'Mine by Mine'!CC581,'Mine by Mine'!CC591:CC594)</f>
        <v>0</v>
      </c>
      <c r="N7" s="21">
        <f>SUM('Mine by Mine'!CD162:CD194,'Mine by Mine'!CD309,'Mine by Mine'!CD321:CD323,'Mine by Mine'!CD429:CD431,'Mine by Mine'!CD447:CD449,'Mine by Mine'!CD452,'Mine by Mine'!CD473:CD476,'Mine by Mine'!CD482:CD484,'Mine by Mine'!CD581,'Mine by Mine'!CD591:CD594)</f>
        <v>0</v>
      </c>
      <c r="O7" s="21" t="s">
        <v>1592</v>
      </c>
      <c r="P7" s="21">
        <f>SUM('Mine by Mine'!CE162:CE194,'Mine by Mine'!CE309,'Mine by Mine'!CE321:CE323,'Mine by Mine'!CE429:CE431,'Mine by Mine'!CE447:CE449,'Mine by Mine'!CE452,'Mine by Mine'!CE473:CE476,'Mine by Mine'!CE482:CE484,'Mine by Mine'!CE581,'Mine by Mine'!CE591:CE594)</f>
        <v>0</v>
      </c>
      <c r="Q7" s="148">
        <f>SUM('Mine by Mine'!CF162:CF194,'Mine by Mine'!CF309,'Mine by Mine'!CF321:CF323,'Mine by Mine'!CF429:CF431,'Mine by Mine'!CF447:CF449,'Mine by Mine'!CF452,'Mine by Mine'!CF473:CF476,'Mine by Mine'!CF482:CF484,'Mine by Mine'!CF581,'Mine by Mine'!CF591:CF594)</f>
        <v>0.65981760000000023</v>
      </c>
      <c r="R7" s="50">
        <f>SUM('Mine by Mine'!CG162:CG194,'Mine by Mine'!CG309,'Mine by Mine'!CG321:CG323,'Mine by Mine'!CG429:CG431,'Mine by Mine'!CG447:CG449,'Mine by Mine'!CG452,'Mine by Mine'!CG473:CG476,'Mine by Mine'!CG482:CG484,'Mine by Mine'!CG581,'Mine by Mine'!CG591:CG594)</f>
        <v>19.851639095893159</v>
      </c>
      <c r="S7" s="21">
        <f>SUM('Mine by Mine'!CH162:CH194,'Mine by Mine'!CH309,'Mine by Mine'!CH321:CH323,'Mine by Mine'!CH429:CH431,'Mine by Mine'!CH447:CH449,'Mine by Mine'!CH452,'Mine by Mine'!CH473:CH476,'Mine by Mine'!CH482:CH484,'Mine by Mine'!CH581,'Mine by Mine'!CH591:CH594)</f>
        <v>0</v>
      </c>
      <c r="T7" s="21">
        <f>SUM('Mine by Mine'!CI162:CI194,'Mine by Mine'!CI309,'Mine by Mine'!CI321:CI323,'Mine by Mine'!CI429:CI431,'Mine by Mine'!CI447:CI449,'Mine by Mine'!CI452,'Mine by Mine'!CI473:CI476,'Mine by Mine'!CI482:CI484,'Mine by Mine'!CI581,'Mine by Mine'!CI591:CI594)</f>
        <v>0</v>
      </c>
      <c r="U7" s="21">
        <f>SUM('Mine by Mine'!CJ162:CJ194,'Mine by Mine'!CJ309,'Mine by Mine'!CJ321:CJ323,'Mine by Mine'!CJ429:CJ431,'Mine by Mine'!CJ447:CJ449,'Mine by Mine'!CJ452,'Mine by Mine'!CJ473:CJ476,'Mine by Mine'!CJ482:CJ484,'Mine by Mine'!CJ581,'Mine by Mine'!CJ591:CJ594)</f>
        <v>0</v>
      </c>
      <c r="V7" s="21" t="s">
        <v>1592</v>
      </c>
      <c r="W7" s="21" t="s">
        <v>1592</v>
      </c>
      <c r="X7" s="21" t="s">
        <v>1592</v>
      </c>
      <c r="Y7" s="185" t="s">
        <v>1592</v>
      </c>
      <c r="Z7" s="21">
        <v>0</v>
      </c>
      <c r="AA7" s="21" t="s">
        <v>1592</v>
      </c>
      <c r="AB7" s="21" t="s">
        <v>1592</v>
      </c>
      <c r="AC7" s="21">
        <v>0</v>
      </c>
      <c r="AD7" s="21" t="s">
        <v>1592</v>
      </c>
      <c r="AE7" s="21" t="s">
        <v>1592</v>
      </c>
      <c r="AF7" s="21">
        <v>0</v>
      </c>
      <c r="AG7" s="21" t="s">
        <v>1592</v>
      </c>
      <c r="AH7" s="21" t="s">
        <v>1592</v>
      </c>
      <c r="AI7" s="21" t="s">
        <v>1592</v>
      </c>
      <c r="AJ7" s="21" t="s">
        <v>1592</v>
      </c>
      <c r="AK7" s="21" t="s">
        <v>1592</v>
      </c>
      <c r="AL7" s="21" t="s">
        <v>1592</v>
      </c>
      <c r="AM7" s="21">
        <v>0</v>
      </c>
    </row>
    <row r="8" spans="1:47" x14ac:dyDescent="0.25">
      <c r="A8" s="252"/>
      <c r="B8" s="2" t="s">
        <v>1361</v>
      </c>
      <c r="C8" s="186">
        <f>SUM('Mine by Mine'!BS150,'Mine by Mine'!BS214:BS234,'Mine by Mine'!BS450,'Mine by Mine'!BS501,'Mine by Mine'!BS557:BS567,'Mine by Mine'!BS579,'Mine by Mine'!BS636:BS642,'Mine by Mine'!CN636:CP642,'Mine by Mine'!BS646:BS655,'Mine by Mine'!CN646:CP655)</f>
        <v>2659.1447348819584</v>
      </c>
      <c r="D8" s="124">
        <f>SUM('Mine by Mine'!BT150,'Mine by Mine'!BT214:BT234,'Mine by Mine'!BT450,'Mine by Mine'!BT501,'Mine by Mine'!BT557:BT567,'Mine by Mine'!BT579)</f>
        <v>0</v>
      </c>
      <c r="E8" s="124">
        <f>SUM('Mine by Mine'!BU150,'Mine by Mine'!BU214:BU234,'Mine by Mine'!BU450,'Mine by Mine'!BU501,'Mine by Mine'!BU557:BU567,'Mine by Mine'!BU579)</f>
        <v>0</v>
      </c>
      <c r="F8" s="21">
        <f>SUM('Mine by Mine'!BV150,'Mine by Mine'!BV214:BV234,'Mine by Mine'!BV450,'Mine by Mine'!BV501,'Mine by Mine'!BV557:BV567,'Mine by Mine'!BV579)</f>
        <v>0</v>
      </c>
      <c r="G8" s="21">
        <f>SUM('Mine by Mine'!BW150,'Mine by Mine'!BW214:BW234,'Mine by Mine'!BW450,'Mine by Mine'!BW501,'Mine by Mine'!BW557:BW567,'Mine by Mine'!BW579)</f>
        <v>0</v>
      </c>
      <c r="H8" s="21">
        <f>SUM('Mine by Mine'!BX150,'Mine by Mine'!BX214:BX234,'Mine by Mine'!BX450,'Mine by Mine'!BX501,'Mine by Mine'!BX557:BX567,'Mine by Mine'!BX579)</f>
        <v>0</v>
      </c>
      <c r="I8" s="21">
        <f>SUM('Mine by Mine'!BY150,'Mine by Mine'!BY214:BY234,'Mine by Mine'!BY450,'Mine by Mine'!BY501,'Mine by Mine'!BY557:BY567,'Mine by Mine'!BY579)</f>
        <v>0</v>
      </c>
      <c r="J8" s="21">
        <f>SUM('Mine by Mine'!BZ150,'Mine by Mine'!BZ214:BZ234,'Mine by Mine'!BZ450,'Mine by Mine'!BZ501,'Mine by Mine'!BZ557:BZ567,'Mine by Mine'!BZ579)</f>
        <v>0</v>
      </c>
      <c r="K8" s="188">
        <f>SUM('Mine by Mine'!CA150,'Mine by Mine'!CA214:CA234,'Mine by Mine'!CA450,'Mine by Mine'!CA501,'Mine by Mine'!CA557:CA567,'Mine by Mine'!CA579)</f>
        <v>10.679566086481168</v>
      </c>
      <c r="L8" s="148">
        <f>SUM('Mine by Mine'!CB150,'Mine by Mine'!CB214:CB234,'Mine by Mine'!CB450,'Mine by Mine'!CB501,'Mine by Mine'!CB557:CB567,'Mine by Mine'!CB579)</f>
        <v>5.8135012E-2</v>
      </c>
      <c r="M8" s="21">
        <f>SUM('Mine by Mine'!CC150,'Mine by Mine'!CC214:CC234,'Mine by Mine'!CC450,'Mine by Mine'!CC501,'Mine by Mine'!CC557:CC567,'Mine by Mine'!CC579)</f>
        <v>0</v>
      </c>
      <c r="N8" s="21">
        <f>SUM('Mine by Mine'!CD150,'Mine by Mine'!CD214:CD234,'Mine by Mine'!CD450,'Mine by Mine'!CD501,'Mine by Mine'!CD557:CD567,'Mine by Mine'!CD579)</f>
        <v>0</v>
      </c>
      <c r="O8" s="21" t="s">
        <v>1592</v>
      </c>
      <c r="P8" s="186">
        <f>SUM('Mine by Mine'!CE150,'Mine by Mine'!CE214:CE234,'Mine by Mine'!CE450,'Mine by Mine'!CE501,'Mine by Mine'!CE557:CE567,'Mine by Mine'!CE579)</f>
        <v>2938.4008451443997</v>
      </c>
      <c r="Q8" s="148">
        <f>SUM('Mine by Mine'!CF150,'Mine by Mine'!CF214:CF234,'Mine by Mine'!CF450,'Mine by Mine'!CF501,'Mine by Mine'!CF557:CF567,'Mine by Mine'!CF579)</f>
        <v>0.96704044279999968</v>
      </c>
      <c r="R8" s="50">
        <f>SUM('Mine by Mine'!CG150,'Mine by Mine'!CG214:CG234,'Mine by Mine'!CG450,'Mine by Mine'!CG501,'Mine by Mine'!CG557:CG567,'Mine by Mine'!CG579)</f>
        <v>54.8009897475009</v>
      </c>
      <c r="S8" s="148">
        <f>SUM('Mine by Mine'!CH150,'Mine by Mine'!CH214:CH234,'Mine by Mine'!CH450,'Mine by Mine'!CH501,'Mine by Mine'!CH557:CH567,'Mine by Mine'!CH579)</f>
        <v>1.6270224E-2</v>
      </c>
      <c r="T8" s="21">
        <f>SUM('Mine by Mine'!CI150,'Mine by Mine'!CI214:CI234,'Mine by Mine'!CI450,'Mine by Mine'!CI501,'Mine by Mine'!CI557:CI567,'Mine by Mine'!CI579)</f>
        <v>0</v>
      </c>
      <c r="U8" s="21">
        <f>SUM('Mine by Mine'!CJ150,'Mine by Mine'!CJ214:CJ234,'Mine by Mine'!CJ450,'Mine by Mine'!CJ501,'Mine by Mine'!CJ557:CJ567,'Mine by Mine'!CJ579)</f>
        <v>0</v>
      </c>
      <c r="V8" s="21" t="s">
        <v>1592</v>
      </c>
      <c r="W8" s="21" t="s">
        <v>1592</v>
      </c>
      <c r="X8" s="21" t="s">
        <v>1592</v>
      </c>
      <c r="Y8" s="185" t="s">
        <v>1592</v>
      </c>
      <c r="Z8" s="21">
        <v>0</v>
      </c>
      <c r="AA8" s="21" t="s">
        <v>1592</v>
      </c>
      <c r="AB8" s="21" t="s">
        <v>1592</v>
      </c>
      <c r="AC8" s="21">
        <v>0</v>
      </c>
      <c r="AD8" s="21" t="s">
        <v>1592</v>
      </c>
      <c r="AE8" s="21" t="s">
        <v>1592</v>
      </c>
      <c r="AF8" s="21">
        <v>0</v>
      </c>
      <c r="AG8" s="21" t="s">
        <v>1592</v>
      </c>
      <c r="AH8" s="21" t="s">
        <v>1592</v>
      </c>
      <c r="AI8" s="21" t="s">
        <v>1592</v>
      </c>
      <c r="AJ8" s="21" t="s">
        <v>1592</v>
      </c>
      <c r="AK8" s="21" t="s">
        <v>1592</v>
      </c>
      <c r="AL8" s="21" t="s">
        <v>1592</v>
      </c>
      <c r="AM8" s="21">
        <v>0</v>
      </c>
    </row>
    <row r="9" spans="1:47" x14ac:dyDescent="0.25">
      <c r="A9" s="252"/>
      <c r="B9" s="2" t="s">
        <v>1362</v>
      </c>
      <c r="C9" s="188">
        <f>SUM('Mine by Mine'!BS148:BS149,'Mine by Mine'!BS324:BS333,'Mine by Mine'!BS353,'Mine by Mine'!BS367:BS369,'Mine by Mine'!BS442:BS446,'Mine by Mine'!BS453:BS462,'Mine by Mine'!BS485,'Mine by Mine'!BS503:BS504,'Mine by Mine'!BS580,'Mine by Mine'!BS710:BS717,'Mine by Mine'!CN710:CP717)</f>
        <v>245.74534745843542</v>
      </c>
      <c r="D9" s="186">
        <f>SUM('Mine by Mine'!BT148:BT149,'Mine by Mine'!BT324:BT333,'Mine by Mine'!BT353,'Mine by Mine'!BT367:BT369,'Mine by Mine'!BT442:BT446,'Mine by Mine'!BT453:BT462,'Mine by Mine'!BT485,'Mine by Mine'!BT503:BT504,'Mine by Mine'!BT580)</f>
        <v>8236.832935970675</v>
      </c>
      <c r="E9" s="186">
        <f>SUM('Mine by Mine'!BU148:BU149,'Mine by Mine'!BU324:BU333,'Mine by Mine'!BU353,'Mine by Mine'!BU367:BU369,'Mine by Mine'!BU442:BU446,'Mine by Mine'!BU453:BU462,'Mine by Mine'!BU485,'Mine by Mine'!BU503:BU504,'Mine by Mine'!BU580)</f>
        <v>2310.1248181225019</v>
      </c>
      <c r="F9" s="186">
        <f>SUM('Mine by Mine'!BV148:BV149,'Mine by Mine'!BV324:BV333,'Mine by Mine'!BV353,'Mine by Mine'!BV367:BV369,'Mine by Mine'!BV442:BV446,'Mine by Mine'!BV453:BV462,'Mine by Mine'!BV485,'Mine by Mine'!BV503:BV504,'Mine by Mine'!BV580)</f>
        <v>2524.824944397506</v>
      </c>
      <c r="G9" s="186">
        <f>SUM('Mine by Mine'!BW148:BW149,'Mine by Mine'!BW324:BW333,'Mine by Mine'!BW353,'Mine by Mine'!BW367:BW369,'Mine by Mine'!BW442:BW446,'Mine by Mine'!BW453:BW462,'Mine by Mine'!BW485,'Mine by Mine'!BW503:BW504,'Mine by Mine'!BW580)</f>
        <v>6380.6222998451804</v>
      </c>
      <c r="H9" s="147">
        <f>SUM('Mine by Mine'!BX148:BX149,'Mine by Mine'!BX324:BX333,'Mine by Mine'!BX353,'Mine by Mine'!BX367:BX369,'Mine by Mine'!BX442:BX446,'Mine by Mine'!BX453:BX462,'Mine by Mine'!BX485,'Mine by Mine'!BX503:BX504,'Mine by Mine'!BX580)</f>
        <v>3.7280945599999997</v>
      </c>
      <c r="I9" s="21">
        <f>SUM('Mine by Mine'!BY148:BY149,'Mine by Mine'!BY324:BY333,'Mine by Mine'!BY353,'Mine by Mine'!BY367:BY369,'Mine by Mine'!BY442:BY446,'Mine by Mine'!BY453:BY462,'Mine by Mine'!BY485,'Mine by Mine'!BY503:BY504,'Mine by Mine'!BY580)</f>
        <v>0</v>
      </c>
      <c r="J9" s="188">
        <f>SUM('Mine by Mine'!BZ148:BZ149,'Mine by Mine'!BZ324:BZ333,'Mine by Mine'!BZ353,'Mine by Mine'!BZ367:BZ369,'Mine by Mine'!BZ442:BZ446,'Mine by Mine'!BZ453:BZ462,'Mine by Mine'!BZ485,'Mine by Mine'!BZ503:BZ504,'Mine by Mine'!BZ580)</f>
        <v>115.11788742968346</v>
      </c>
      <c r="K9" s="188">
        <f>SUM('Mine by Mine'!CA148:CA149,'Mine by Mine'!CA324:CA333,'Mine by Mine'!CA353,'Mine by Mine'!CA367:CA369,'Mine by Mine'!CA442:CA446,'Mine by Mine'!CA453:CA462,'Mine by Mine'!CA485,'Mine by Mine'!CA503:CA504,'Mine by Mine'!CA580)</f>
        <v>471.48848523809278</v>
      </c>
      <c r="L9" s="188">
        <f>SUM('Mine by Mine'!CB148:CB149,'Mine by Mine'!CB324:CB333,'Mine by Mine'!CB353,'Mine by Mine'!CB367:CB369,'Mine by Mine'!CB442:CB446,'Mine by Mine'!CB453:CB462,'Mine by Mine'!CB485,'Mine by Mine'!CB503:CB504,'Mine by Mine'!CB580)</f>
        <v>60.105093885608731</v>
      </c>
      <c r="M9" s="21">
        <f>SUM('Mine by Mine'!CC148:CC149,'Mine by Mine'!CC324:CC333,'Mine by Mine'!CC353,'Mine by Mine'!CC367:CC369,'Mine by Mine'!CC442:CC446,'Mine by Mine'!CC453:CC462,'Mine by Mine'!CC485,'Mine by Mine'!CC503:CC504,'Mine by Mine'!CC580)</f>
        <v>0</v>
      </c>
      <c r="N9" s="21">
        <f>SUM('Mine by Mine'!CD148:CD149,'Mine by Mine'!CD324:CD333,'Mine by Mine'!CD353,'Mine by Mine'!CD367:CD369,'Mine by Mine'!CD442:CD446,'Mine by Mine'!CD453:CD462,'Mine by Mine'!CD485,'Mine by Mine'!CD503:CD504,'Mine by Mine'!CD580)</f>
        <v>0</v>
      </c>
      <c r="O9" s="21" t="s">
        <v>1592</v>
      </c>
      <c r="P9" s="21">
        <f>SUM('Mine by Mine'!CE148:CE149,'Mine by Mine'!CE324:CE333,'Mine by Mine'!CE353,'Mine by Mine'!CE367:CE369,'Mine by Mine'!CE442:CE446,'Mine by Mine'!CE453:CE462,'Mine by Mine'!CE485,'Mine by Mine'!CE503:CE504,'Mine by Mine'!CE580)</f>
        <v>0</v>
      </c>
      <c r="Q9" s="190">
        <f>SUM('Mine by Mine'!CF148:CF149,'Mine by Mine'!CF324:CF333,'Mine by Mine'!CF353,'Mine by Mine'!CF367:CF369,'Mine by Mine'!CF442:CF446,'Mine by Mine'!CF453:CF462,'Mine by Mine'!CF485,'Mine by Mine'!CF503:CF504,'Mine by Mine'!CF580)</f>
        <v>9.6721000000000012E-3</v>
      </c>
      <c r="R9" s="148">
        <v>0.22758400000000001</v>
      </c>
      <c r="S9" s="21">
        <f>SUM('Mine by Mine'!CH148:CH149,'Mine by Mine'!CH324:CH333,'Mine by Mine'!CH353,'Mine by Mine'!CH367:CH369,'Mine by Mine'!CH442:CH446,'Mine by Mine'!CH453:CH462,'Mine by Mine'!CH485,'Mine by Mine'!CH503:CH504,'Mine by Mine'!CH580)</f>
        <v>0</v>
      </c>
      <c r="T9" s="21">
        <f>SUM('Mine by Mine'!CI148:CI149,'Mine by Mine'!CI324:CI333,'Mine by Mine'!CI353,'Mine by Mine'!CI367:CI369,'Mine by Mine'!CI442:CI446,'Mine by Mine'!CI453:CI462,'Mine by Mine'!CI485,'Mine by Mine'!CI503:CI504,'Mine by Mine'!CI580)</f>
        <v>0</v>
      </c>
      <c r="U9" s="21">
        <f>SUM('Mine by Mine'!CJ148:CJ149,'Mine by Mine'!CJ324:CJ333,'Mine by Mine'!CJ353,'Mine by Mine'!CJ367:CJ369,'Mine by Mine'!CJ442:CJ446,'Mine by Mine'!CJ453:CJ462,'Mine by Mine'!CJ485,'Mine by Mine'!CJ503:CJ504,'Mine by Mine'!CJ580)</f>
        <v>0</v>
      </c>
      <c r="V9" s="21" t="s">
        <v>1592</v>
      </c>
      <c r="W9" s="21" t="s">
        <v>1592</v>
      </c>
      <c r="X9" s="148">
        <v>0.41414745600000002</v>
      </c>
      <c r="Y9" s="185" t="s">
        <v>1592</v>
      </c>
      <c r="Z9" s="21">
        <v>0</v>
      </c>
      <c r="AA9" s="21" t="s">
        <v>1592</v>
      </c>
      <c r="AB9" s="21" t="s">
        <v>1592</v>
      </c>
      <c r="AC9" s="148">
        <v>0.23080700000000001</v>
      </c>
      <c r="AD9" s="21" t="s">
        <v>1592</v>
      </c>
      <c r="AE9" s="21" t="s">
        <v>1592</v>
      </c>
      <c r="AF9" s="147">
        <v>3.0749477663999998</v>
      </c>
      <c r="AG9" s="21" t="s">
        <v>1592</v>
      </c>
      <c r="AH9" s="21" t="s">
        <v>1592</v>
      </c>
      <c r="AI9" s="21" t="s">
        <v>1592</v>
      </c>
      <c r="AJ9" s="21" t="s">
        <v>1592</v>
      </c>
      <c r="AK9" s="21" t="s">
        <v>1592</v>
      </c>
      <c r="AL9" s="21" t="s">
        <v>1592</v>
      </c>
      <c r="AM9" s="21">
        <v>0</v>
      </c>
    </row>
    <row r="10" spans="1:47" x14ac:dyDescent="0.25">
      <c r="A10" s="252"/>
      <c r="B10" s="2" t="s">
        <v>1363</v>
      </c>
      <c r="C10" s="188">
        <f>SUM('Mine by Mine'!BS143:BS145,'Mine by Mine'!BS151:BS156,'Mine by Mine'!BS158:BS161,'Mine by Mine'!BS195,'Mine by Mine'!BS197:BS199,'Mine by Mine'!BS205:BS206,'Mine by Mine'!BS210:BS213,'Mine by Mine'!BS440:BS441,'Mine by Mine'!BS487:BS488,'Mine by Mine'!BS502,'Mine by Mine'!BS693:BS707,'Mine by Mine'!CN693:CN707)</f>
        <v>186.04739896797298</v>
      </c>
      <c r="D10" s="186">
        <f>SUM('Mine by Mine'!BT143:BT145,'Mine by Mine'!BT151:BT156,'Mine by Mine'!BT158:BT161,'Mine by Mine'!BT195,'Mine by Mine'!BT197:BT199,'Mine by Mine'!BT205:BT206,'Mine by Mine'!BT210:BT213,'Mine by Mine'!BT440:BT441,'Mine by Mine'!BT487:BT488,'Mine by Mine'!BT502)</f>
        <v>1135.1091285223424</v>
      </c>
      <c r="E10" s="186">
        <f>SUM('Mine by Mine'!BU143:BU145,'Mine by Mine'!BU151:BU156,'Mine by Mine'!BU158:BU161,'Mine by Mine'!BU195,'Mine by Mine'!BU197:BU199,'Mine by Mine'!BU205:BU206,'Mine by Mine'!BU210:BU213,'Mine by Mine'!BU440:BU441,'Mine by Mine'!BU487:BU488,'Mine by Mine'!BU502,'Mine by Mine'!BU693:BU707)</f>
        <v>6572.207868191801</v>
      </c>
      <c r="F10" s="188">
        <f>SUM('Mine by Mine'!BV143:BV145,'Mine by Mine'!BV151:BV156,'Mine by Mine'!BV158:BV161,'Mine by Mine'!BV195,'Mine by Mine'!BV197:BV199,'Mine by Mine'!BV205:BV206,'Mine by Mine'!BV210:BV213,'Mine by Mine'!BV440:BV441,'Mine by Mine'!BV487:BV488,'Mine by Mine'!BV502)</f>
        <v>68.173664665066667</v>
      </c>
      <c r="G10" s="188">
        <f>SUM('Mine by Mine'!BW143:BW145,'Mine by Mine'!BW151:BW156,'Mine by Mine'!BW158:BW161,'Mine by Mine'!BW195,'Mine by Mine'!BW197:BW199,'Mine by Mine'!BW205:BW206,'Mine by Mine'!BW210:BW213,'Mine by Mine'!BW440:BW441,'Mine by Mine'!BW487:BW488,'Mine by Mine'!BW502)</f>
        <v>366.98069839999999</v>
      </c>
      <c r="H10" s="21">
        <f>SUM('Mine by Mine'!BX143:BX145,'Mine by Mine'!BX151:BX156,'Mine by Mine'!BX158:BX161,'Mine by Mine'!BX195,'Mine by Mine'!BX197:BX199,'Mine by Mine'!BX205:BX206,'Mine by Mine'!BX210:BX213,'Mine by Mine'!BX440:BX441,'Mine by Mine'!BX487:BX488,'Mine by Mine'!BX502)</f>
        <v>0</v>
      </c>
      <c r="I10" s="21">
        <f>SUM('Mine by Mine'!BY143:BY145,'Mine by Mine'!BY151:BY156,'Mine by Mine'!BY158:BY161,'Mine by Mine'!BY195,'Mine by Mine'!BY197:BY199,'Mine by Mine'!BY205:BY206,'Mine by Mine'!BY210:BY213,'Mine by Mine'!BY440:BY441,'Mine by Mine'!BY487:BY488,'Mine by Mine'!BY502)</f>
        <v>0</v>
      </c>
      <c r="J10" s="188">
        <f>SUM('Mine by Mine'!BZ143:BZ145,'Mine by Mine'!BZ151:BZ156,'Mine by Mine'!BZ158:BZ161,'Mine by Mine'!BZ195,'Mine by Mine'!BZ197:BZ199,'Mine by Mine'!BZ205:BZ206,'Mine by Mine'!BZ210:BZ213,'Mine by Mine'!BZ440:BZ441,'Mine by Mine'!BZ487:BZ488,'Mine by Mine'!BZ502)</f>
        <v>374.91996468800005</v>
      </c>
      <c r="K10" s="21">
        <f>SUM('Mine by Mine'!CA143:CA145,'Mine by Mine'!CA151:CA156,'Mine by Mine'!CA158:CA161,'Mine by Mine'!CA195,'Mine by Mine'!CA197:CA199,'Mine by Mine'!CA205:CA206,'Mine by Mine'!CA210:CA213,'Mine by Mine'!CA440:CA441,'Mine by Mine'!CA487:CA488,'Mine by Mine'!CA502)</f>
        <v>0</v>
      </c>
      <c r="L10" s="190">
        <f>SUM('Mine by Mine'!CB143:CB145,'Mine by Mine'!CB151:CB156,'Mine by Mine'!CB158:CB161,'Mine by Mine'!CB195,'Mine by Mine'!CB197:CB199,'Mine by Mine'!CB205:CB206,'Mine by Mine'!CB210:CB213,'Mine by Mine'!CB440:CB441,'Mine by Mine'!CB487:CB488,'Mine by Mine'!CB502)</f>
        <v>2.2758399999999999E-3</v>
      </c>
      <c r="M10" s="188">
        <f>SUM('Mine by Mine'!CC143:CC145,'Mine by Mine'!CC151:CC156,'Mine by Mine'!CC158:CC161,'Mine by Mine'!CC195,'Mine by Mine'!CC197:CC199,'Mine by Mine'!CC205:CC206,'Mine by Mine'!CC210:CC213,'Mine by Mine'!CC440:CC441,'Mine by Mine'!CC487:CC488,'Mine by Mine'!CC502)</f>
        <v>122.28757311585595</v>
      </c>
      <c r="N10" s="21">
        <f>SUM('Mine by Mine'!CD143:CD145,'Mine by Mine'!CD151:CD156,'Mine by Mine'!CD158:CD161,'Mine by Mine'!CD195,'Mine by Mine'!CD197:CD199,'Mine by Mine'!CD205:CD206,'Mine by Mine'!CD210:CD213,'Mine by Mine'!CD440:CD441,'Mine by Mine'!CD487:CD488,'Mine by Mine'!CD502)</f>
        <v>0</v>
      </c>
      <c r="O10" s="21" t="s">
        <v>1592</v>
      </c>
      <c r="P10" s="21">
        <f>SUM('Mine by Mine'!CE143:CE145,'Mine by Mine'!CE151:CE156,'Mine by Mine'!CE158:CE161,'Mine by Mine'!CE195,'Mine by Mine'!CE197:CE199,'Mine by Mine'!CE205:CE206,'Mine by Mine'!CE210:CE213,'Mine by Mine'!CE440:CE441,'Mine by Mine'!CE487:CE488,'Mine by Mine'!CE502)</f>
        <v>0</v>
      </c>
      <c r="Q10" s="21">
        <f>SUM('Mine by Mine'!CF143:CF145,'Mine by Mine'!CF151:CF156,'Mine by Mine'!CF158:CF161,'Mine by Mine'!CF195,'Mine by Mine'!CF197:CF199,'Mine by Mine'!CF205:CF206,'Mine by Mine'!CF210:CF213,'Mine by Mine'!CF440:CF441,'Mine by Mine'!CF487:CF488,'Mine by Mine'!CF502)</f>
        <v>0</v>
      </c>
      <c r="R10" s="188">
        <v>350.65441001600004</v>
      </c>
      <c r="S10" s="21">
        <f>SUM('Mine by Mine'!CH143:CH145,'Mine by Mine'!CH151:CH156,'Mine by Mine'!CH158:CH161,'Mine by Mine'!CH195,'Mine by Mine'!CH197:CH199,'Mine by Mine'!CH205:CH206,'Mine by Mine'!CH210:CH213,'Mine by Mine'!CH440:CH441,'Mine by Mine'!CH487:CH488,'Mine by Mine'!CH502)</f>
        <v>0</v>
      </c>
      <c r="T10" s="21">
        <f>SUM('Mine by Mine'!CI143:CI145,'Mine by Mine'!CI151:CI156,'Mine by Mine'!CI158:CI161,'Mine by Mine'!CI195,'Mine by Mine'!CI197:CI199,'Mine by Mine'!CI205:CI206,'Mine by Mine'!CI210:CI213,'Mine by Mine'!CI440:CI441,'Mine by Mine'!CI487:CI488,'Mine by Mine'!CI502)</f>
        <v>0</v>
      </c>
      <c r="U10" s="21">
        <f>SUM('Mine by Mine'!CJ143:CJ145,'Mine by Mine'!CJ151:CJ156,'Mine by Mine'!CJ158:CJ161,'Mine by Mine'!CJ195,'Mine by Mine'!CJ197:CJ199,'Mine by Mine'!CJ205:CJ206,'Mine by Mine'!CJ210:CJ213,'Mine by Mine'!CJ440:CJ441,'Mine by Mine'!CJ487:CJ488,'Mine by Mine'!CJ502)</f>
        <v>0</v>
      </c>
      <c r="V10" s="21" t="s">
        <v>1592</v>
      </c>
      <c r="W10" s="21" t="s">
        <v>1592</v>
      </c>
      <c r="X10" s="21" t="s">
        <v>1592</v>
      </c>
      <c r="Y10" s="185" t="s">
        <v>1592</v>
      </c>
      <c r="Z10" s="21">
        <v>0</v>
      </c>
      <c r="AA10" s="21" t="s">
        <v>1592</v>
      </c>
      <c r="AB10" s="21" t="s">
        <v>1592</v>
      </c>
      <c r="AC10" s="21">
        <v>0</v>
      </c>
      <c r="AD10" s="21" t="s">
        <v>1592</v>
      </c>
      <c r="AE10" s="21" t="s">
        <v>1592</v>
      </c>
      <c r="AF10" s="21">
        <v>0</v>
      </c>
      <c r="AG10" s="21" t="s">
        <v>1592</v>
      </c>
      <c r="AH10" s="21" t="s">
        <v>1592</v>
      </c>
      <c r="AI10" s="21" t="s">
        <v>1592</v>
      </c>
      <c r="AJ10" s="21" t="s">
        <v>1592</v>
      </c>
      <c r="AK10" s="21" t="s">
        <v>1592</v>
      </c>
      <c r="AL10" s="21" t="s">
        <v>1592</v>
      </c>
      <c r="AM10" s="21">
        <v>0</v>
      </c>
    </row>
    <row r="11" spans="1:47" x14ac:dyDescent="0.25">
      <c r="A11" s="252"/>
      <c r="B11" s="2" t="s">
        <v>1364</v>
      </c>
      <c r="C11" s="186">
        <f>SUM('Mine by Mine'!BS5:BS142,'Mine by Mine'!BS146,'Mine by Mine'!BS317,'Mine by Mine'!BS343:BS350,'Mine by Mine'!BS352,'Mine by Mine'!BS354:BS366,'Mine by Mine'!BS370:BS371,'Mine by Mine'!BS427:BS428,'Mine by Mine'!BS432:BS435,'Mine by Mine'!BS437:BS438,'Mine by Mine'!BS468:BS469,'Mine by Mine'!BS486,'Mine by Mine'!BS505:BS543,'Mine by Mine'!BS547,'Mine by Mine'!BS549:BS550,'Mine by Mine'!BS552:BS554,'Mine by Mine'!BS599:BS633,'Mine by Mine'!CN599:CP633)</f>
        <v>8542.8469203159693</v>
      </c>
      <c r="D11" s="186">
        <f>SUM('Mine by Mine'!BT5:BT142,'Mine by Mine'!BT146,'Mine by Mine'!BT317,'Mine by Mine'!BT343:BT350,'Mine by Mine'!BT352,'Mine by Mine'!BT354:BT366,'Mine by Mine'!BT370:BT371,'Mine by Mine'!BT427:BT428,'Mine by Mine'!BT432:BT435,'Mine by Mine'!BT437:BT438,'Mine by Mine'!BT468:BT469,'Mine by Mine'!BT486,'Mine by Mine'!BT505:BT543,'Mine by Mine'!BT547,'Mine by Mine'!BT549:BT550,'Mine by Mine'!BT552:BT554,'Mine by Mine'!BT599:BT633)</f>
        <v>2224.1706784538637</v>
      </c>
      <c r="E11" s="186">
        <f>SUM('Mine by Mine'!BU5:BU142,'Mine by Mine'!BU317,'Mine by Mine'!BU343:BU350,'Mine by Mine'!BU352,'Mine by Mine'!BU354:BU366,'Mine by Mine'!BU370:BU371,'Mine by Mine'!BU427:BU428,'Mine by Mine'!BU432:BU435,'Mine by Mine'!BU437:BU438,'Mine by Mine'!BU468:BU469,'Mine by Mine'!BU486,'Mine by Mine'!BU505:BU543,'Mine by Mine'!BU547,'Mine by Mine'!BU549:BU550,'Mine by Mine'!BU552:BU554,'Mine by Mine'!BU599:BU633)</f>
        <v>3232.7253038670615</v>
      </c>
      <c r="F11" s="186">
        <f>SUM('Mine by Mine'!BV5:BV142,'Mine by Mine'!BV317,'Mine by Mine'!BV343:BV350,'Mine by Mine'!BV352,'Mine by Mine'!BV354:BV366,'Mine by Mine'!BV370:BV371,'Mine by Mine'!BV427:BV428,'Mine by Mine'!BV432:BV435,'Mine by Mine'!BV437:BV438,'Mine by Mine'!BV468:BV469,'Mine by Mine'!BV486,'Mine by Mine'!BV505:BV543,'Mine by Mine'!BV547,'Mine by Mine'!BV549:BV550,'Mine by Mine'!BV552:BV554,'Mine by Mine'!BV599:BV633)</f>
        <v>1117.0094787951998</v>
      </c>
      <c r="G11" s="186">
        <f>SUM('Mine by Mine'!BW5:BW142,'Mine by Mine'!BW317,'Mine by Mine'!BW343:BW350,'Mine by Mine'!BW352,'Mine by Mine'!BW354:BW366,'Mine by Mine'!BW370:BW371,'Mine by Mine'!BW427:BW428,'Mine by Mine'!BW432:BW435,'Mine by Mine'!BW437:BW438,'Mine by Mine'!BW468:BW469,'Mine by Mine'!BW486,'Mine by Mine'!BW505:BW543,'Mine by Mine'!BW547,'Mine by Mine'!BW549:BW550,'Mine by Mine'!BW552:BW554,'Mine by Mine'!BW599:BW633)</f>
        <v>4215.6324819237198</v>
      </c>
      <c r="H11" s="186">
        <f>SUM('Mine by Mine'!BX5:BX142,'Mine by Mine'!BX317,'Mine by Mine'!BX343:BX350,'Mine by Mine'!BX352,'Mine by Mine'!BX354:BX366,'Mine by Mine'!BX370:BX371,'Mine by Mine'!BX427:BX428,'Mine by Mine'!BX432:BX435,'Mine by Mine'!BX437:BX438,'Mine by Mine'!BX468:BX469,'Mine by Mine'!BX486,'Mine by Mine'!BX505:BX543,'Mine by Mine'!BX547,'Mine by Mine'!BX549:BX550,'Mine by Mine'!BX552:BX554,'Mine by Mine'!BX599:BX633)</f>
        <v>5836.6462728976157</v>
      </c>
      <c r="I11" s="188">
        <f>SUM('Mine by Mine'!BY5:BY142,'Mine by Mine'!BY317,'Mine by Mine'!BY343:BY350,'Mine by Mine'!BY352,'Mine by Mine'!BY354:BY366,'Mine by Mine'!BY370:BY371,'Mine by Mine'!BY427:BY428,'Mine by Mine'!BY432:BY435,'Mine by Mine'!BY437:BY438,'Mine by Mine'!BY468:BY469,'Mine by Mine'!BY486,'Mine by Mine'!BY505:BY543,'Mine by Mine'!BY547,'Mine by Mine'!BY549:BY550,'Mine by Mine'!BY552:BY554,'Mine by Mine'!BY599:BY633)</f>
        <v>89.970018282233312</v>
      </c>
      <c r="J11" s="187">
        <f>SUM('Mine by Mine'!BZ5:BZ142,'Mine by Mine'!BZ317,'Mine by Mine'!BZ343:BZ350,'Mine by Mine'!BZ352,'Mine by Mine'!BZ354:BZ366,'Mine by Mine'!BZ370:BZ371,'Mine by Mine'!BZ427:BZ428,'Mine by Mine'!BZ432:BZ435,'Mine by Mine'!BZ437:BZ438,'Mine by Mine'!BZ468:BZ469,'Mine by Mine'!BZ486,'Mine by Mine'!BZ505:BZ543,'Mine by Mine'!BZ547,'Mine by Mine'!BZ549:BZ550,'Mine by Mine'!BZ552:BZ554,'Mine by Mine'!BZ599:BZ633)</f>
        <v>13821.230618416719</v>
      </c>
      <c r="K11" s="188">
        <f>SUM('Mine by Mine'!CA5:CA142,'Mine by Mine'!CA317,'Mine by Mine'!CA343:CA350,'Mine by Mine'!CA352,'Mine by Mine'!CA354:CA366,'Mine by Mine'!CA370:CA371,'Mine by Mine'!CA427:CA428,'Mine by Mine'!CA432:CA435,'Mine by Mine'!CA437:CA438,'Mine by Mine'!CA468:CA469,'Mine by Mine'!CA486,'Mine by Mine'!CA505:CA543,'Mine by Mine'!CA547,'Mine by Mine'!CA549:CA550,'Mine by Mine'!CA552:CA554,'Mine by Mine'!CA599:CA633)</f>
        <v>37.105476276000005</v>
      </c>
      <c r="L11" s="21">
        <f>SUM('Mine by Mine'!CB5:CB142,'Mine by Mine'!CB317,'Mine by Mine'!CB343:CB350,'Mine by Mine'!CB352,'Mine by Mine'!CB354:CB366,'Mine by Mine'!CB370:CB371,'Mine by Mine'!CB427:CB428,'Mine by Mine'!CB432:CB435,'Mine by Mine'!CB437:CB438,'Mine by Mine'!CB468:CB469,'Mine by Mine'!CB486,'Mine by Mine'!CB505:CB543,'Mine by Mine'!CB547,'Mine by Mine'!CB549:CB550,'Mine by Mine'!CB552:CB554,'Mine by Mine'!CB599:CB633)</f>
        <v>0</v>
      </c>
      <c r="M11" s="21">
        <f>SUM('Mine by Mine'!CC5:CC142,'Mine by Mine'!CC317,'Mine by Mine'!CC343:CC350,'Mine by Mine'!CC352,'Mine by Mine'!CC354:CC366,'Mine by Mine'!CC370:CC371,'Mine by Mine'!CC427:CC428,'Mine by Mine'!CC432:CC435,'Mine by Mine'!CC437:CC438,'Mine by Mine'!CC468:CC469,'Mine by Mine'!CC486,'Mine by Mine'!CC505:CC543,'Mine by Mine'!CC547,'Mine by Mine'!CC549:CC550,'Mine by Mine'!CC552:CC554,'Mine by Mine'!CC599:CC633)</f>
        <v>0</v>
      </c>
      <c r="N11" s="188">
        <f>SUM('Mine by Mine'!CD5:CD142,'Mine by Mine'!CD317,'Mine by Mine'!CD343:CD350,'Mine by Mine'!CD352,'Mine by Mine'!CD354:CD366,'Mine by Mine'!CD370:CD371,'Mine by Mine'!CD427:CD428,'Mine by Mine'!CD432:CD435,'Mine by Mine'!CD437:CD438,'Mine by Mine'!CD468:CD469,'Mine by Mine'!CD486,'Mine by Mine'!CD505:CD543,'Mine by Mine'!CD547,'Mine by Mine'!CD549:CD550,'Mine by Mine'!CD552:CD554,'Mine by Mine'!CD599:CD633)</f>
        <v>15.996612365000001</v>
      </c>
      <c r="O11" s="21" t="s">
        <v>1592</v>
      </c>
      <c r="P11" s="21">
        <f>SUM('Mine by Mine'!CE5:CE142,'Mine by Mine'!CE317,'Mine by Mine'!CE343:CE350,'Mine by Mine'!CE352,'Mine by Mine'!CE354:CE366,'Mine by Mine'!CE370:CE371,'Mine by Mine'!CE427:CE428,'Mine by Mine'!CE432:CE435,'Mine by Mine'!CE437:CE438,'Mine by Mine'!CE468:CE469,'Mine by Mine'!CE486,'Mine by Mine'!CE505:CE543,'Mine by Mine'!CE547,'Mine by Mine'!CE549:CE550,'Mine by Mine'!CE552:CE554,'Mine by Mine'!CE599:CE633)</f>
        <v>0</v>
      </c>
      <c r="Q11" s="188">
        <f>SUM('Mine by Mine'!CF5:CF142,'Mine by Mine'!CF317,'Mine by Mine'!CF343:CF350,'Mine by Mine'!CF352,'Mine by Mine'!CF354:CF366,'Mine by Mine'!CF370:CF371,'Mine by Mine'!CF427:CF428,'Mine by Mine'!CF432:CF435,'Mine by Mine'!CF437:CF438,'Mine by Mine'!CF468:CF469,'Mine by Mine'!CF486,'Mine by Mine'!CF505:CF543,'Mine by Mine'!CF547,'Mine by Mine'!CF549:CF550,'Mine by Mine'!CF552:CF554,'Mine by Mine'!CF599:CF633)</f>
        <v>29.2094491727185</v>
      </c>
      <c r="R11" s="21">
        <f>SUM('Mine by Mine'!CG5:CG142,'Mine by Mine'!CG317,'Mine by Mine'!CG343:CG350,'Mine by Mine'!CG352,'Mine by Mine'!CG354:CG366,'Mine by Mine'!CG370:CG371,'Mine by Mine'!CG427:CG428,'Mine by Mine'!CG432:CG435,'Mine by Mine'!CG437:CG438,'Mine by Mine'!CG468:CG469,'Mine by Mine'!CG486,'Mine by Mine'!CG505:CG543,'Mine by Mine'!CG547,'Mine by Mine'!CG549:CG550,'Mine by Mine'!CG552:CG554,'Mine by Mine'!CG599:CG633)</f>
        <v>0</v>
      </c>
      <c r="S11" s="21">
        <f>SUM('Mine by Mine'!CH5:CH142,'Mine by Mine'!CH317,'Mine by Mine'!CH343:CH350,'Mine by Mine'!CH352,'Mine by Mine'!CH354:CH366,'Mine by Mine'!CH370:CH371,'Mine by Mine'!CH427:CH428,'Mine by Mine'!CH432:CH435,'Mine by Mine'!CH437:CH438,'Mine by Mine'!CH468:CH469,'Mine by Mine'!CH486,'Mine by Mine'!CH505:CH543,'Mine by Mine'!CH547,'Mine by Mine'!CH549:CH550,'Mine by Mine'!CH552:CH554,'Mine by Mine'!CH599:CH633)</f>
        <v>0</v>
      </c>
      <c r="T11" s="188">
        <f>SUM('Mine by Mine'!CI5:CI142,'Mine by Mine'!CI317,'Mine by Mine'!CI343:CI350,'Mine by Mine'!CI352,'Mine by Mine'!CI354:CI366,'Mine by Mine'!CI370:CI371,'Mine by Mine'!CI427:CI428,'Mine by Mine'!CI432:CI435,'Mine by Mine'!CI437:CI438,'Mine by Mine'!CI468:CI469,'Mine by Mine'!CI486,'Mine by Mine'!CI505:CI543,'Mine by Mine'!CI547,'Mine by Mine'!CI549:CI550,'Mine by Mine'!CI552:CI554,'Mine by Mine'!CI599:CI633)</f>
        <v>917.97849525800007</v>
      </c>
      <c r="U11" s="188">
        <f>SUM('Mine by Mine'!CJ5:CJ142,'Mine by Mine'!CJ317,'Mine by Mine'!CJ343:CJ350,'Mine by Mine'!CJ352,'Mine by Mine'!CJ354:CJ366,'Mine by Mine'!CJ370:CJ371,'Mine by Mine'!CJ427:CJ428,'Mine by Mine'!CJ432:CJ435,'Mine by Mine'!CJ437:CJ438,'Mine by Mine'!CJ468:CJ469,'Mine by Mine'!CJ486,'Mine by Mine'!CJ505:CJ543,'Mine by Mine'!CJ547,'Mine by Mine'!CJ549:CJ550,'Mine by Mine'!CJ552:CJ554,'Mine by Mine'!CJ599:CJ633)</f>
        <v>190.659260252</v>
      </c>
      <c r="V11" s="21" t="s">
        <v>1592</v>
      </c>
      <c r="W11" s="16">
        <v>1488.4316287879999</v>
      </c>
      <c r="X11" s="50">
        <v>389.87250240317485</v>
      </c>
      <c r="Y11" s="185" t="s">
        <v>1592</v>
      </c>
      <c r="Z11" s="125">
        <v>3115.2487500000002</v>
      </c>
      <c r="AA11" s="21" t="s">
        <v>1592</v>
      </c>
      <c r="AB11" s="50">
        <f>SUM('Mine by Mine'!CK582:CK588)</f>
        <v>216.11323721563835</v>
      </c>
      <c r="AC11" s="21">
        <v>0</v>
      </c>
      <c r="AD11" s="21" t="s">
        <v>1592</v>
      </c>
      <c r="AE11" s="21" t="s">
        <v>1592</v>
      </c>
      <c r="AF11" s="21">
        <v>0</v>
      </c>
      <c r="AG11" s="21" t="s">
        <v>1592</v>
      </c>
      <c r="AH11" s="21" t="s">
        <v>1592</v>
      </c>
      <c r="AI11" s="21" t="s">
        <v>1592</v>
      </c>
      <c r="AJ11" s="21" t="s">
        <v>1592</v>
      </c>
      <c r="AK11" s="21" t="s">
        <v>1592</v>
      </c>
      <c r="AL11" s="21" t="s">
        <v>1592</v>
      </c>
      <c r="AM11" s="21">
        <v>0</v>
      </c>
    </row>
    <row r="12" spans="1:47" x14ac:dyDescent="0.25">
      <c r="A12" s="252"/>
      <c r="B12" s="2" t="s">
        <v>1365</v>
      </c>
      <c r="C12" s="188">
        <f>SUM('Mine by Mine'!BS196,'Mine by Mine'!BS200:BS201,'Mine by Mine'!BS203:BS204,'Mine by Mine'!BS207:BS209,'Mine by Mine'!BS271:BS308,'Mine by Mine'!BS334,'Mine by Mine'!BS338:BS339,'Mine by Mine'!BS342,'Mine by Mine'!BS372:BS373,'Mine by Mine'!BS436,'Mine by Mine'!BS451,'Mine by Mine'!BS500,'Mine by Mine'!BS544:BS546,'Mine by Mine'!BS548,'Mine by Mine'!BS551,'Mine by Mine'!BS589:BS590,'Mine by Mine'!BS750:BS755,'Mine by Mine'!CN750:CP756)</f>
        <v>682.86286365581884</v>
      </c>
      <c r="D12" s="186">
        <f>SUM('Mine by Mine'!BT196,'Mine by Mine'!BT200:BT201,'Mine by Mine'!BT203:BT204,'Mine by Mine'!BT207:BT209,'Mine by Mine'!BT271:BT308,'Mine by Mine'!BT334,'Mine by Mine'!BT338:BT339,'Mine by Mine'!BT342,'Mine by Mine'!BT372:BT373,'Mine by Mine'!BT436,'Mine by Mine'!BT451,'Mine by Mine'!BT500,'Mine by Mine'!BT544:BT546,'Mine by Mine'!BT548,'Mine by Mine'!BT551,'Mine by Mine'!BT589:BT590,'Mine by Mine'!BT750:BT755,'Mine by Mine'!CO750:CQ756)</f>
        <v>1593.7101202111446</v>
      </c>
      <c r="E12" s="188">
        <f>SUM('Mine by Mine'!BU196,'Mine by Mine'!BU200:BU201,'Mine by Mine'!BU203:BU204,'Mine by Mine'!BU207:BU209,'Mine by Mine'!BU271:BU308,'Mine by Mine'!BU334,'Mine by Mine'!BU338:BU339,'Mine by Mine'!BU342,'Mine by Mine'!BU372:BU373,'Mine by Mine'!BU436,'Mine by Mine'!BU451,'Mine by Mine'!BU500,'Mine by Mine'!BU544:BU546,'Mine by Mine'!BU548,'Mine by Mine'!BU551,'Mine by Mine'!BU589:BU590,'Mine by Mine'!BU750:BU755,'Mine by Mine'!CP750:CT756)</f>
        <v>410.0822896940121</v>
      </c>
      <c r="F12" s="186">
        <f>SUM('Mine by Mine'!BV196,'Mine by Mine'!BV200:BV201,'Mine by Mine'!BV203:BV204,'Mine by Mine'!BV207:BV209,'Mine by Mine'!BV271:BV308,'Mine by Mine'!BV334,'Mine by Mine'!BV338:BV339,'Mine by Mine'!BV342,'Mine by Mine'!BV372:BV373,'Mine by Mine'!BV436,'Mine by Mine'!BV451,'Mine by Mine'!BV500,'Mine by Mine'!BV544:BV546,'Mine by Mine'!BV548,'Mine by Mine'!BV551,'Mine by Mine'!BV589:BV590,'Mine by Mine'!BV750:BV755,'Mine by Mine'!CQ750:CT756)</f>
        <v>1219.0539139103857</v>
      </c>
      <c r="G12" s="186">
        <f>SUM('Mine by Mine'!BW196,'Mine by Mine'!BW200:BW201,'Mine by Mine'!BW203:BW204,'Mine by Mine'!BW207:BW209,'Mine by Mine'!BW271:BW308,'Mine by Mine'!BW334,'Mine by Mine'!BW338:BW339,'Mine by Mine'!BW342,'Mine by Mine'!BW372:BW373,'Mine by Mine'!BW436,'Mine by Mine'!BW451,'Mine by Mine'!BW500,'Mine by Mine'!BW544:BW546,'Mine by Mine'!BW548,'Mine by Mine'!BW551,'Mine by Mine'!BW589:BW590,'Mine by Mine'!BW750:BW755,'Mine by Mine'!CT750:CT756)</f>
        <v>5256.39482554191</v>
      </c>
      <c r="H12" s="21">
        <f>SUM('Mine by Mine'!BX196,'Mine by Mine'!BX200:BX201,'Mine by Mine'!BX203:BX204,'Mine by Mine'!BX207:BX209,'Mine by Mine'!BX271:BX308,'Mine by Mine'!BX334,'Mine by Mine'!BX338:BX339,'Mine by Mine'!BX342,'Mine by Mine'!BX372:BX373,'Mine by Mine'!BX436,'Mine by Mine'!BX451,'Mine by Mine'!BX500,'Mine by Mine'!BX544:BX546,'Mine by Mine'!BX548,'Mine by Mine'!BX551,'Mine by Mine'!BX589:BX590)</f>
        <v>0</v>
      </c>
      <c r="I12" s="21">
        <f>SUM('Mine by Mine'!BY196,'Mine by Mine'!BY200:BY201,'Mine by Mine'!BY203:BY204,'Mine by Mine'!BY207:BY209,'Mine by Mine'!BY271:BY308,'Mine by Mine'!BY334,'Mine by Mine'!BY338:BY339,'Mine by Mine'!BY342,'Mine by Mine'!BY372:BY373,'Mine by Mine'!BY436,'Mine by Mine'!BY451,'Mine by Mine'!BY500,'Mine by Mine'!BY544:BY546,'Mine by Mine'!BY548,'Mine by Mine'!BY551,'Mine by Mine'!BY589:BY590)</f>
        <v>0</v>
      </c>
      <c r="J12" s="188">
        <f>SUM('Mine by Mine'!BZ196,'Mine by Mine'!BZ200:BZ201,'Mine by Mine'!BZ203:BZ204,'Mine by Mine'!BZ207:BZ209,'Mine by Mine'!BZ271:BZ308,'Mine by Mine'!BZ334,'Mine by Mine'!BZ338:BZ339,'Mine by Mine'!BZ342,'Mine by Mine'!BZ372:BZ373,'Mine by Mine'!BZ436,'Mine by Mine'!BZ451,'Mine by Mine'!BZ500,'Mine by Mine'!BZ544:BZ546,'Mine by Mine'!BZ548,'Mine by Mine'!BZ551,'Mine by Mine'!BZ589:BZ590)</f>
        <v>25.707146288000004</v>
      </c>
      <c r="K12" s="189">
        <f>SUM('Mine by Mine'!CA196,'Mine by Mine'!CA200:CA201,'Mine by Mine'!CA203:CA204,'Mine by Mine'!CA207:CA209,'Mine by Mine'!CA271:CA308,'Mine by Mine'!CA334,'Mine by Mine'!CA338:CA339,'Mine by Mine'!CA342,'Mine by Mine'!CA372:CA373,'Mine by Mine'!CA436,'Mine by Mine'!CA451,'Mine by Mine'!CA500,'Mine by Mine'!CA544:CA546,'Mine by Mine'!CA548,'Mine by Mine'!CA551,'Mine by Mine'!CA589:CA590)</f>
        <v>2.9331240000000003</v>
      </c>
      <c r="L12" s="148">
        <f>SUM('Mine by Mine'!CB196,'Mine by Mine'!CB200:CB201,'Mine by Mine'!CB203:CB204,'Mine by Mine'!CB207:CB209,'Mine by Mine'!CB271:CB308,'Mine by Mine'!CB334,'Mine by Mine'!CB338:CB339,'Mine by Mine'!CB342,'Mine by Mine'!CB372:CB373,'Mine by Mine'!CB436,'Mine by Mine'!CB451,'Mine by Mine'!CB500,'Mine by Mine'!CB544:CB546,'Mine by Mine'!CB548,'Mine by Mine'!CB551,'Mine by Mine'!CB589:CB590)</f>
        <v>0.87321847199999991</v>
      </c>
      <c r="M12" s="188">
        <f>SUM('Mine by Mine'!CC196,'Mine by Mine'!CC200:CC201,'Mine by Mine'!CC203:CC204,'Mine by Mine'!CC207:CC209,'Mine by Mine'!CC271:CC308,'Mine by Mine'!CC334,'Mine by Mine'!CC338:CC339,'Mine by Mine'!CC342,'Mine by Mine'!CC372:CC373,'Mine by Mine'!CC436,'Mine by Mine'!CC451,'Mine by Mine'!CC500,'Mine by Mine'!CC544:CC546,'Mine by Mine'!CC548,'Mine by Mine'!CC551,'Mine by Mine'!CC589:CC590,)</f>
        <v>147.51218300000002</v>
      </c>
      <c r="N12" s="188">
        <f>SUM('Mine by Mine'!CD196,'Mine by Mine'!CD200:CD201,'Mine by Mine'!CD203:CD204,'Mine by Mine'!CD207:CD209,'Mine by Mine'!CD271:CD308,'Mine by Mine'!CD334,'Mine by Mine'!CD338:CD339,'Mine by Mine'!CD342,'Mine by Mine'!CD372:CD373,'Mine by Mine'!CD436,'Mine by Mine'!CD451,'Mine by Mine'!CD500,'Mine by Mine'!CD544:CD546,'Mine by Mine'!CD548,'Mine by Mine'!CD551,'Mine by Mine'!CD589:CD590,'Mine by Mine'!CD750:CD755,'Mine by Mine'!CU750:CU756)</f>
        <v>141.71570396266699</v>
      </c>
      <c r="O12" s="21" t="s">
        <v>1592</v>
      </c>
      <c r="P12" s="21">
        <f>SUM('Mine by Mine'!CE196,'Mine by Mine'!CE200:CE201,'Mine by Mine'!CE203:CE204,'Mine by Mine'!CE207:CE209,'Mine by Mine'!CE271:CE308,'Mine by Mine'!CE334,'Mine by Mine'!CE338:CE339,'Mine by Mine'!CE342,'Mine by Mine'!CE372:CE373,'Mine by Mine'!CE436,'Mine by Mine'!CE451,'Mine by Mine'!CE500,'Mine by Mine'!CE544:CE546,'Mine by Mine'!CE548,'Mine by Mine'!CE551,'Mine by Mine'!CE589:CE590,'Mine by Mine'!CE750:CE755,'Mine by Mine'!CU750:CV756)</f>
        <v>0</v>
      </c>
      <c r="Q12" s="21">
        <f>SUM('Mine by Mine'!CF196,'Mine by Mine'!CF200:CF201,'Mine by Mine'!CF203:CF204,'Mine by Mine'!CF207:CF209,'Mine by Mine'!CF271:CF308,'Mine by Mine'!CF334,'Mine by Mine'!CF338:CF339,'Mine by Mine'!CF342,'Mine by Mine'!CF372:CF373,'Mine by Mine'!CF436,'Mine by Mine'!CF451,'Mine by Mine'!CF500,'Mine by Mine'!CF544:CF546,'Mine by Mine'!CF548,'Mine by Mine'!CF551,'Mine by Mine'!CF589:CF590,'Mine by Mine'!CF750:CF755,'Mine by Mine'!CU750:CW756)</f>
        <v>0</v>
      </c>
      <c r="R12" s="21">
        <f>SUM('Mine by Mine'!CG196,'Mine by Mine'!CG200:CG201,'Mine by Mine'!CG203:CG204,'Mine by Mine'!CG207:CG209,'Mine by Mine'!CG271:CG308,'Mine by Mine'!CG334,'Mine by Mine'!CG338:CG339,'Mine by Mine'!CG342,'Mine by Mine'!CG372:CG373,'Mine by Mine'!CG436,'Mine by Mine'!CG451,'Mine by Mine'!CG500,'Mine by Mine'!CG544:CG546,'Mine by Mine'!CG548,'Mine by Mine'!CG551,'Mine by Mine'!CG589:CG590,'Mine by Mine'!CG750:CG755,'Mine by Mine'!CV750:CW756)</f>
        <v>0</v>
      </c>
      <c r="S12" s="21">
        <f>SUM('Mine by Mine'!CH196,'Mine by Mine'!CH200:CH201,'Mine by Mine'!CH203:CH204,'Mine by Mine'!CH207:CH209,'Mine by Mine'!CH271:CH308,'Mine by Mine'!CH334,'Mine by Mine'!CH338:CH339,'Mine by Mine'!CH342,'Mine by Mine'!CH372:CH373,'Mine by Mine'!CH436,'Mine by Mine'!CH451,'Mine by Mine'!CH500,'Mine by Mine'!CH544:CH546,'Mine by Mine'!CH548,'Mine by Mine'!CH551,'Mine by Mine'!CH589:CH590,'Mine by Mine'!CH750:CH755,'Mine by Mine'!CW750:CX756)</f>
        <v>0</v>
      </c>
      <c r="T12" s="148">
        <f>SUM('Mine by Mine'!CI196,'Mine by Mine'!CI200:CI201,'Mine by Mine'!CI203:CI204,'Mine by Mine'!CI207:CI209,'Mine by Mine'!CI271:CI308,'Mine by Mine'!CI334,'Mine by Mine'!CI338:CI339,'Mine by Mine'!CI342,'Mine by Mine'!CI372:CI373,'Mine by Mine'!CI436,'Mine by Mine'!CI451,'Mine by Mine'!CI500,'Mine by Mine'!CI544:CI546,'Mine by Mine'!CI548,'Mine by Mine'!CI551,'Mine by Mine'!CI589:CI590,'Mine by Mine'!CI750:CI755,'Mine by Mine'!BS750:CY756)</f>
        <v>29.081599631316664</v>
      </c>
      <c r="U12" s="21">
        <f>SUM('Mine by Mine'!CJ196,'Mine by Mine'!CJ200:CJ201,'Mine by Mine'!CJ203:CJ204,'Mine by Mine'!CJ207:CJ209,'Mine by Mine'!CJ271:CJ308,'Mine by Mine'!CJ334,'Mine by Mine'!CJ338:CJ339,'Mine by Mine'!CJ342,'Mine by Mine'!CJ372:CJ373,'Mine by Mine'!CJ436,'Mine by Mine'!CJ451,'Mine by Mine'!CJ500,'Mine by Mine'!CJ544:CJ546,'Mine by Mine'!CJ548,'Mine by Mine'!CJ551,'Mine by Mine'!CJ589:CJ590,'Mine by Mine'!CJ750:CJ755,'Mine by Mine'!CX750:CZ756)</f>
        <v>0</v>
      </c>
      <c r="V12" s="21" t="s">
        <v>1592</v>
      </c>
      <c r="W12" s="5">
        <v>318.30054489894701</v>
      </c>
      <c r="X12" s="50">
        <v>63.357332868900002</v>
      </c>
      <c r="Y12" s="185" t="s">
        <v>1592</v>
      </c>
      <c r="Z12" s="21">
        <v>0</v>
      </c>
      <c r="AA12" s="21" t="s">
        <v>1592</v>
      </c>
      <c r="AB12" s="21" t="s">
        <v>1592</v>
      </c>
      <c r="AC12" s="21"/>
      <c r="AD12" s="21" t="s">
        <v>1592</v>
      </c>
      <c r="AE12" s="21" t="s">
        <v>1592</v>
      </c>
      <c r="AF12" s="21">
        <v>0</v>
      </c>
      <c r="AG12" s="21" t="s">
        <v>1592</v>
      </c>
      <c r="AH12" s="21" t="s">
        <v>1592</v>
      </c>
      <c r="AI12" s="21" t="s">
        <v>1592</v>
      </c>
      <c r="AJ12" s="21" t="s">
        <v>1592</v>
      </c>
      <c r="AK12" s="21" t="s">
        <v>1592</v>
      </c>
      <c r="AL12" s="21" t="s">
        <v>1592</v>
      </c>
      <c r="AM12" s="188">
        <v>21.687332868284496</v>
      </c>
    </row>
    <row r="13" spans="1:47" x14ac:dyDescent="0.25">
      <c r="A13" s="252"/>
      <c r="B13" s="2" t="s">
        <v>1595</v>
      </c>
      <c r="C13" s="218" t="s">
        <v>1592</v>
      </c>
      <c r="D13" s="21" t="s">
        <v>1592</v>
      </c>
      <c r="E13" s="21" t="s">
        <v>1592</v>
      </c>
      <c r="F13" s="21" t="s">
        <v>1592</v>
      </c>
      <c r="G13" s="21" t="s">
        <v>1592</v>
      </c>
      <c r="H13" s="21" t="s">
        <v>1592</v>
      </c>
      <c r="I13" s="21" t="s">
        <v>1592</v>
      </c>
      <c r="J13" s="21" t="s">
        <v>1592</v>
      </c>
      <c r="K13" s="21" t="s">
        <v>1592</v>
      </c>
      <c r="L13" s="21" t="s">
        <v>1592</v>
      </c>
      <c r="M13" s="21" t="s">
        <v>1592</v>
      </c>
      <c r="N13" s="21" t="s">
        <v>1592</v>
      </c>
      <c r="O13" s="21" t="s">
        <v>1592</v>
      </c>
      <c r="P13" s="21" t="s">
        <v>1592</v>
      </c>
      <c r="Q13" s="21" t="s">
        <v>1592</v>
      </c>
      <c r="R13" s="21" t="s">
        <v>1592</v>
      </c>
      <c r="S13" s="188">
        <v>60.496714959999998</v>
      </c>
      <c r="T13" s="21" t="s">
        <v>1592</v>
      </c>
      <c r="U13" s="21" t="s">
        <v>1592</v>
      </c>
      <c r="V13" s="21" t="s">
        <v>1592</v>
      </c>
      <c r="W13" s="21" t="s">
        <v>1592</v>
      </c>
      <c r="X13" s="21" t="s">
        <v>1592</v>
      </c>
      <c r="Y13" s="185" t="s">
        <v>1592</v>
      </c>
      <c r="Z13" s="21" t="s">
        <v>1592</v>
      </c>
      <c r="AA13" s="21" t="s">
        <v>1592</v>
      </c>
      <c r="AB13" s="21" t="s">
        <v>1592</v>
      </c>
      <c r="AC13" s="21" t="s">
        <v>1592</v>
      </c>
      <c r="AD13" s="21" t="s">
        <v>1592</v>
      </c>
      <c r="AE13" s="21" t="s">
        <v>1592</v>
      </c>
      <c r="AF13" s="21" t="s">
        <v>1592</v>
      </c>
      <c r="AG13" s="21" t="s">
        <v>1592</v>
      </c>
      <c r="AH13" s="21" t="s">
        <v>1592</v>
      </c>
      <c r="AI13" s="21" t="s">
        <v>1592</v>
      </c>
      <c r="AJ13" s="21" t="s">
        <v>1592</v>
      </c>
      <c r="AK13" s="21" t="s">
        <v>1592</v>
      </c>
      <c r="AL13" s="21" t="s">
        <v>1592</v>
      </c>
      <c r="AM13" s="21" t="s">
        <v>1592</v>
      </c>
    </row>
    <row r="14" spans="1:47" x14ac:dyDescent="0.25">
      <c r="A14" s="252"/>
      <c r="B14" s="2" t="s">
        <v>1567</v>
      </c>
      <c r="C14" s="187">
        <f>SUM(C6:C13)</f>
        <v>15101.19891721663</v>
      </c>
      <c r="D14" s="187">
        <f t="shared" ref="D14:AH14" si="0">SUM(D6:D13)</f>
        <v>103469.15675478116</v>
      </c>
      <c r="E14" s="187">
        <f t="shared" si="0"/>
        <v>32311.173969449013</v>
      </c>
      <c r="F14" s="187">
        <f t="shared" si="0"/>
        <v>46049.397065119549</v>
      </c>
      <c r="G14" s="187">
        <f t="shared" si="0"/>
        <v>65647.202557675497</v>
      </c>
      <c r="H14" s="186">
        <f t="shared" si="0"/>
        <v>6167.7590821477861</v>
      </c>
      <c r="I14" s="188">
        <f t="shared" si="0"/>
        <v>105.55918823381241</v>
      </c>
      <c r="J14" s="187">
        <f t="shared" si="0"/>
        <v>14336.975616822403</v>
      </c>
      <c r="K14" s="188">
        <f t="shared" si="0"/>
        <v>891.77039447350364</v>
      </c>
      <c r="L14" s="188">
        <f t="shared" si="0"/>
        <v>76.415196092964038</v>
      </c>
      <c r="M14" s="188">
        <f t="shared" si="0"/>
        <v>278.69251611585594</v>
      </c>
      <c r="N14" s="188">
        <f t="shared" si="0"/>
        <v>157.712316327667</v>
      </c>
      <c r="O14" s="187">
        <f t="shared" si="0"/>
        <v>0</v>
      </c>
      <c r="P14" s="125">
        <f t="shared" si="0"/>
        <v>2938.4008451443997</v>
      </c>
      <c r="Q14" s="188">
        <f t="shared" si="0"/>
        <v>30.845979315518498</v>
      </c>
      <c r="R14" s="188">
        <f t="shared" si="0"/>
        <v>425.53462285939406</v>
      </c>
      <c r="S14" s="188">
        <f t="shared" si="0"/>
        <v>92.841052383999994</v>
      </c>
      <c r="T14" s="188">
        <f t="shared" si="0"/>
        <v>947.0600948893167</v>
      </c>
      <c r="U14" s="188">
        <f t="shared" si="0"/>
        <v>190.659260252</v>
      </c>
      <c r="V14" s="188">
        <f t="shared" si="0"/>
        <v>0</v>
      </c>
      <c r="W14" s="186">
        <f t="shared" si="0"/>
        <v>2586.805558834847</v>
      </c>
      <c r="X14" s="188">
        <f t="shared" si="0"/>
        <v>651.44701574806788</v>
      </c>
      <c r="Y14" s="188">
        <f t="shared" si="0"/>
        <v>0</v>
      </c>
      <c r="Z14" s="186">
        <v>3115.2487500000002</v>
      </c>
      <c r="AA14" s="21">
        <f t="shared" si="0"/>
        <v>0</v>
      </c>
      <c r="AB14" s="50">
        <f t="shared" si="0"/>
        <v>216.11323721563835</v>
      </c>
      <c r="AC14" s="148">
        <f t="shared" si="0"/>
        <v>0.64360600000000001</v>
      </c>
      <c r="AD14" s="21">
        <f t="shared" si="0"/>
        <v>0</v>
      </c>
      <c r="AE14" s="21">
        <f t="shared" si="0"/>
        <v>0</v>
      </c>
      <c r="AF14" s="189">
        <f t="shared" si="0"/>
        <v>3.0749477663999998</v>
      </c>
      <c r="AG14" s="21">
        <f t="shared" si="0"/>
        <v>0</v>
      </c>
      <c r="AH14" s="21">
        <f t="shared" si="0"/>
        <v>0</v>
      </c>
      <c r="AI14" s="21">
        <f t="shared" ref="AI14:AJ14" si="1">SUM(AI6:AI13)</f>
        <v>0</v>
      </c>
      <c r="AJ14" s="21">
        <f t="shared" si="1"/>
        <v>0</v>
      </c>
      <c r="AK14" s="21">
        <f t="shared" ref="AK14" si="2">SUM(AK6:AK13)</f>
        <v>0</v>
      </c>
      <c r="AL14" s="21">
        <f t="shared" ref="AL14:AM14" si="3">SUM(AL6:AL13)</f>
        <v>0</v>
      </c>
      <c r="AM14" s="188">
        <f t="shared" si="3"/>
        <v>21.687332868284496</v>
      </c>
    </row>
    <row r="15" spans="1:47" x14ac:dyDescent="0.25">
      <c r="A15" s="192"/>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row>
    <row r="16" spans="1:47" x14ac:dyDescent="0.25">
      <c r="A16" s="253" t="s">
        <v>1613</v>
      </c>
      <c r="B16" s="185" t="s">
        <v>1359</v>
      </c>
      <c r="C16" s="16">
        <f>'Annual Data'!B1/1000</f>
        <v>1581.3517888214581</v>
      </c>
      <c r="D16" s="6">
        <f>'Annual Data'!M1/1000</f>
        <v>49823.106381190562</v>
      </c>
      <c r="E16" s="6">
        <f>'Annual Data'!BH1/1000</f>
        <v>14391.928272459998</v>
      </c>
      <c r="F16" s="6">
        <f>'Annual Data'!DD1/1000</f>
        <v>16570.706762679885</v>
      </c>
      <c r="G16" s="6">
        <f>'Annual Data'!DO1/1000</f>
        <v>24114.110042122069</v>
      </c>
      <c r="H16" s="5">
        <f>'Annual Data'!CV1/1000</f>
        <v>327.38471469017026</v>
      </c>
      <c r="I16" s="5">
        <f>'Annual Data'!AZ1/1000</f>
        <v>15.417354191579079</v>
      </c>
      <c r="J16" s="4">
        <f>'Annual Data'!BZ1/1000000</f>
        <v>1.5529410239999999</v>
      </c>
      <c r="K16" s="5">
        <f>'Annual Data'!DZ1/1000</f>
        <v>179.53816056837667</v>
      </c>
      <c r="L16" s="5">
        <f>((183.8+3*16)/183.8)*'Annual Data'!IC1/1000</f>
        <v>22.914077113772603</v>
      </c>
      <c r="M16" s="4">
        <f>'Annual Data'!EI1/1000</f>
        <v>8.8927600000000009</v>
      </c>
      <c r="N16" s="3">
        <f>'Annual Data'!CJ1/1000000</f>
        <v>0.158387272</v>
      </c>
      <c r="O16" s="186">
        <f>'Annual Data'!AN1/1000000</f>
        <v>7818.4144003845204</v>
      </c>
      <c r="P16" s="2" t="s">
        <v>1592</v>
      </c>
      <c r="Q16" s="185" t="s">
        <v>1592</v>
      </c>
      <c r="R16" s="4">
        <f>'Annual Data'!EY1/1000</f>
        <v>3.6541759999999992</v>
      </c>
      <c r="S16" s="5">
        <f>'Annual Data'!GN1/1000000</f>
        <v>33.489692544</v>
      </c>
      <c r="T16" s="2" t="s">
        <v>1592</v>
      </c>
      <c r="U16" s="4">
        <f>'Annual Data'!HV1/1000</f>
        <v>2.3104017439535514</v>
      </c>
      <c r="V16" s="185" t="s">
        <v>1592</v>
      </c>
      <c r="W16" s="5">
        <f>'Annual Data'!X1/1000000</f>
        <v>772.76651014790014</v>
      </c>
      <c r="X16" s="5">
        <f>'Annual Data'!AG1/1000000</f>
        <v>197.80303301999339</v>
      </c>
      <c r="Y16" s="185" t="s">
        <v>1592</v>
      </c>
      <c r="Z16" s="5">
        <f>'Annual Data'!FI1/1000</f>
        <v>14.634463999999999</v>
      </c>
      <c r="AA16" s="4">
        <f>'Annual Data'!FP1/1000</f>
        <v>2.1061680000000003</v>
      </c>
      <c r="AB16" s="185" t="s">
        <v>1592</v>
      </c>
      <c r="AC16" s="3">
        <f>'Annual Data'!GE1/1000</f>
        <v>0.90599317052164718</v>
      </c>
      <c r="AD16" s="7">
        <f>'Annual Data'!IM1/1000</f>
        <v>1.4273763967999999E-3</v>
      </c>
      <c r="AE16" s="193">
        <f>'Annual Data'!IS1/1000</f>
        <v>6.8177663999999994E-6</v>
      </c>
      <c r="AF16" s="185" t="s">
        <v>1592</v>
      </c>
      <c r="AG16" s="3">
        <f>'Annual Data'!JB1/1000</f>
        <v>0.31952400000000003</v>
      </c>
      <c r="AH16" s="16">
        <f>'Annual Data'!JG1/1000</f>
        <v>6546.9272780715783</v>
      </c>
      <c r="AI16" s="16">
        <f>'Annual Data'!KL1/1000</f>
        <v>4227.2548407515396</v>
      </c>
      <c r="AJ16" s="4">
        <f>'Annual Data'!KA1/1000</f>
        <v>4.2190000000000012</v>
      </c>
      <c r="AK16" s="16">
        <f>'Annual Data'!LL1/1000</f>
        <v>4020.2587753755402</v>
      </c>
      <c r="AL16" s="4">
        <f>'Annual Data'!MG1/1000</f>
        <v>4.6876695732559188</v>
      </c>
      <c r="AM16" s="4">
        <f>'Annual Data'!MY1/1000</f>
        <v>1.4182585343999998</v>
      </c>
      <c r="AQ16" s="17"/>
      <c r="AR16" s="17"/>
      <c r="AT16" s="17"/>
      <c r="AU16" s="17"/>
    </row>
    <row r="17" spans="1:39" x14ac:dyDescent="0.25">
      <c r="A17" s="253"/>
      <c r="B17" s="185" t="s">
        <v>1360</v>
      </c>
      <c r="C17" s="16">
        <f>'Annual Data'!C1/1000</f>
        <v>1321.6599616306705</v>
      </c>
      <c r="D17" s="6">
        <f>'Annual Data'!N1/1000</f>
        <v>30808.539654387994</v>
      </c>
      <c r="E17" s="16">
        <f>'Annual Data'!BI1/1000</f>
        <v>5451.4273032579986</v>
      </c>
      <c r="F17" s="6">
        <f>'Annual Data'!DE1/1000</f>
        <v>23363.456035760697</v>
      </c>
      <c r="G17" s="6">
        <f>'Annual Data'!DP1/1000</f>
        <v>24436.684500462092</v>
      </c>
      <c r="H17" s="2" t="s">
        <v>1592</v>
      </c>
      <c r="I17" s="5">
        <f>'Annual Data'!BA1/1000</f>
        <v>1.0096499999999999</v>
      </c>
      <c r="J17" s="4">
        <f>'Annual Data'!CA1/1000000</f>
        <v>4.8433990827999986</v>
      </c>
      <c r="K17" s="5">
        <f>'Annual Data'!EA1/1000</f>
        <v>190.56269786407057</v>
      </c>
      <c r="L17" s="4">
        <f>((183.8+3*16)/183.8)*'Annual Data'!ID1/1000</f>
        <v>3.8334067461292531</v>
      </c>
      <c r="M17" s="185" t="s">
        <v>1592</v>
      </c>
      <c r="N17" s="3">
        <f>'Annual Data'!CK1/1000000</f>
        <v>7.6352400000000015E-2</v>
      </c>
      <c r="O17" s="186">
        <f>'Annual Data'!AO1/1000000</f>
        <v>7698.8641129226053</v>
      </c>
      <c r="P17" s="185" t="s">
        <v>1592</v>
      </c>
      <c r="Q17" s="3">
        <f>'Annual Data'!GW1/1000</f>
        <v>0.65981760000000023</v>
      </c>
      <c r="R17" s="5">
        <f>'Annual Data'!EZ1/1000</f>
        <v>49.723809401077347</v>
      </c>
      <c r="S17" s="3">
        <f>'Annual Data'!GO1/1000000</f>
        <v>1.0758423999999999E-2</v>
      </c>
      <c r="T17" s="3">
        <f>'Annual Data'!BS1/1000000</f>
        <v>0.20159305</v>
      </c>
      <c r="U17" s="5">
        <f>'Annual Data'!HW1/1000</f>
        <v>14.437855040000006</v>
      </c>
      <c r="V17" s="185" t="s">
        <v>1592</v>
      </c>
      <c r="W17" s="3">
        <f>'Annual Data'!Y1/1000000</f>
        <v>0.23517601600000002</v>
      </c>
      <c r="X17" s="185" t="s">
        <v>1592</v>
      </c>
      <c r="Y17" s="185" t="s">
        <v>1592</v>
      </c>
      <c r="Z17" s="5">
        <f>'Annual Data'!FJ1/1000</f>
        <v>48.394112000000007</v>
      </c>
      <c r="AA17" s="4">
        <f>'Annual Data'!FQ1/1000</f>
        <v>2.7787600000000006</v>
      </c>
      <c r="AB17" s="7">
        <f>'Annual Data'!FY1/1000</f>
        <v>3.6865165568942433E-3</v>
      </c>
      <c r="AC17" s="3">
        <f>'Annual Data'!GF1/1000</f>
        <v>0.41448810564003241</v>
      </c>
      <c r="AD17" s="185" t="s">
        <v>1592</v>
      </c>
      <c r="AE17" s="185" t="s">
        <v>1592</v>
      </c>
      <c r="AF17" s="185" t="s">
        <v>1592</v>
      </c>
      <c r="AG17" s="185" t="s">
        <v>1592</v>
      </c>
      <c r="AH17" s="16">
        <f>'Annual Data'!JJ1/1000</f>
        <v>1785.1150452839902</v>
      </c>
      <c r="AI17" s="16">
        <f>'Annual Data'!KO1/1000</f>
        <v>5150.5970207790979</v>
      </c>
      <c r="AJ17" s="185" t="s">
        <v>1592</v>
      </c>
      <c r="AK17" s="16">
        <f>'Annual Data'!LO1/1000</f>
        <v>5239.7203755499386</v>
      </c>
      <c r="AL17" s="5">
        <f>'Annual Data'!MJ1/1000</f>
        <v>22.249758399999997</v>
      </c>
      <c r="AM17" s="31">
        <f>'Annual Data'!NA1/1000</f>
        <v>0.20271703609380662</v>
      </c>
    </row>
    <row r="18" spans="1:39" x14ac:dyDescent="0.25">
      <c r="A18" s="253"/>
      <c r="B18" s="185" t="s">
        <v>1361</v>
      </c>
      <c r="C18" s="16">
        <f>'Annual Data'!D1/1000</f>
        <v>2535.1981207461645</v>
      </c>
      <c r="D18" s="5">
        <f>'Annual Data'!O1/1000</f>
        <v>22.942468000000002</v>
      </c>
      <c r="E18" s="5">
        <f>'Annual Data'!BJ1/1000</f>
        <v>15.360704</v>
      </c>
      <c r="F18" s="3">
        <f>'Annual Data'!DF1/1000</f>
        <v>1.0160000000000001E-2</v>
      </c>
      <c r="G18" s="5">
        <f>'Annual Data'!DQ1/1000</f>
        <v>19.521999999999998</v>
      </c>
      <c r="H18" s="2" t="s">
        <v>1592</v>
      </c>
      <c r="I18" s="2" t="s">
        <v>1592</v>
      </c>
      <c r="J18" s="3">
        <f>'Annual Data'!CB1/1000000</f>
        <v>3.5778184000000005E-2</v>
      </c>
      <c r="K18" s="5">
        <f>'Annual Data'!EB1/1000</f>
        <v>10.704912704226283</v>
      </c>
      <c r="L18" s="3">
        <f>((183.8+3*16)/183.8)*'Annual Data'!IE1/1000</f>
        <v>7.8763572924083827E-2</v>
      </c>
      <c r="M18" s="185" t="s">
        <v>1592</v>
      </c>
      <c r="N18" s="7">
        <f>'Annual Data'!CL1/1000000</f>
        <v>4.439920000000001E-4</v>
      </c>
      <c r="O18" s="5">
        <f>'Annual Data'!AP1/1000000</f>
        <v>22.737941824000004</v>
      </c>
      <c r="P18" s="186">
        <f>'Annual Data'!AW1/1000000</f>
        <v>2938.4008451444001</v>
      </c>
      <c r="Q18" s="3">
        <f>'Annual Data'!HB1/1000</f>
        <v>9.6721000000000012E-3</v>
      </c>
      <c r="R18" s="5">
        <f>'Annual Data'!FA1/1000</f>
        <v>79.044781747500821</v>
      </c>
      <c r="S18" s="3">
        <f>'Annual Data'!GP1/1000000</f>
        <v>1.6270224E-2</v>
      </c>
      <c r="T18" s="185" t="s">
        <v>1592</v>
      </c>
      <c r="U18" s="2" t="s">
        <v>1592</v>
      </c>
      <c r="V18" s="185" t="s">
        <v>1592</v>
      </c>
      <c r="W18" s="3">
        <f>'Annual Data'!Z1/1000000</f>
        <v>0.21684749599999997</v>
      </c>
      <c r="X18" s="185" t="s">
        <v>1592</v>
      </c>
      <c r="Y18" s="185" t="s">
        <v>1592</v>
      </c>
      <c r="Z18" s="2" t="s">
        <v>1592</v>
      </c>
      <c r="AA18" s="2" t="s">
        <v>1592</v>
      </c>
      <c r="AB18" s="185" t="s">
        <v>1592</v>
      </c>
      <c r="AC18" s="3">
        <f>'Annual Data'!GG1/1000</f>
        <v>0.16565236708939843</v>
      </c>
      <c r="AD18" s="185" t="s">
        <v>1592</v>
      </c>
      <c r="AE18" s="185" t="s">
        <v>1592</v>
      </c>
      <c r="AF18" s="185" t="s">
        <v>1592</v>
      </c>
      <c r="AG18" s="185" t="s">
        <v>1592</v>
      </c>
      <c r="AH18" s="16">
        <f>'Annual Data'!JM1/1000</f>
        <v>1406.2850000000001</v>
      </c>
      <c r="AI18" s="16">
        <f>'Annual Data'!KR1/1000</f>
        <v>1508.7080000000001</v>
      </c>
      <c r="AJ18" s="185" t="s">
        <v>1592</v>
      </c>
      <c r="AK18" s="16">
        <f>'Annual Data'!LR1/1000</f>
        <v>1195.9269999999999</v>
      </c>
      <c r="AL18" s="2" t="s">
        <v>1592</v>
      </c>
      <c r="AM18" s="227" t="s">
        <v>1592</v>
      </c>
    </row>
    <row r="19" spans="1:39" x14ac:dyDescent="0.25">
      <c r="A19" s="253"/>
      <c r="B19" s="185" t="s">
        <v>1362</v>
      </c>
      <c r="C19" s="5">
        <f>'Annual Data'!E1/1000</f>
        <v>232.20781057519332</v>
      </c>
      <c r="D19" s="16">
        <f>'Annual Data'!P1/1000</f>
        <v>7158.8634835927114</v>
      </c>
      <c r="E19" s="16">
        <f>'Annual Data'!BK1/1000</f>
        <v>1872.9962389189977</v>
      </c>
      <c r="F19" s="6">
        <f>'Annual Data'!DG1/1000</f>
        <v>2586.6235785873459</v>
      </c>
      <c r="G19" s="6">
        <f>'Annual Data'!DR1/1000</f>
        <v>6681.1963698187483</v>
      </c>
      <c r="H19" s="4">
        <f>'Annual Data'!CW1/1000</f>
        <v>3.6526784000000001</v>
      </c>
      <c r="I19" s="3">
        <f>'Annual Data'!BB1/1000</f>
        <v>7.0104000000000017E-3</v>
      </c>
      <c r="J19" s="5">
        <f>'Annual Data'!CC1/1000000</f>
        <v>115.67268860840102</v>
      </c>
      <c r="K19" s="5">
        <f>'Annual Data'!EC1/1000</f>
        <v>469.36937877494137</v>
      </c>
      <c r="L19" s="5">
        <f>((183.8+3*16)/183.8)*'Annual Data'!IF1/1000</f>
        <v>72.387890229077726</v>
      </c>
      <c r="M19" s="185" t="s">
        <v>1592</v>
      </c>
      <c r="N19" s="7">
        <f>'Annual Data'!CM1/1000000</f>
        <v>7.5600000000000005E-4</v>
      </c>
      <c r="O19" s="5">
        <f>'Annual Data'!AQ1/1000000</f>
        <v>33.458243571999986</v>
      </c>
      <c r="P19" s="185" t="s">
        <v>1592</v>
      </c>
      <c r="Q19" s="3">
        <f>'Annual Data'!HG1/1000</f>
        <v>0.96704044279999968</v>
      </c>
      <c r="R19" s="4">
        <f>'Annual Data'!FB1/1000</f>
        <v>6.7438102400000002</v>
      </c>
      <c r="S19" s="2" t="s">
        <v>1592</v>
      </c>
      <c r="T19" s="185" t="s">
        <v>1592</v>
      </c>
      <c r="U19" s="2" t="s">
        <v>1592</v>
      </c>
      <c r="V19" s="185" t="s">
        <v>1592</v>
      </c>
      <c r="W19" s="185" t="s">
        <v>1592</v>
      </c>
      <c r="X19" s="3">
        <f>'Annual Data'!AH1/1000000</f>
        <v>0.41414745600000002</v>
      </c>
      <c r="Y19" s="185" t="s">
        <v>1592</v>
      </c>
      <c r="Z19" s="7">
        <f>'Annual Data'!FK1/1000</f>
        <v>2.689E-3</v>
      </c>
      <c r="AA19" s="3">
        <f>'Annual Data'!FR1/1000</f>
        <v>4.0639999999999996E-2</v>
      </c>
      <c r="AB19" s="185" t="s">
        <v>1592</v>
      </c>
      <c r="AC19" s="2" t="s">
        <v>1592</v>
      </c>
      <c r="AD19" s="185" t="s">
        <v>1592</v>
      </c>
      <c r="AE19" s="185" t="s">
        <v>1592</v>
      </c>
      <c r="AF19" s="185" t="s">
        <v>1592</v>
      </c>
      <c r="AG19" s="185" t="s">
        <v>1592</v>
      </c>
      <c r="AH19" s="5">
        <f>'Annual Data'!JN1/1000</f>
        <v>73.311512000000008</v>
      </c>
      <c r="AI19" s="5">
        <f>'Annual Data'!KS1/1000</f>
        <v>40.026504000000003</v>
      </c>
      <c r="AJ19" s="185" t="s">
        <v>1592</v>
      </c>
      <c r="AK19" s="5">
        <f>'Annual Data'!LS1/1000</f>
        <v>39.000055999999994</v>
      </c>
      <c r="AL19" s="2" t="s">
        <v>1592</v>
      </c>
      <c r="AM19" s="31">
        <f>'Annual Data'!NC1/1000</f>
        <v>0.11010893840000002</v>
      </c>
    </row>
    <row r="20" spans="1:39" x14ac:dyDescent="0.25">
      <c r="A20" s="253"/>
      <c r="B20" s="185" t="s">
        <v>1363</v>
      </c>
      <c r="C20" s="5">
        <f>'Annual Data'!F1/1000</f>
        <v>225.6772105373621</v>
      </c>
      <c r="D20" s="5">
        <f>'Annual Data'!Q1/1000</f>
        <v>966.61840697082891</v>
      </c>
      <c r="E20" s="16">
        <f>'Annual Data'!BL1/1000</f>
        <v>6852.0400092400005</v>
      </c>
      <c r="F20" s="5">
        <f>'Annual Data'!DH1/1000</f>
        <v>95.416081900000009</v>
      </c>
      <c r="G20" s="15">
        <f>'Annual Data'!DS1/1000</f>
        <v>544.47204399199995</v>
      </c>
      <c r="H20" s="2" t="s">
        <v>1592</v>
      </c>
      <c r="I20" s="2" t="s">
        <v>1592</v>
      </c>
      <c r="J20" s="5">
        <f>'Annual Data'!CD1/1000000</f>
        <v>359.78327343266784</v>
      </c>
      <c r="K20" s="2" t="s">
        <v>1592</v>
      </c>
      <c r="L20" s="3">
        <f>((183.8+3*16)/183.8)*'Annual Data'!IG1/1000</f>
        <v>2.2759719947060665E-3</v>
      </c>
      <c r="M20" s="5">
        <f>'Annual Data'!EJ1/1000</f>
        <v>121.12804698449314</v>
      </c>
      <c r="N20" s="3">
        <f>'Annual Data'!CN1/1000000</f>
        <v>6.2695839999999989E-2</v>
      </c>
      <c r="O20" s="5">
        <f>'Annual Data'!AR1/1000000</f>
        <v>148.76536831999999</v>
      </c>
      <c r="P20" s="185" t="s">
        <v>1592</v>
      </c>
      <c r="Q20" s="2" t="s">
        <v>1592</v>
      </c>
      <c r="R20" s="185" t="s">
        <v>1592</v>
      </c>
      <c r="S20" s="3">
        <f>'Annual Data'!GQ1/1000000</f>
        <v>0.481881016</v>
      </c>
      <c r="T20" s="185" t="s">
        <v>1592</v>
      </c>
      <c r="U20" s="5">
        <f>'Annual Data'!HX1/1000</f>
        <v>16.189799999999998</v>
      </c>
      <c r="V20" s="185" t="s">
        <v>1592</v>
      </c>
      <c r="W20" s="185" t="s">
        <v>1592</v>
      </c>
      <c r="X20" s="2" t="s">
        <v>1592</v>
      </c>
      <c r="Y20" s="185" t="s">
        <v>1592</v>
      </c>
      <c r="Z20" s="2" t="s">
        <v>1592</v>
      </c>
      <c r="AA20" s="4">
        <f>'Annual Data'!FS1/1000</f>
        <v>1.6594080000000002</v>
      </c>
      <c r="AB20" s="185" t="s">
        <v>1592</v>
      </c>
      <c r="AC20" s="7">
        <f>'Annual Data'!GH1/1000</f>
        <v>6.7296274130068114E-4</v>
      </c>
      <c r="AD20" s="185" t="s">
        <v>1592</v>
      </c>
      <c r="AE20" s="185" t="s">
        <v>1592</v>
      </c>
      <c r="AF20" s="185" t="s">
        <v>1592</v>
      </c>
      <c r="AG20" s="185" t="s">
        <v>1592</v>
      </c>
      <c r="AH20" s="16">
        <f>'Annual Data'!JO1/1000</f>
        <v>1385.3924</v>
      </c>
      <c r="AI20" s="5">
        <f>'Annual Data'!KV1/1000</f>
        <v>404.708146</v>
      </c>
      <c r="AJ20" s="5">
        <f>'Annual Data'!KC1/1000</f>
        <v>11.497</v>
      </c>
      <c r="AK20" s="16">
        <f>'Annual Data'!LV1/1000</f>
        <v>2742.1033500000003</v>
      </c>
      <c r="AL20" s="5">
        <f>'Annual Data'!MM1/1000</f>
        <v>26.983000000000001</v>
      </c>
      <c r="AM20" s="49">
        <f>'Annual Data'!NE1/1000</f>
        <v>1.0251292751519549E-3</v>
      </c>
    </row>
    <row r="21" spans="1:39" x14ac:dyDescent="0.25">
      <c r="A21" s="253"/>
      <c r="B21" s="185" t="s">
        <v>1364</v>
      </c>
      <c r="C21" s="16">
        <f>'Annual Data'!G1/1000</f>
        <v>8691.8942224747352</v>
      </c>
      <c r="D21" s="16">
        <f>'Annual Data'!R1/1000</f>
        <v>2999.6297346519814</v>
      </c>
      <c r="E21" s="16">
        <f>'Annual Data'!BM1/1000</f>
        <v>3289.4269830805506</v>
      </c>
      <c r="F21" s="6">
        <f>'Annual Data'!DI1/1000</f>
        <v>1213.6757160136049</v>
      </c>
      <c r="G21" s="6">
        <f>'Annual Data'!DT1/1000</f>
        <v>4338.3087628487474</v>
      </c>
      <c r="H21" s="6">
        <f>'Annual Data'!CX1/1000</f>
        <v>5777.5982016488888</v>
      </c>
      <c r="I21" s="5">
        <f>'Annual Data'!BC1/1000</f>
        <v>124.35964857999997</v>
      </c>
      <c r="J21" s="187">
        <f>'Annual Data'!CE1/1000000</f>
        <v>14330.676785286081</v>
      </c>
      <c r="K21" s="5">
        <f>'Annual Data'!ED1/1000</f>
        <v>37.579598351796882</v>
      </c>
      <c r="L21" s="3">
        <f>((183.8+3*16)/183.8)*'Annual Data'!IH1/1000</f>
        <v>0.14909336485599281</v>
      </c>
      <c r="M21" s="3">
        <f>'Annual Data'!EK1/1000</f>
        <v>1.1470000000000001E-2</v>
      </c>
      <c r="N21" s="5">
        <f>'Annual Data'!CO1/1000000</f>
        <v>15.788813005000002</v>
      </c>
      <c r="O21" s="5">
        <f>'Annual Data'!AS1/1000000</f>
        <v>319.65450765468296</v>
      </c>
      <c r="P21" s="185" t="s">
        <v>1592</v>
      </c>
      <c r="Q21" s="5">
        <f>SUM('Annual Data'!HL1:HN1)/1000</f>
        <v>30.178580874301982</v>
      </c>
      <c r="R21" s="185" t="s">
        <v>1592</v>
      </c>
      <c r="S21" s="3">
        <f>'Annual Data'!GR1/1000000</f>
        <v>0.14540991999999997</v>
      </c>
      <c r="T21" s="5">
        <f>'Annual Data'!BT1/1000000</f>
        <v>917.75138549799999</v>
      </c>
      <c r="U21" s="5">
        <f>'Annual Data'!HY1/1000</f>
        <v>329.98332901999999</v>
      </c>
      <c r="V21" s="5">
        <f>'Annual Data'!EQ1</f>
        <v>85.367906000000005</v>
      </c>
      <c r="W21" s="186">
        <f>'Annual Data'!AA1/1000000</f>
        <v>1488.4316287879999</v>
      </c>
      <c r="X21" s="5">
        <f>'Annual Data'!AI1/1000000</f>
        <v>430.75396703799993</v>
      </c>
      <c r="Y21" s="5">
        <f>'Annual Data'!EU1/1000</f>
        <v>14.283616406522723</v>
      </c>
      <c r="Z21" s="186">
        <f>'Annual Data'!FL1/1000</f>
        <v>3129.8984540000001</v>
      </c>
      <c r="AA21" s="4">
        <f>'Annual Data'!FT1/1000</f>
        <v>0.22148800000000002</v>
      </c>
      <c r="AB21" s="5">
        <f>'Annual Data'!FZ1/1000</f>
        <v>412.1011121705767</v>
      </c>
      <c r="AC21" s="3">
        <f>'Annual Data'!GI1/1000</f>
        <v>0.32806238129954923</v>
      </c>
      <c r="AD21" s="5">
        <f>'Annual Data'!IN1/1000</f>
        <v>12.797053775260002</v>
      </c>
      <c r="AE21" s="185" t="s">
        <v>1592</v>
      </c>
      <c r="AF21" s="185" t="s">
        <v>1592</v>
      </c>
      <c r="AG21" s="186">
        <f>'Annual Data'!JC1/1000</f>
        <v>6734.2153550000003</v>
      </c>
      <c r="AH21" s="6">
        <f>'Annual Data'!JR1/1000</f>
        <v>43502.337638799996</v>
      </c>
      <c r="AI21" s="16">
        <f>'Annual Data'!KY1/1000</f>
        <v>3744.6541669199996</v>
      </c>
      <c r="AJ21" s="16">
        <f>'Annual Data'!KE1/1000</f>
        <v>1357.3574025999999</v>
      </c>
      <c r="AK21" s="6">
        <f>'Annual Data'!LY1/1000</f>
        <v>13562.228690879998</v>
      </c>
      <c r="AL21" s="5">
        <f>'Annual Data'!MN1/1000</f>
        <v>232.20678128</v>
      </c>
      <c r="AM21" s="48">
        <f>'Annual Data'!NG1/1000</f>
        <v>1.0658491699174455E-2</v>
      </c>
    </row>
    <row r="22" spans="1:39" x14ac:dyDescent="0.25">
      <c r="A22" s="253"/>
      <c r="B22" s="185" t="s">
        <v>1365</v>
      </c>
      <c r="C22" s="5">
        <f>'Annual Data'!H1/1000</f>
        <v>716.25130268393548</v>
      </c>
      <c r="D22" s="16">
        <f>'Annual Data'!S1/1000</f>
        <v>1690.9681416149758</v>
      </c>
      <c r="E22" s="5">
        <f>'Annual Data'!BN1/1000</f>
        <v>366.91765759999998</v>
      </c>
      <c r="F22" s="6">
        <f>'Annual Data'!DJ1/1000</f>
        <v>1267.9477568046896</v>
      </c>
      <c r="G22" s="6">
        <f>'Annual Data'!DU1/1000</f>
        <v>5375.4874661068734</v>
      </c>
      <c r="H22" s="2" t="s">
        <v>1592</v>
      </c>
      <c r="J22" s="5">
        <f>'Annual Data'!CF1/1000000</f>
        <v>24.219646288000003</v>
      </c>
      <c r="K22" s="5">
        <f>'Annual Data'!EE1/1000</f>
        <v>5.9602002967358949</v>
      </c>
      <c r="L22" s="4">
        <f>((183.8+3*16)/183.8)*'Annual Data'!II1/1000</f>
        <v>4.7047067064924706</v>
      </c>
      <c r="M22" s="5">
        <f>'Annual Data'!EL1/1000</f>
        <v>147.37624961302399</v>
      </c>
      <c r="N22" s="5">
        <f>'Annual Data'!CP1/1000000</f>
        <v>142.68362696266669</v>
      </c>
      <c r="O22" s="2" t="s">
        <v>1592</v>
      </c>
      <c r="P22" s="185" t="s">
        <v>1592</v>
      </c>
      <c r="Q22" s="185" t="s">
        <v>1592</v>
      </c>
      <c r="R22" s="185" t="s">
        <v>1592</v>
      </c>
      <c r="S22" s="2" t="s">
        <v>1592</v>
      </c>
      <c r="T22" s="3">
        <f>'Annual Data'!BU1/1000000</f>
        <v>0.52894266000000001</v>
      </c>
      <c r="U22" s="2" t="s">
        <v>1592</v>
      </c>
      <c r="V22" s="185" t="s">
        <v>1592</v>
      </c>
      <c r="W22" s="5">
        <f>'Annual Data'!AB1/1000000</f>
        <v>318.30054489894673</v>
      </c>
      <c r="X22" s="5">
        <f>'Annual Data'!AJ1/1000000</f>
        <v>63.357332868900009</v>
      </c>
      <c r="Y22" s="185" t="s">
        <v>1592</v>
      </c>
      <c r="Z22" s="185" t="s">
        <v>1592</v>
      </c>
      <c r="AA22" s="7">
        <f>'Annual Data'!FU1/1000</f>
        <v>3.0479999999999999E-3</v>
      </c>
      <c r="AB22" s="7">
        <f>'Annual Data'!GA1/1000</f>
        <v>1.9636246961178042E-3</v>
      </c>
      <c r="AC22" s="7">
        <f>'Annual Data'!GJ1/1000</f>
        <v>1.6565236708939842E-4</v>
      </c>
      <c r="AD22" s="7">
        <f>'Annual Data'!IO1/1000</f>
        <v>3.8769389567999998E-3</v>
      </c>
      <c r="AE22" s="7">
        <f>'Annual Data'!IT1/1000</f>
        <v>1.6544446464000001E-3</v>
      </c>
      <c r="AF22" s="185" t="s">
        <v>1592</v>
      </c>
      <c r="AG22" s="185" t="s">
        <v>1592</v>
      </c>
      <c r="AH22" s="4">
        <f>'Annual Data'!JU1/1000</f>
        <v>4</v>
      </c>
      <c r="AI22" s="4">
        <f>'Annual Data'!LB1/1000</f>
        <v>8</v>
      </c>
      <c r="AJ22" s="4">
        <f>'Annual Data'!KH1/1000</f>
        <v>4</v>
      </c>
      <c r="AK22" s="5">
        <f>'Annual Data'!MB1/1000</f>
        <v>26</v>
      </c>
      <c r="AL22" s="2" t="s">
        <v>1592</v>
      </c>
      <c r="AM22" s="203">
        <f>'Annual Data'!NI1/1000</f>
        <v>1.043432E-2</v>
      </c>
    </row>
    <row r="23" spans="1:39" x14ac:dyDescent="0.25">
      <c r="A23" s="253"/>
      <c r="B23" s="185" t="s">
        <v>1616</v>
      </c>
      <c r="C23" s="185" t="s">
        <v>1592</v>
      </c>
      <c r="D23" s="185" t="s">
        <v>1592</v>
      </c>
      <c r="E23" s="185" t="s">
        <v>1592</v>
      </c>
      <c r="F23" s="185" t="s">
        <v>1592</v>
      </c>
      <c r="G23" s="185" t="s">
        <v>1592</v>
      </c>
      <c r="H23" s="6">
        <f>'Annual Data'!CZ1/1000</f>
        <v>1231.7008414860099</v>
      </c>
      <c r="I23" s="5">
        <f>'Annual Data'!BD1/1000</f>
        <v>0.80959744714388104</v>
      </c>
      <c r="J23" s="185" t="s">
        <v>1592</v>
      </c>
      <c r="K23" s="185" t="s">
        <v>1592</v>
      </c>
      <c r="L23" s="185" t="s">
        <v>1592</v>
      </c>
      <c r="M23" s="185" t="s">
        <v>1592</v>
      </c>
      <c r="N23" s="3">
        <f>'Annual Data'!CQ1/1000000</f>
        <v>0.1400274255314525</v>
      </c>
      <c r="O23" s="2" t="s">
        <v>1592</v>
      </c>
      <c r="P23" s="185" t="s">
        <v>1592</v>
      </c>
      <c r="Q23" s="185" t="s">
        <v>1592</v>
      </c>
      <c r="R23" s="5">
        <f>SUM('Annual Data'!FC1:FE1)/1000</f>
        <v>350.88199401600002</v>
      </c>
      <c r="S23" s="5">
        <f>'Annual Data'!GS1/1000000</f>
        <v>60.496714959999998</v>
      </c>
      <c r="T23" s="2" t="s">
        <v>1592</v>
      </c>
      <c r="U23" s="185" t="s">
        <v>1592</v>
      </c>
      <c r="V23" s="185" t="s">
        <v>1592</v>
      </c>
      <c r="W23" s="185" t="s">
        <v>1592</v>
      </c>
      <c r="X23" s="185" t="s">
        <v>1592</v>
      </c>
      <c r="Y23" s="185" t="s">
        <v>1592</v>
      </c>
      <c r="Z23" s="185" t="s">
        <v>1592</v>
      </c>
      <c r="AA23" s="185" t="s">
        <v>1592</v>
      </c>
      <c r="AB23" s="185" t="s">
        <v>1592</v>
      </c>
      <c r="AC23" s="185" t="s">
        <v>1592</v>
      </c>
      <c r="AD23" s="185" t="s">
        <v>1592</v>
      </c>
      <c r="AE23" s="185" t="s">
        <v>1592</v>
      </c>
      <c r="AF23" s="5">
        <f>SUM('Annual Data'!IW1:IY1)/1000</f>
        <v>33.03628619195382</v>
      </c>
      <c r="AG23" s="185" t="s">
        <v>1592</v>
      </c>
      <c r="AH23" s="185" t="s">
        <v>1592</v>
      </c>
      <c r="AI23" s="6">
        <f>'Annual Data'!LH1/1000</f>
        <v>15461.081089460218</v>
      </c>
      <c r="AJ23" s="185" t="s">
        <v>1592</v>
      </c>
      <c r="AK23" s="185" t="s">
        <v>1592</v>
      </c>
      <c r="AL23" s="185" t="s">
        <v>1592</v>
      </c>
      <c r="AM23" s="20" t="s">
        <v>1592</v>
      </c>
    </row>
    <row r="24" spans="1:39" x14ac:dyDescent="0.25">
      <c r="A24" s="253"/>
      <c r="B24" s="2" t="s">
        <v>1566</v>
      </c>
      <c r="C24" s="6">
        <f>'Annual Data'!I1/1000</f>
        <v>15304.240417469517</v>
      </c>
      <c r="D24" s="6">
        <f>'Annual Data'!T1/1000</f>
        <v>98664.374544159087</v>
      </c>
      <c r="E24" s="6">
        <f>'Annual Data'!BO1/1000</f>
        <v>32258.163866957551</v>
      </c>
      <c r="F24" s="6">
        <f>'Annual Data'!DK1/1000</f>
        <v>45097.836091746212</v>
      </c>
      <c r="G24" s="6">
        <f>'Annual Data'!DV1/1000</f>
        <v>65509.781185350519</v>
      </c>
      <c r="H24" s="6">
        <f>'Annual Data'!CY1/1000+H23</f>
        <v>7340.3364362250695</v>
      </c>
      <c r="I24" s="5">
        <f>'Annual Data'!BE1/1000</f>
        <v>141.60326061872294</v>
      </c>
      <c r="J24" s="187">
        <f>'Annual Data'!CG1/1000000</f>
        <v>14836.784511905948</v>
      </c>
      <c r="K24" s="5">
        <f>'Annual Data'!EF1/1000</f>
        <v>893.71494856014772</v>
      </c>
      <c r="L24" s="5">
        <f>((183.8+3*16)/183.8)*'Annual Data'!IJ1/1000</f>
        <v>104.07021370524684</v>
      </c>
      <c r="M24" s="5">
        <f>'Annual Data'!EM1/1000</f>
        <v>277.40852659751721</v>
      </c>
      <c r="N24" s="5">
        <f>'Annual Data'!CR1/1000000</f>
        <v>158.91110289719813</v>
      </c>
      <c r="O24" s="187">
        <f>'Annual Data'!AT1/1000000</f>
        <v>16041.894574677804</v>
      </c>
      <c r="P24" s="186">
        <f>'Annual Data'!AW1/1000000</f>
        <v>2938.4008451444001</v>
      </c>
      <c r="Q24" s="5">
        <f>SUM('Annual Data'!HO1:HT1)/1000</f>
        <v>31.617187239890779</v>
      </c>
      <c r="R24" s="5">
        <f>'Annual Data'!FF1/1000</f>
        <v>490.04857140457813</v>
      </c>
      <c r="S24" s="5">
        <f>'Annual Data'!GT1/1000000</f>
        <v>94.64072708800002</v>
      </c>
      <c r="T24" s="5">
        <f>'Annual Data'!BV1/1000000</f>
        <v>918.48192120800002</v>
      </c>
      <c r="U24" s="5">
        <f>'Annual Data'!HZ1/1000</f>
        <v>362.92138580395351</v>
      </c>
      <c r="V24" s="5">
        <f>'Annual Data'!EQ1</f>
        <v>85.367906000000005</v>
      </c>
      <c r="W24" s="186">
        <f>'Annual Data'!AC1/1000000</f>
        <v>2579.9507073468471</v>
      </c>
      <c r="X24" s="5">
        <f>'Annual Data'!AK1/1000000</f>
        <v>692.32848038289342</v>
      </c>
      <c r="Y24" s="5">
        <f>'Annual Data'!EV1/1000</f>
        <v>14.283616406522723</v>
      </c>
      <c r="Z24" s="186">
        <f>'Annual Data'!FM1/1000</f>
        <v>3193.1905780486609</v>
      </c>
      <c r="AA24" s="4">
        <f>'Annual Data'!FV1/1000</f>
        <v>6.8095119999999989</v>
      </c>
      <c r="AB24" s="5">
        <f>'Annual Data'!GB1/1000</f>
        <v>412.10676231182964</v>
      </c>
      <c r="AC24" s="4">
        <f>'Annual Data'!GK1/1000</f>
        <v>1.8150346396590176</v>
      </c>
      <c r="AD24" s="5">
        <f>'Annual Data'!IP1/1000</f>
        <v>12.8023580906136</v>
      </c>
      <c r="AE24" s="7">
        <f>'Annual Data'!IU1/1000</f>
        <v>1.6612624128000003E-3</v>
      </c>
      <c r="AF24" s="5">
        <f>'Annual Data'!IZ1/1000</f>
        <v>33.036286191953828</v>
      </c>
      <c r="AG24" s="186">
        <f>'Annual Data'!JD1/1000</f>
        <v>6734.5348789999998</v>
      </c>
      <c r="AH24" s="6">
        <f>'Annual Data'!JV1/1000</f>
        <v>54703.36887415556</v>
      </c>
      <c r="AI24" s="6">
        <f>'Annual Data'!LC1/1000</f>
        <v>15083.942582450634</v>
      </c>
      <c r="AJ24" s="16">
        <f>'Annual Data'!KI1/1000</f>
        <v>1377.0734026</v>
      </c>
      <c r="AK24" s="6">
        <f>'Annual Data'!MC1/1000</f>
        <v>26825.238247805479</v>
      </c>
      <c r="AL24" s="5">
        <f>'Annual Data'!MQ1/1000</f>
        <v>286.1272092532559</v>
      </c>
      <c r="AM24" s="203">
        <f>'Annual Data'!NJ1/1000</f>
        <v>1.7532278498681333</v>
      </c>
    </row>
    <row r="25" spans="1:39" x14ac:dyDescent="0.25">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row>
    <row r="26" spans="1:39" x14ac:dyDescent="0.25">
      <c r="B26" s="2" t="s">
        <v>1611</v>
      </c>
      <c r="C26" s="50">
        <f>100*C14/C24</f>
        <v>98.673299068007864</v>
      </c>
      <c r="D26" s="50">
        <f>100*D14/D24</f>
        <v>104.86982483071597</v>
      </c>
      <c r="E26" s="50">
        <f t="shared" ref="E26:M26" si="4">100*E14/E24</f>
        <v>100.16433081160507</v>
      </c>
      <c r="F26" s="50">
        <f t="shared" si="4"/>
        <v>102.1099925314321</v>
      </c>
      <c r="G26" s="50">
        <f t="shared" si="4"/>
        <v>100.20977229634786</v>
      </c>
      <c r="H26" s="50">
        <f>100*(H14+H23)/H24</f>
        <v>100.80546018458973</v>
      </c>
      <c r="I26" s="50">
        <f t="shared" si="4"/>
        <v>74.545732755432923</v>
      </c>
      <c r="J26" s="50">
        <f t="shared" si="4"/>
        <v>96.631285608532849</v>
      </c>
      <c r="K26" s="50">
        <f t="shared" si="4"/>
        <v>99.78241898160293</v>
      </c>
      <c r="L26" s="50">
        <f t="shared" si="4"/>
        <v>73.426577473350051</v>
      </c>
      <c r="M26" s="50">
        <f t="shared" si="4"/>
        <v>100.46285149706362</v>
      </c>
      <c r="N26" s="50">
        <f>100*(N14+N23)/N24</f>
        <v>99.333741239789518</v>
      </c>
      <c r="O26" s="50">
        <f t="shared" ref="O26:T26" si="5">100*O14/O24</f>
        <v>0</v>
      </c>
      <c r="P26" s="50">
        <f t="shared" si="5"/>
        <v>99.999999999999986</v>
      </c>
      <c r="Q26" s="50">
        <f t="shared" si="5"/>
        <v>97.560795277198906</v>
      </c>
      <c r="R26" s="50">
        <f t="shared" si="5"/>
        <v>86.835193017648422</v>
      </c>
      <c r="S26" s="50">
        <f t="shared" si="5"/>
        <v>98.09841411898006</v>
      </c>
      <c r="T26" s="50">
        <f t="shared" si="5"/>
        <v>103.11145739741184</v>
      </c>
      <c r="U26" s="50">
        <f t="shared" ref="U26:AM26" si="6">100*U14/U24</f>
        <v>52.534589503356578</v>
      </c>
      <c r="V26" s="50">
        <f t="shared" si="6"/>
        <v>0</v>
      </c>
      <c r="W26" s="50">
        <f t="shared" si="6"/>
        <v>100.26569699446117</v>
      </c>
      <c r="X26" s="50">
        <f t="shared" si="6"/>
        <v>94.095076861172032</v>
      </c>
      <c r="Y26" s="50">
        <f t="shared" si="6"/>
        <v>0</v>
      </c>
      <c r="Z26" s="50">
        <f t="shared" si="6"/>
        <v>97.559123824789353</v>
      </c>
      <c r="AA26" s="50">
        <f t="shared" si="6"/>
        <v>0</v>
      </c>
      <c r="AB26" s="50">
        <f t="shared" si="6"/>
        <v>52.441080074321015</v>
      </c>
      <c r="AC26" s="50">
        <f t="shared" si="6"/>
        <v>35.459708918883855</v>
      </c>
      <c r="AD26" s="50">
        <f t="shared" si="6"/>
        <v>0</v>
      </c>
      <c r="AE26" s="50">
        <f t="shared" si="6"/>
        <v>0</v>
      </c>
      <c r="AF26" s="50">
        <f t="shared" si="6"/>
        <v>9.3077888614154229</v>
      </c>
      <c r="AG26" s="50">
        <f t="shared" si="6"/>
        <v>0</v>
      </c>
      <c r="AH26" s="50">
        <f t="shared" si="6"/>
        <v>0</v>
      </c>
      <c r="AI26" s="50">
        <f t="shared" si="6"/>
        <v>0</v>
      </c>
      <c r="AJ26" s="50">
        <f t="shared" si="6"/>
        <v>0</v>
      </c>
      <c r="AK26" s="50">
        <f t="shared" si="6"/>
        <v>0</v>
      </c>
      <c r="AL26" s="50">
        <f t="shared" si="6"/>
        <v>0</v>
      </c>
      <c r="AM26" s="50">
        <f t="shared" si="6"/>
        <v>1236.9945452278596</v>
      </c>
    </row>
    <row r="28" spans="1:39" x14ac:dyDescent="0.25">
      <c r="B28" s="201" t="s">
        <v>1634</v>
      </c>
      <c r="C28" s="16">
        <f>'Annual Data'!I3/1000</f>
        <v>2831.2240764000003</v>
      </c>
      <c r="D28" s="16">
        <f>'Annual Data'!T3/1000</f>
        <v>5400.2039999999997</v>
      </c>
      <c r="E28" s="5">
        <f>'Annual Data'!BO3/1000</f>
        <v>521.24254399999995</v>
      </c>
      <c r="F28" s="16">
        <f>'Annual Data'!DK3/1000</f>
        <v>1130.0383093628054</v>
      </c>
      <c r="G28" s="5">
        <f>'Annual Data'!DV3/1000</f>
        <v>50.564287999999998</v>
      </c>
      <c r="H28" s="17">
        <f>'Annual Data'!CY3/1000+H25</f>
        <v>0</v>
      </c>
      <c r="I28" s="3">
        <f>'Annual Data'!BE3/1000</f>
        <v>3.5204399999999997E-2</v>
      </c>
      <c r="J28" s="3">
        <f>'Annual Data'!CG3/1000000</f>
        <v>8.2332220399999989E-2</v>
      </c>
      <c r="K28" s="5">
        <f>'Annual Data'!EF3/1000</f>
        <v>208.83734497658756</v>
      </c>
      <c r="L28" s="4">
        <f>((183.8+3*16)/183.8)*'Annual Data'!IJ3/1000</f>
        <v>0.61752491958590217</v>
      </c>
      <c r="M28" s="17">
        <f>'Annual Data'!EM3/1000</f>
        <v>0</v>
      </c>
      <c r="N28" s="3">
        <f>'Annual Data'!CR3/1000000</f>
        <v>1.6156432000000002E-2</v>
      </c>
      <c r="O28" s="5">
        <f>'Annual Data'!AT3/1000000</f>
        <v>101.97448967999999</v>
      </c>
      <c r="P28" s="203">
        <f>'Annual Data'!AW3/1000000</f>
        <v>5.47897304E-2</v>
      </c>
      <c r="Q28" s="4">
        <f>SUM('Annual Data'!HO3:HT3)/1000</f>
        <v>0.21381343300000002</v>
      </c>
      <c r="R28" s="5">
        <f>'Annual Data'!FF3/1000</f>
        <v>18.680756571428571</v>
      </c>
      <c r="S28" s="4">
        <f>'Annual Data'!GT3/1000000</f>
        <v>0.14692782400000001</v>
      </c>
      <c r="T28" s="3">
        <f>'Annual Data'!BV3/1000000</f>
        <v>8.9858750000000001E-2</v>
      </c>
      <c r="U28" s="17">
        <f>'Annual Data'!HZ3/1000</f>
        <v>0</v>
      </c>
      <c r="V28" s="17">
        <f>'Annual Data'!EQ3</f>
        <v>0</v>
      </c>
      <c r="W28" s="17">
        <f>'Annual Data'!AC3/1000000</f>
        <v>0</v>
      </c>
      <c r="X28" s="17">
        <f>'Annual Data'!AK3/1000000</f>
        <v>0</v>
      </c>
      <c r="Y28" s="17">
        <f>'Annual Data'!EV3/1000</f>
        <v>0</v>
      </c>
      <c r="Z28" s="188">
        <f>'Annual Data'!FM3/1000</f>
        <v>25.708863999999998</v>
      </c>
      <c r="AA28" s="4">
        <f>'Annual Data'!FV3/1000</f>
        <v>0.63703199999999993</v>
      </c>
      <c r="AB28" s="17">
        <f>'Annual Data'!GB3/1000</f>
        <v>0</v>
      </c>
      <c r="AC28" s="7">
        <f>'Annual Data'!GK3/1000</f>
        <v>5.5907673892671966E-3</v>
      </c>
      <c r="AD28" s="17">
        <f>'Annual Data'!IP3/1000</f>
        <v>0</v>
      </c>
      <c r="AE28" s="17">
        <f>'Annual Data'!IU3/1000</f>
        <v>0</v>
      </c>
      <c r="AF28" s="17">
        <f>'Annual Data'!IZ3/1000</f>
        <v>0</v>
      </c>
      <c r="AG28" s="17">
        <f>'Annual Data'!JD3/1000</f>
        <v>0</v>
      </c>
      <c r="AH28" s="17">
        <f>'Annual Data'!JV3/1000</f>
        <v>0</v>
      </c>
      <c r="AI28" s="17">
        <f>'Annual Data'!LC3/1000</f>
        <v>0</v>
      </c>
      <c r="AJ28" s="17">
        <f>'Annual Data'!KI3/1000</f>
        <v>0</v>
      </c>
      <c r="AK28" s="17">
        <f>'Annual Data'!MC3/1000</f>
        <v>0</v>
      </c>
      <c r="AL28" s="17">
        <f>'Annual Data'!MQ3/1000</f>
        <v>0</v>
      </c>
      <c r="AM28" s="4">
        <f>'Annual Data'!NJ3/1000</f>
        <v>0.355138228</v>
      </c>
    </row>
    <row r="29" spans="1:39" x14ac:dyDescent="0.25">
      <c r="B29" s="197" t="s">
        <v>1635</v>
      </c>
      <c r="C29" s="16">
        <f>'Annual Data'!I4/1000</f>
        <v>2401.1735894000003</v>
      </c>
      <c r="D29" s="6">
        <f>'Annual Data'!T4/1000</f>
        <v>16849.311122969997</v>
      </c>
      <c r="E29" s="16">
        <f>'Annual Data'!BO4/1000</f>
        <v>1242.7498639999999</v>
      </c>
      <c r="F29" s="16">
        <f>'Annual Data'!DK4/1000</f>
        <v>9747.6898081119998</v>
      </c>
      <c r="G29" s="16">
        <f>'Annual Data'!DV4/1000</f>
        <v>7375.3929200000002</v>
      </c>
      <c r="H29" s="5">
        <f>'Annual Data'!CY4/1000+H26</f>
        <v>101.45813858458973</v>
      </c>
      <c r="I29" s="4">
        <f>'Annual Data'!BE4/1000</f>
        <v>1.0722794131688231</v>
      </c>
      <c r="J29" s="5">
        <f>'Annual Data'!CG4/1000000</f>
        <v>49.4526157504</v>
      </c>
      <c r="K29" s="5">
        <f>'Annual Data'!EF4/1000</f>
        <v>217.13208311240555</v>
      </c>
      <c r="L29" s="5">
        <f>((183.8+3*16)/183.8)*'Annual Data'!IJ4/1000</f>
        <v>23.487383034220457</v>
      </c>
      <c r="M29" s="3">
        <f>'Annual Data'!EM4/1000</f>
        <v>2.7915999999999996E-2</v>
      </c>
      <c r="N29" s="4">
        <f>'Annual Data'!CR4/1000000</f>
        <v>0.14917928</v>
      </c>
      <c r="O29" s="5">
        <f>'Annual Data'!AT4/1000000</f>
        <v>577.93129016000012</v>
      </c>
      <c r="P29" s="188">
        <f>'Annual Data'!AW4/1000000</f>
        <v>99.397543901999981</v>
      </c>
      <c r="Q29" s="4">
        <f>SUM('Annual Data'!HO4:HT4)/1000</f>
        <v>1.2154692359368002</v>
      </c>
      <c r="R29" s="5">
        <f>'Annual Data'!FF4/1000</f>
        <v>66.555289364571451</v>
      </c>
      <c r="S29" s="4">
        <f>'Annual Data'!GT4/1000000</f>
        <v>6.0671261760000004</v>
      </c>
      <c r="T29" s="4">
        <f>'Annual Data'!BV4/1000000</f>
        <v>0.1076125</v>
      </c>
      <c r="U29" s="4">
        <f>'Annual Data'!HZ4/1000</f>
        <v>0.1983712639535517</v>
      </c>
      <c r="V29" s="17">
        <f>'Annual Data'!EQ4</f>
        <v>0</v>
      </c>
      <c r="W29" s="3">
        <f>'Annual Data'!AC4/1000000</f>
        <v>7.0783782153846175E-2</v>
      </c>
      <c r="X29" s="17">
        <f>'Annual Data'!AK4/1000000</f>
        <v>0</v>
      </c>
      <c r="Y29" s="17">
        <f>'Annual Data'!EV4/1000</f>
        <v>0</v>
      </c>
      <c r="Z29" s="188">
        <f>'Annual Data'!FM4/1000</f>
        <v>29.990287999999993</v>
      </c>
      <c r="AA29" s="4">
        <f>'Annual Data'!FV4/1000</f>
        <v>5.0058319999999998</v>
      </c>
      <c r="AB29" s="7">
        <f>'Annual Data'!GB4/1000</f>
        <v>2.6669421954484602E-3</v>
      </c>
      <c r="AC29" s="4">
        <f>'Annual Data'!GK4/1000</f>
        <v>1.4535374015718128</v>
      </c>
      <c r="AD29" s="4">
        <f>'Annual Data'!IP4/1000</f>
        <v>0.29167733698959997</v>
      </c>
      <c r="AE29" s="7">
        <f>'Annual Data'!IU4/1000</f>
        <v>1.5703588608000003E-3</v>
      </c>
      <c r="AF29" s="4">
        <f>'Annual Data'!IZ4/1000</f>
        <v>5.8007369888000015</v>
      </c>
      <c r="AG29" s="7">
        <f>'Annual Data'!JD4/1000</f>
        <v>9.1439999999999994E-3</v>
      </c>
      <c r="AH29" s="188">
        <f>'Annual Data'!JV4/1000</f>
        <v>18.296734083990277</v>
      </c>
      <c r="AI29" s="188">
        <f>'Annual Data'!LC4/1000</f>
        <v>129.39696671629278</v>
      </c>
      <c r="AJ29" s="17">
        <f>'Annual Data'!KI4/1000</f>
        <v>0</v>
      </c>
      <c r="AK29" s="5">
        <f>'Annual Data'!MC4/1000</f>
        <v>185.51468027971694</v>
      </c>
      <c r="AL29" s="4">
        <f>'Annual Data'!MQ4/1000</f>
        <v>0.33061877325591943</v>
      </c>
      <c r="AM29" s="4">
        <f>'Annual Data'!NJ4/1000</f>
        <v>1.2966547903027166</v>
      </c>
    </row>
    <row r="30" spans="1:39" x14ac:dyDescent="0.25">
      <c r="B30" s="198" t="s">
        <v>1633</v>
      </c>
      <c r="C30" s="16">
        <f>'Annual Data'!I5/1000</f>
        <v>4393.0392553892234</v>
      </c>
      <c r="D30" s="6">
        <f>'Annual Data'!T5/1000</f>
        <v>40427.055734599991</v>
      </c>
      <c r="E30" s="6">
        <f>'Annual Data'!BO5/1000</f>
        <v>11558.515041060002</v>
      </c>
      <c r="F30" s="6">
        <f>'Annual Data'!DK5/1000</f>
        <v>21302.090102700004</v>
      </c>
      <c r="G30" s="6">
        <f>'Annual Data'!DV5/1000</f>
        <v>29687.517426599999</v>
      </c>
      <c r="H30" s="16">
        <f>'Annual Data'!CY5/1000+H27</f>
        <v>2311.7116233816505</v>
      </c>
      <c r="I30" s="5">
        <f>'Annual Data'!BE5/1000</f>
        <v>34.164370305554144</v>
      </c>
      <c r="J30" s="186">
        <f>'Annual Data'!CG5/1000000</f>
        <v>3417.4681351530753</v>
      </c>
      <c r="K30" s="5">
        <f>'Annual Data'!EF5/1000</f>
        <v>348.73199492477767</v>
      </c>
      <c r="L30" s="5">
        <f>((183.8+3*16)/183.8)*'Annual Data'!IJ5/1000</f>
        <v>77.867503781604881</v>
      </c>
      <c r="M30" s="5">
        <f>'Annual Data'!EM5/1000</f>
        <v>107.46424126441615</v>
      </c>
      <c r="N30" s="5">
        <f>'Annual Data'!CR5/1000000</f>
        <v>55.611656153531456</v>
      </c>
      <c r="O30" s="186">
        <f>'Annual Data'!AT5/1000000</f>
        <v>5290.2799560944668</v>
      </c>
      <c r="P30" s="186">
        <f>'Annual Data'!AW5/1000000</f>
        <v>1565.461615512</v>
      </c>
      <c r="Q30" s="188">
        <f>SUM('Annual Data'!HO5:HT5)/1000</f>
        <v>14.94163624827439</v>
      </c>
      <c r="R30" s="5">
        <f>'Annual Data'!FF5/1000</f>
        <v>345.59537072107719</v>
      </c>
      <c r="S30" s="5">
        <f>'Annual Data'!GT5/1000000</f>
        <v>45.152764887999993</v>
      </c>
      <c r="T30" s="5">
        <f>'Annual Data'!BV5/1000000</f>
        <v>571.38477545000001</v>
      </c>
      <c r="U30" s="5">
        <f>'Annual Data'!HZ5/1000</f>
        <v>154.78595428799997</v>
      </c>
      <c r="V30" s="5">
        <f>'Annual Data'!EQ5</f>
        <v>85.367906000000005</v>
      </c>
      <c r="W30" s="186">
        <f>'Annual Data'!AC5/1000000</f>
        <v>1008.3289340367927</v>
      </c>
      <c r="X30" s="5">
        <f>'Annual Data'!AK5/1000000</f>
        <v>281.75177376599339</v>
      </c>
      <c r="Y30" s="4">
        <f>'Annual Data'!EV5/1000</f>
        <v>2.8620000000000001</v>
      </c>
      <c r="Z30" s="188">
        <f>'Annual Data'!FM5/1000</f>
        <v>265.64067604866085</v>
      </c>
      <c r="AA30" s="4">
        <f>'Annual Data'!FV5/1000</f>
        <v>1.1466479999999999</v>
      </c>
      <c r="AB30" s="5">
        <f>'Annual Data'!GB5/1000</f>
        <v>43.684095369634228</v>
      </c>
      <c r="AC30" s="4">
        <f>'Annual Data'!GK5/1000</f>
        <v>0.3391921497133682</v>
      </c>
      <c r="AD30" s="4">
        <f>'Annual Data'!IP5/1000</f>
        <v>6.9370958216240011</v>
      </c>
      <c r="AE30" s="23">
        <f>'Annual Data'!IU5/1000</f>
        <v>9.0903551999999997E-5</v>
      </c>
      <c r="AF30" s="5">
        <f>'Annual Data'!IZ5/1000</f>
        <v>25.229549203153823</v>
      </c>
      <c r="AG30" s="188">
        <f>'Annual Data'!JD5/1000</f>
        <v>875.48172499999998</v>
      </c>
      <c r="AH30" s="6">
        <f>'Annual Data'!JV5/1000</f>
        <v>38330.660092799997</v>
      </c>
      <c r="AI30" s="6">
        <f>'Annual Data'!LC5/1000</f>
        <v>10093.689499542692</v>
      </c>
      <c r="AJ30" s="5">
        <f>'Annual Data'!KI5/1000</f>
        <v>580.40555560000007</v>
      </c>
      <c r="AK30" s="6">
        <f>'Annual Data'!MC5/1000</f>
        <v>15782.630992349092</v>
      </c>
      <c r="AL30" s="5">
        <f>'Annual Data'!MQ5/1000</f>
        <v>258.81359048000002</v>
      </c>
      <c r="AM30" s="5">
        <f>'Annual Data'!NJ5/1000</f>
        <v>0.10143483156541651</v>
      </c>
    </row>
    <row r="31" spans="1:39" x14ac:dyDescent="0.25">
      <c r="B31" s="62" t="s">
        <v>1636</v>
      </c>
      <c r="C31" s="16">
        <f>'Annual Data'!I6/1000</f>
        <v>5678.8034962802949</v>
      </c>
      <c r="D31" s="6">
        <f>'Annual Data'!T6/1000</f>
        <v>35987.803686589054</v>
      </c>
      <c r="E31" s="6">
        <f>'Annual Data'!BO6/1000</f>
        <v>18935.656417897553</v>
      </c>
      <c r="F31" s="6">
        <f>'Annual Data'!DK6/1000</f>
        <v>12918.017871571405</v>
      </c>
      <c r="G31" s="6">
        <f>'Annual Data'!DV6/1000</f>
        <v>28396.306550750531</v>
      </c>
      <c r="H31" s="16">
        <f>'Annual Data'!CY6/1000+H28</f>
        <v>3796.2712929574091</v>
      </c>
      <c r="I31" s="5">
        <f>'Annual Data'!BE6/1000</f>
        <v>106.33140649999999</v>
      </c>
      <c r="J31" s="187">
        <f>'Annual Data'!CG6/1000000</f>
        <v>11369.781428782073</v>
      </c>
      <c r="K31" s="5">
        <f>'Annual Data'!EF6/1000</f>
        <v>119.01352554637654</v>
      </c>
      <c r="L31" s="4">
        <f>((183.8+3*16)/183.8)*'Annual Data'!IJ6/1000</f>
        <v>2.0978019698355705</v>
      </c>
      <c r="M31" s="5">
        <f>'Annual Data'!EM6/1000</f>
        <v>169.9163693331009</v>
      </c>
      <c r="N31" s="5">
        <f>'Annual Data'!CR6/1000000</f>
        <v>103.13411103166666</v>
      </c>
      <c r="O31" s="187">
        <f>'Annual Data'!AT6/1000000</f>
        <v>10071.708838743343</v>
      </c>
      <c r="P31" s="186">
        <f>'Annual Data'!AW6/1000000</f>
        <v>1273.4868959999999</v>
      </c>
      <c r="Q31" s="188">
        <f>SUM('Annual Data'!HO6:HT6)/1000</f>
        <v>15.246268322679587</v>
      </c>
      <c r="R31" s="5">
        <f>'Annual Data'!FF6/1000</f>
        <v>59.217154747500857</v>
      </c>
      <c r="S31" s="5">
        <f>'Annual Data'!GT6/1000000</f>
        <v>43.273908200000001</v>
      </c>
      <c r="T31" s="5">
        <f>'Annual Data'!BV6/1000000</f>
        <v>346.89967450800003</v>
      </c>
      <c r="U31" s="5">
        <f>'Annual Data'!HZ6/1000</f>
        <v>207.93706025200001</v>
      </c>
      <c r="V31" s="17">
        <f>'Annual Data'!EQ6</f>
        <v>0</v>
      </c>
      <c r="W31" s="186">
        <f>'Annual Data'!AC6/1000000</f>
        <v>1571.5509895278999</v>
      </c>
      <c r="X31" s="5">
        <f>'Annual Data'!AK6/1000000</f>
        <v>410.57670661689991</v>
      </c>
      <c r="Y31" s="5">
        <f>'Annual Data'!EV6/1000</f>
        <v>11.421616406522723</v>
      </c>
      <c r="Z31" s="186">
        <f>'Annual Data'!FM6/1000</f>
        <v>2871.8507500000001</v>
      </c>
      <c r="AA31" s="3">
        <f>'Annual Data'!FV6/1000</f>
        <v>0.02</v>
      </c>
      <c r="AB31" s="5">
        <f>'Annual Data'!GB6/1000</f>
        <v>368.42</v>
      </c>
      <c r="AC31" s="3">
        <f>'Annual Data'!GK6/1000</f>
        <v>1.671432098456925E-2</v>
      </c>
      <c r="AD31" s="4">
        <f>'Annual Data'!IP6/1000</f>
        <v>5.573584932000001</v>
      </c>
      <c r="AE31" s="17">
        <f>'Annual Data'!IU6/1000</f>
        <v>0</v>
      </c>
      <c r="AF31" s="4">
        <f>'Annual Data'!IZ6/1000</f>
        <v>2.0059999999999998</v>
      </c>
      <c r="AG31" s="186">
        <f>'Annual Data'!JD6/1000</f>
        <v>5859.0440099999996</v>
      </c>
      <c r="AH31" s="6">
        <f>'Annual Data'!JV6/1000</f>
        <v>16354.41204727158</v>
      </c>
      <c r="AI31" s="16">
        <f>'Annual Data'!LC6/1000</f>
        <v>4860.8561161916477</v>
      </c>
      <c r="AJ31" s="5">
        <f>'Annual Data'!KI6/1000</f>
        <v>796.66784699999982</v>
      </c>
      <c r="AK31" s="6">
        <f>'Annual Data'!MC6/1000</f>
        <v>10857.092575176672</v>
      </c>
      <c r="AL31" s="5">
        <f>'Annual Data'!MQ6/1000</f>
        <v>26.983000000000001</v>
      </c>
      <c r="AM31" s="5">
        <f>'Annual Data'!NJ6/1000</f>
        <v>0</v>
      </c>
    </row>
  </sheetData>
  <mergeCells count="39">
    <mergeCell ref="AL1:AL3"/>
    <mergeCell ref="AI1:AI3"/>
    <mergeCell ref="AM1:AM3"/>
    <mergeCell ref="AE1:AE3"/>
    <mergeCell ref="AF1:AF3"/>
    <mergeCell ref="AG1:AG3"/>
    <mergeCell ref="AH1:AH3"/>
    <mergeCell ref="AJ1:AJ3"/>
    <mergeCell ref="AK1:AK3"/>
    <mergeCell ref="Z1:Z3"/>
    <mergeCell ref="AA1:AA3"/>
    <mergeCell ref="AB1:AB3"/>
    <mergeCell ref="AC1:AC3"/>
    <mergeCell ref="AD1:AD3"/>
    <mergeCell ref="V1:V3"/>
    <mergeCell ref="O1:O3"/>
    <mergeCell ref="W1:W3"/>
    <mergeCell ref="X1:X3"/>
    <mergeCell ref="Y1:Y3"/>
    <mergeCell ref="P1:P3"/>
    <mergeCell ref="Q1:Q3"/>
    <mergeCell ref="R1:R3"/>
    <mergeCell ref="S1:S3"/>
    <mergeCell ref="U1:U3"/>
    <mergeCell ref="T1:T3"/>
    <mergeCell ref="A5:A14"/>
    <mergeCell ref="A16:A24"/>
    <mergeCell ref="N1:N3"/>
    <mergeCell ref="C1:C3"/>
    <mergeCell ref="D1:D3"/>
    <mergeCell ref="E1:E3"/>
    <mergeCell ref="F1:F3"/>
    <mergeCell ref="G1:G3"/>
    <mergeCell ref="H1:H3"/>
    <mergeCell ref="I1:I3"/>
    <mergeCell ref="J1:J3"/>
    <mergeCell ref="K1:K3"/>
    <mergeCell ref="L1:L3"/>
    <mergeCell ref="M1:M3"/>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28B0C-7962-4686-B7C0-2D6A5A82534B}">
  <sheetPr>
    <pageSetUpPr autoPageBreaks="0"/>
  </sheetPr>
  <dimension ref="A1:CV756"/>
  <sheetViews>
    <sheetView workbookViewId="0">
      <pane xSplit="3" ySplit="4" topLeftCell="D5" activePane="bottomRight" state="frozen"/>
      <selection pane="topRight" activeCell="C1" sqref="C1"/>
      <selection pane="bottomLeft" activeCell="A5" sqref="A5"/>
      <selection pane="bottomRight" activeCell="D5" sqref="D5"/>
    </sheetView>
  </sheetViews>
  <sheetFormatPr defaultColWidth="8.77734375" defaultRowHeight="13.2" x14ac:dyDescent="0.25"/>
  <cols>
    <col min="1" max="1" width="40.77734375" style="2" customWidth="1"/>
    <col min="2" max="2" width="8.77734375" style="212"/>
    <col min="3" max="3" width="14.77734375" style="2" customWidth="1"/>
    <col min="4" max="4" width="9.77734375" style="2" customWidth="1"/>
    <col min="5" max="14" width="7.77734375" style="2" customWidth="1"/>
    <col min="15" max="15" width="7.77734375" style="207" customWidth="1"/>
    <col min="16" max="16" width="10.77734375" style="2" customWidth="1"/>
    <col min="17" max="17" width="12.77734375" style="2" customWidth="1"/>
    <col min="18" max="18" width="8.77734375" style="2"/>
    <col min="19" max="25" width="7.77734375" style="2" customWidth="1"/>
    <col min="26" max="26" width="8.77734375" style="2"/>
    <col min="27" max="31" width="7.77734375" style="2" customWidth="1"/>
    <col min="32" max="32" width="8.77734375" style="2"/>
    <col min="33" max="37" width="7.77734375" style="2" customWidth="1"/>
    <col min="38" max="38" width="8.77734375" style="2"/>
    <col min="39" max="43" width="7.77734375" style="2" customWidth="1"/>
    <col min="44" max="44" width="8.77734375" style="2"/>
    <col min="45" max="50" width="7.77734375" style="2" customWidth="1"/>
    <col min="51" max="51" width="8.77734375" style="2"/>
    <col min="52" max="52" width="7.77734375" style="2" customWidth="1"/>
    <col min="53" max="53" width="8.77734375" style="2"/>
    <col min="54" max="54" width="7.77734375" style="2" customWidth="1"/>
    <col min="55" max="55" width="8.77734375" style="2"/>
    <col min="56" max="56" width="7.77734375" style="2" customWidth="1"/>
    <col min="57" max="57" width="8.77734375" style="2"/>
    <col min="58" max="58" width="7.77734375" style="2" customWidth="1"/>
    <col min="59" max="59" width="8.77734375" style="2"/>
    <col min="60" max="60" width="7.77734375" style="2" customWidth="1"/>
    <col min="61" max="61" width="8.77734375" style="205"/>
    <col min="62" max="62" width="7.77734375" style="205" customWidth="1"/>
    <col min="63" max="63" width="8.77734375" style="2"/>
    <col min="64" max="68" width="7.77734375" style="2" customWidth="1"/>
    <col min="69" max="69" width="10.77734375" style="2" customWidth="1"/>
    <col min="70" max="70" width="14.77734375" style="2" customWidth="1"/>
    <col min="71" max="78" width="10.77734375" style="2" customWidth="1"/>
    <col min="79" max="80" width="8.77734375" style="2"/>
    <col min="81" max="81" width="10.77734375" style="2" customWidth="1"/>
    <col min="82" max="82" width="12.77734375" style="2" customWidth="1"/>
    <col min="83" max="83" width="14.77734375" style="2" customWidth="1"/>
    <col min="84" max="85" width="9.77734375" style="2" customWidth="1"/>
    <col min="86" max="87" width="12.77734375" style="2" customWidth="1"/>
    <col min="88" max="88" width="10.77734375" style="2" customWidth="1"/>
    <col min="89" max="89" width="8.77734375" style="207"/>
    <col min="90" max="90" width="10.77734375" style="2" customWidth="1"/>
    <col min="91" max="91" width="14.77734375" style="2" customWidth="1"/>
    <col min="92" max="94" width="8.77734375" style="2"/>
    <col min="95" max="95" width="10.77734375" style="2" customWidth="1"/>
    <col min="96" max="97" width="10.77734375" style="233" customWidth="1"/>
    <col min="98" max="98" width="1.77734375" style="2" customWidth="1"/>
    <col min="99" max="99" width="8.77734375" style="2"/>
    <col min="100" max="100" width="18.77734375" style="2" customWidth="1"/>
    <col min="101" max="101" width="1.77734375" style="2" customWidth="1"/>
    <col min="102" max="16384" width="8.77734375" style="2"/>
  </cols>
  <sheetData>
    <row r="1" spans="1:100" ht="15.6" x14ac:dyDescent="0.25">
      <c r="A1" s="8" t="s">
        <v>1786</v>
      </c>
      <c r="BN1" s="35"/>
      <c r="BO1" s="35"/>
      <c r="BP1" s="35"/>
      <c r="BQ1" s="35"/>
      <c r="BR1" s="36" t="s">
        <v>710</v>
      </c>
      <c r="BS1" s="39">
        <v>15303.659895073</v>
      </c>
      <c r="BT1" s="39">
        <v>98664.374544159102</v>
      </c>
      <c r="BU1" s="39">
        <v>32258.163866957599</v>
      </c>
      <c r="BV1" s="39">
        <v>45097.836091746198</v>
      </c>
      <c r="BW1" s="39">
        <v>65224.324321350497</v>
      </c>
      <c r="BX1" s="39">
        <v>6108.6355947390603</v>
      </c>
      <c r="BY1" s="40">
        <v>141.603260618723</v>
      </c>
      <c r="BZ1" s="39">
        <v>14835.816635906</v>
      </c>
      <c r="CA1" s="40">
        <v>893.71494856014795</v>
      </c>
      <c r="CB1" s="40">
        <v>126.90832673659371</v>
      </c>
      <c r="CC1" s="40">
        <v>277.45531752071298</v>
      </c>
      <c r="CD1" s="40">
        <v>158.771541071667</v>
      </c>
      <c r="CE1" s="106">
        <v>2938.4008451444001</v>
      </c>
      <c r="CF1" s="40">
        <v>31.6171872398908</v>
      </c>
      <c r="CG1" s="40">
        <v>490.03557140457798</v>
      </c>
      <c r="CI1" s="40">
        <v>918.48192120800002</v>
      </c>
      <c r="CJ1" s="40">
        <v>362.92138580395402</v>
      </c>
      <c r="CK1" s="40">
        <v>412.10676231182998</v>
      </c>
      <c r="CR1" s="233" t="s">
        <v>2195</v>
      </c>
    </row>
    <row r="2" spans="1:100" x14ac:dyDescent="0.25">
      <c r="D2" s="211" t="s">
        <v>1682</v>
      </c>
      <c r="I2" s="225"/>
      <c r="AY2" s="270" t="s">
        <v>1017</v>
      </c>
      <c r="AZ2" s="270"/>
      <c r="BA2" s="267" t="s">
        <v>1018</v>
      </c>
      <c r="BB2" s="267"/>
      <c r="BC2" s="269" t="s">
        <v>978</v>
      </c>
      <c r="BD2" s="269"/>
      <c r="BE2" s="268" t="s">
        <v>1002</v>
      </c>
      <c r="BF2" s="268"/>
      <c r="BG2" s="264" t="s">
        <v>980</v>
      </c>
      <c r="BH2" s="264"/>
      <c r="BI2" s="263" t="s">
        <v>2196</v>
      </c>
      <c r="BJ2" s="263"/>
      <c r="BS2" s="105">
        <f>SUM(BS5:BS594,BS599:BS633,BS636:BS642,BS646:BS655,BS658:BS690,BS693:BS707,BS710:BS717,BS720:BS732,BS735:BS747,BS750:BS756)+CN2+CO2+CP2</f>
        <v>15101.198917216625</v>
      </c>
      <c r="BT2" s="41">
        <f t="shared" ref="BT2:CK2" si="0">SUM(BT5:BT594,BT599:BT633,BT636:BT642,BT646:BT655,BT658:BT690,BT693:BT707,BT710:BT717,BT720:BT732,BT735:BT747,BT750:BT756)</f>
        <v>103467.3543147811</v>
      </c>
      <c r="BU2" s="41">
        <f t="shared" si="0"/>
        <v>32309.371529449032</v>
      </c>
      <c r="BV2" s="41">
        <f t="shared" si="0"/>
        <v>46049.39706511957</v>
      </c>
      <c r="BW2" s="41">
        <f t="shared" si="0"/>
        <v>65647.202557675511</v>
      </c>
      <c r="BX2" s="41">
        <f t="shared" si="0"/>
        <v>6167.7590821477852</v>
      </c>
      <c r="BY2" s="42">
        <f t="shared" si="0"/>
        <v>105.55918823381242</v>
      </c>
      <c r="BZ2" s="41">
        <f t="shared" si="0"/>
        <v>14336.975616822405</v>
      </c>
      <c r="CA2" s="42">
        <f t="shared" si="0"/>
        <v>891.77039447350376</v>
      </c>
      <c r="CB2" s="42">
        <f t="shared" si="0"/>
        <v>76.415196092964024</v>
      </c>
      <c r="CC2" s="42">
        <f t="shared" si="0"/>
        <v>278.69251611585588</v>
      </c>
      <c r="CD2" s="42">
        <f t="shared" si="0"/>
        <v>157.712316327667</v>
      </c>
      <c r="CE2" s="105">
        <f t="shared" si="0"/>
        <v>2938.4008451443997</v>
      </c>
      <c r="CF2" s="42">
        <f t="shared" si="0"/>
        <v>30.845979315518498</v>
      </c>
      <c r="CG2" s="42">
        <f t="shared" si="0"/>
        <v>74.652628843394055</v>
      </c>
      <c r="CH2" s="105">
        <f t="shared" si="0"/>
        <v>45.959076424000003</v>
      </c>
      <c r="CI2" s="105">
        <f t="shared" si="0"/>
        <v>918.50743791800005</v>
      </c>
      <c r="CJ2" s="105">
        <f t="shared" si="0"/>
        <v>190.659260252</v>
      </c>
      <c r="CK2" s="105">
        <f t="shared" si="0"/>
        <v>216.11323721563835</v>
      </c>
      <c r="CN2" s="42">
        <f>SUM(CN5:CN594,CN599:CN633,CN636:CN642,CN646:CN655,CN658:CN690,CN693:CN707,CN710:CN717,CN720:CN732,CN735:CN747,CN750:CN756)</f>
        <v>94.154135665455982</v>
      </c>
      <c r="CO2" s="42">
        <f>SUM(CO5:CO594,CO599:CO633,CO636:CO642,CO646:CO655,CO658:CO690,CO693:CO707,CO710:CO717,CO720:CO732,CO735:CO747,CO750:CO756)</f>
        <v>11.492342687458331</v>
      </c>
      <c r="CP2" s="41">
        <f>SUM(CP5:CP594,CP599:CP633,CP636:CP642,CP646:CP655,CP658:CP690,CP693:CP707,CP710:CP717,CP720:CP732,CP735:CP747,CP750:CP756)</f>
        <v>1524.4275687733525</v>
      </c>
      <c r="CQ2" s="6">
        <f>SUM(CQ5:CQ594,CQ599:CQ633,CQ636:CQ642,CQ646:CQ654,CQ658:CQ690,CQ693:CQ707,CQ710:CQ716,CQ720:CQ732,CQ735:CQ747,CQ750:CQ755)</f>
        <v>20861.313136950313</v>
      </c>
      <c r="CR2" s="233" t="s">
        <v>2194</v>
      </c>
      <c r="CS2" s="233" t="s">
        <v>2191</v>
      </c>
    </row>
    <row r="3" spans="1:100" x14ac:dyDescent="0.25">
      <c r="A3" s="220" t="s">
        <v>1670</v>
      </c>
      <c r="B3" s="43" t="s">
        <v>1684</v>
      </c>
      <c r="C3" s="11" t="s">
        <v>9</v>
      </c>
      <c r="D3" s="211" t="s">
        <v>1683</v>
      </c>
      <c r="E3" s="265" t="s">
        <v>1681</v>
      </c>
      <c r="F3" s="265"/>
      <c r="G3" s="265"/>
      <c r="H3" s="265"/>
      <c r="I3" s="265"/>
      <c r="J3" s="265"/>
      <c r="K3" s="265"/>
      <c r="L3" s="265"/>
      <c r="M3" s="265"/>
      <c r="N3" s="265"/>
      <c r="O3" s="265"/>
      <c r="P3" s="265"/>
      <c r="Q3" s="265"/>
      <c r="R3" s="258" t="s">
        <v>283</v>
      </c>
      <c r="S3" s="258"/>
      <c r="T3" s="258"/>
      <c r="U3" s="258"/>
      <c r="V3" s="258"/>
      <c r="W3" s="258"/>
      <c r="X3" s="258"/>
      <c r="Y3" s="258"/>
      <c r="Z3" s="259" t="s">
        <v>21</v>
      </c>
      <c r="AA3" s="259"/>
      <c r="AB3" s="259"/>
      <c r="AC3" s="259"/>
      <c r="AD3" s="259"/>
      <c r="AE3" s="259"/>
      <c r="AF3" s="260" t="s">
        <v>22</v>
      </c>
      <c r="AG3" s="260"/>
      <c r="AH3" s="260"/>
      <c r="AI3" s="260"/>
      <c r="AJ3" s="260"/>
      <c r="AK3" s="260"/>
      <c r="AL3" s="261" t="s">
        <v>23</v>
      </c>
      <c r="AM3" s="261"/>
      <c r="AN3" s="261"/>
      <c r="AO3" s="261"/>
      <c r="AP3" s="261"/>
      <c r="AQ3" s="261"/>
      <c r="AR3" s="262" t="s">
        <v>24</v>
      </c>
      <c r="AS3" s="262"/>
      <c r="AT3" s="262"/>
      <c r="AU3" s="262"/>
      <c r="AV3" s="262"/>
      <c r="AW3" s="262"/>
      <c r="AX3" s="262"/>
      <c r="AY3" s="270"/>
      <c r="AZ3" s="270"/>
      <c r="BA3" s="267"/>
      <c r="BB3" s="267"/>
      <c r="BC3" s="269"/>
      <c r="BD3" s="269"/>
      <c r="BE3" s="268"/>
      <c r="BF3" s="268"/>
      <c r="BG3" s="264"/>
      <c r="BH3" s="264"/>
      <c r="BI3" s="263"/>
      <c r="BJ3" s="263"/>
      <c r="BK3" s="256" t="s">
        <v>314</v>
      </c>
      <c r="BL3" s="256"/>
      <c r="BM3" s="256"/>
      <c r="BN3" s="256"/>
      <c r="BO3" s="256"/>
      <c r="BP3" s="256"/>
      <c r="BQ3" s="256"/>
      <c r="BR3" s="256"/>
      <c r="BS3" s="257" t="s">
        <v>711</v>
      </c>
      <c r="BT3" s="257"/>
      <c r="BU3" s="257"/>
      <c r="BV3" s="257"/>
      <c r="BW3" s="257"/>
      <c r="BX3" s="257"/>
      <c r="BY3" s="257"/>
      <c r="BZ3" s="257" t="s">
        <v>711</v>
      </c>
      <c r="CA3" s="257"/>
      <c r="CB3" s="257"/>
      <c r="CC3" s="257"/>
      <c r="CD3" s="257"/>
      <c r="CE3" s="257"/>
      <c r="CF3" s="257"/>
      <c r="CG3" s="257" t="s">
        <v>711</v>
      </c>
      <c r="CH3" s="257"/>
      <c r="CI3" s="257"/>
      <c r="CJ3" s="257"/>
      <c r="CK3" s="257"/>
      <c r="CL3" s="257"/>
      <c r="CM3" s="257"/>
      <c r="CN3" s="12" t="s">
        <v>95</v>
      </c>
      <c r="CO3" s="13" t="s">
        <v>96</v>
      </c>
      <c r="CP3" s="14" t="s">
        <v>97</v>
      </c>
      <c r="CQ3" s="2" t="s">
        <v>19</v>
      </c>
      <c r="CR3" s="233" t="s">
        <v>2178</v>
      </c>
      <c r="CS3" s="233" t="s">
        <v>2192</v>
      </c>
      <c r="CU3" s="256" t="s">
        <v>1780</v>
      </c>
      <c r="CV3" s="256" t="s">
        <v>1781</v>
      </c>
    </row>
    <row r="4" spans="1:100" ht="15.6" x14ac:dyDescent="0.25">
      <c r="A4" s="226" t="s">
        <v>1725</v>
      </c>
      <c r="B4" s="43" t="s">
        <v>1685</v>
      </c>
      <c r="C4" s="11" t="s">
        <v>10</v>
      </c>
      <c r="D4" s="2" t="s">
        <v>11</v>
      </c>
      <c r="E4" s="2" t="s">
        <v>1</v>
      </c>
      <c r="F4" s="2" t="s">
        <v>2</v>
      </c>
      <c r="G4" s="2" t="s">
        <v>3</v>
      </c>
      <c r="H4" s="2" t="s">
        <v>4</v>
      </c>
      <c r="I4" s="2" t="s">
        <v>5</v>
      </c>
      <c r="J4" s="2" t="s">
        <v>6</v>
      </c>
      <c r="K4" s="2" t="s">
        <v>7</v>
      </c>
      <c r="L4" s="2" t="s">
        <v>940</v>
      </c>
      <c r="M4" s="2" t="s">
        <v>959</v>
      </c>
      <c r="N4" s="2" t="s">
        <v>358</v>
      </c>
      <c r="O4" s="207" t="s">
        <v>1643</v>
      </c>
      <c r="P4" s="2" t="s">
        <v>8</v>
      </c>
      <c r="Q4" s="2" t="s">
        <v>8</v>
      </c>
      <c r="R4" s="2" t="s">
        <v>135</v>
      </c>
      <c r="S4" s="2" t="s">
        <v>3</v>
      </c>
      <c r="T4" s="2" t="s">
        <v>1</v>
      </c>
      <c r="U4" s="2" t="s">
        <v>2</v>
      </c>
      <c r="V4" s="2" t="s">
        <v>4</v>
      </c>
      <c r="W4" s="2" t="s">
        <v>5</v>
      </c>
      <c r="X4" s="2" t="s">
        <v>8</v>
      </c>
      <c r="Y4" s="2" t="s">
        <v>8</v>
      </c>
      <c r="Z4" s="2" t="s">
        <v>135</v>
      </c>
      <c r="AA4" s="2" t="s">
        <v>3</v>
      </c>
      <c r="AB4" s="2" t="s">
        <v>1</v>
      </c>
      <c r="AC4" s="2" t="s">
        <v>2</v>
      </c>
      <c r="AD4" s="2" t="s">
        <v>4</v>
      </c>
      <c r="AE4" s="2" t="s">
        <v>5</v>
      </c>
      <c r="AF4" s="2" t="s">
        <v>135</v>
      </c>
      <c r="AG4" s="2" t="s">
        <v>4</v>
      </c>
      <c r="AH4" s="2" t="s">
        <v>5</v>
      </c>
      <c r="AI4" s="2" t="s">
        <v>2</v>
      </c>
      <c r="AJ4" s="2" t="s">
        <v>3</v>
      </c>
      <c r="AK4" s="2" t="s">
        <v>1</v>
      </c>
      <c r="AL4" s="2" t="s">
        <v>135</v>
      </c>
      <c r="AM4" s="2" t="s">
        <v>5</v>
      </c>
      <c r="AN4" s="2" t="s">
        <v>4</v>
      </c>
      <c r="AO4" s="2" t="s">
        <v>2</v>
      </c>
      <c r="AP4" s="2" t="s">
        <v>3</v>
      </c>
      <c r="AQ4" s="2" t="s">
        <v>1</v>
      </c>
      <c r="AR4" s="2" t="s">
        <v>135</v>
      </c>
      <c r="AS4" s="2" t="s">
        <v>6</v>
      </c>
      <c r="AT4" s="2" t="s">
        <v>3</v>
      </c>
      <c r="AU4" s="2" t="s">
        <v>7</v>
      </c>
      <c r="AV4" s="2" t="s">
        <v>749</v>
      </c>
      <c r="AW4" s="2" t="s">
        <v>1</v>
      </c>
      <c r="AX4" s="2" t="s">
        <v>2</v>
      </c>
      <c r="AY4" s="2" t="s">
        <v>135</v>
      </c>
      <c r="AZ4" s="2" t="s">
        <v>940</v>
      </c>
      <c r="BA4" s="2" t="s">
        <v>135</v>
      </c>
      <c r="BB4" s="2" t="s">
        <v>940</v>
      </c>
      <c r="BC4" s="2" t="s">
        <v>135</v>
      </c>
      <c r="BD4" s="2" t="s">
        <v>959</v>
      </c>
      <c r="BE4" s="2" t="s">
        <v>135</v>
      </c>
      <c r="BF4" s="2" t="s">
        <v>959</v>
      </c>
      <c r="BG4" s="2" t="s">
        <v>1724</v>
      </c>
      <c r="BH4" s="2" t="s">
        <v>358</v>
      </c>
      <c r="BI4" s="205" t="s">
        <v>135</v>
      </c>
      <c r="BJ4" s="205" t="s">
        <v>1643</v>
      </c>
      <c r="BK4" s="2" t="s">
        <v>135</v>
      </c>
      <c r="BL4" s="2" t="s">
        <v>3</v>
      </c>
      <c r="BM4" s="2" t="s">
        <v>4</v>
      </c>
      <c r="BN4" s="2" t="s">
        <v>5</v>
      </c>
      <c r="BO4" s="2" t="s">
        <v>2</v>
      </c>
      <c r="BP4" s="2" t="s">
        <v>1</v>
      </c>
      <c r="BQ4" s="2" t="s">
        <v>8</v>
      </c>
      <c r="BR4" s="2" t="s">
        <v>8</v>
      </c>
      <c r="BS4" s="2" t="s">
        <v>27</v>
      </c>
      <c r="BT4" s="2" t="s">
        <v>98</v>
      </c>
      <c r="BU4" s="2" t="s">
        <v>14</v>
      </c>
      <c r="BV4" s="2" t="s">
        <v>15</v>
      </c>
      <c r="BW4" s="2" t="s">
        <v>16</v>
      </c>
      <c r="BX4" s="2" t="s">
        <v>17</v>
      </c>
      <c r="BY4" s="2" t="s">
        <v>18</v>
      </c>
      <c r="BZ4" s="2" t="s">
        <v>712</v>
      </c>
      <c r="CA4" s="2" t="s">
        <v>938</v>
      </c>
      <c r="CB4" s="2" t="s">
        <v>961</v>
      </c>
      <c r="CC4" s="2" t="s">
        <v>363</v>
      </c>
      <c r="CD4" s="2" t="s">
        <v>1244</v>
      </c>
      <c r="CE4" s="2" t="s">
        <v>1232</v>
      </c>
      <c r="CF4" s="2" t="s">
        <v>735</v>
      </c>
      <c r="CG4" s="2" t="s">
        <v>424</v>
      </c>
      <c r="CH4" s="2" t="s">
        <v>1193</v>
      </c>
      <c r="CI4" s="2" t="s">
        <v>1156</v>
      </c>
      <c r="CJ4" s="2" t="s">
        <v>1341</v>
      </c>
      <c r="CK4" s="207" t="s">
        <v>1596</v>
      </c>
      <c r="CL4" s="2" t="s">
        <v>8</v>
      </c>
      <c r="CM4" s="2" t="s">
        <v>8</v>
      </c>
      <c r="CN4" s="14" t="s">
        <v>13</v>
      </c>
      <c r="CO4" s="14" t="s">
        <v>13</v>
      </c>
      <c r="CP4" s="14" t="s">
        <v>13</v>
      </c>
      <c r="CQ4" s="2" t="s">
        <v>20</v>
      </c>
      <c r="CR4" s="233" t="s">
        <v>2176</v>
      </c>
      <c r="CS4" s="233" t="s">
        <v>2176</v>
      </c>
      <c r="CU4" s="256"/>
      <c r="CV4" s="256"/>
    </row>
    <row r="5" spans="1:100" ht="15.6" x14ac:dyDescent="0.25">
      <c r="A5" s="2" t="s">
        <v>0</v>
      </c>
      <c r="B5" s="44" t="s">
        <v>792</v>
      </c>
      <c r="C5" s="2" t="s">
        <v>30</v>
      </c>
      <c r="D5" s="5">
        <v>352.71374659999998</v>
      </c>
      <c r="E5" s="4">
        <v>2.1242817220077646</v>
      </c>
      <c r="BS5" s="5">
        <v>650.24837879999995</v>
      </c>
      <c r="CQ5" s="6">
        <v>1719.58429073926</v>
      </c>
      <c r="CU5" s="230" t="s">
        <v>1729</v>
      </c>
      <c r="CV5" s="230" t="s">
        <v>1368</v>
      </c>
    </row>
    <row r="6" spans="1:100" x14ac:dyDescent="0.25">
      <c r="A6" s="2" t="s">
        <v>25</v>
      </c>
      <c r="B6" s="44" t="s">
        <v>792</v>
      </c>
      <c r="C6" s="2" t="s">
        <v>26</v>
      </c>
      <c r="D6" s="5">
        <v>104.15026639174296</v>
      </c>
      <c r="E6" s="4">
        <v>1.4804031956265691</v>
      </c>
      <c r="BS6" s="5">
        <v>144.30870948055801</v>
      </c>
      <c r="CQ6" s="5">
        <v>132.67553733761443</v>
      </c>
      <c r="CU6" s="230" t="s">
        <v>1730</v>
      </c>
      <c r="CV6" s="230" t="s">
        <v>1368</v>
      </c>
    </row>
    <row r="7" spans="1:100" ht="15.6" x14ac:dyDescent="0.25">
      <c r="A7" s="21" t="s">
        <v>25</v>
      </c>
      <c r="B7" s="44" t="s">
        <v>792</v>
      </c>
      <c r="C7" s="21" t="s">
        <v>31</v>
      </c>
      <c r="D7" s="5">
        <v>436.872232</v>
      </c>
      <c r="E7" s="4">
        <v>0.76268338794304513</v>
      </c>
      <c r="G7" s="4">
        <v>0.11851147699403336</v>
      </c>
      <c r="Z7" s="233" t="s">
        <v>1928</v>
      </c>
      <c r="AA7" s="233" t="s">
        <v>1929</v>
      </c>
      <c r="BS7" s="5">
        <v>275.98140000000001</v>
      </c>
      <c r="BU7" s="5">
        <v>409.49368204720002</v>
      </c>
      <c r="CQ7" s="5">
        <v>524.99331840000002</v>
      </c>
      <c r="CU7" s="230" t="s">
        <v>1729</v>
      </c>
      <c r="CV7" s="230" t="s">
        <v>1731</v>
      </c>
    </row>
    <row r="8" spans="1:100" ht="15.6" x14ac:dyDescent="0.25">
      <c r="A8" s="2" t="s">
        <v>29</v>
      </c>
      <c r="B8" s="44" t="s">
        <v>792</v>
      </c>
      <c r="C8" s="2" t="s">
        <v>32</v>
      </c>
      <c r="D8" s="4">
        <v>22.971187187839423</v>
      </c>
      <c r="E8" s="4">
        <v>3.5271281339485334</v>
      </c>
      <c r="Z8" s="233"/>
      <c r="BS8" s="4">
        <v>76.566448137000009</v>
      </c>
      <c r="CQ8" s="5">
        <v>129.16857640000001</v>
      </c>
      <c r="CS8" s="233" t="s">
        <v>2177</v>
      </c>
      <c r="CU8" s="230" t="s">
        <v>1730</v>
      </c>
      <c r="CV8" s="230" t="s">
        <v>1368</v>
      </c>
    </row>
    <row r="9" spans="1:100" x14ac:dyDescent="0.25">
      <c r="A9" s="2" t="s">
        <v>33</v>
      </c>
      <c r="B9" s="44" t="s">
        <v>792</v>
      </c>
      <c r="C9" s="2" t="s">
        <v>34</v>
      </c>
      <c r="D9" s="4">
        <v>3.0252340000000002</v>
      </c>
      <c r="E9" s="4">
        <v>2.4261121486800685</v>
      </c>
      <c r="BS9" s="3">
        <v>6.9033291999999999</v>
      </c>
      <c r="CQ9" s="18" t="s">
        <v>35</v>
      </c>
      <c r="CU9" s="230" t="s">
        <v>1730</v>
      </c>
      <c r="CV9" s="230" t="s">
        <v>1368</v>
      </c>
    </row>
    <row r="10" spans="1:100" x14ac:dyDescent="0.25">
      <c r="A10" s="2" t="s">
        <v>36</v>
      </c>
      <c r="B10" s="44" t="s">
        <v>792</v>
      </c>
      <c r="C10" s="2" t="s">
        <v>37</v>
      </c>
      <c r="D10" s="3">
        <v>0.113761</v>
      </c>
      <c r="E10" s="4">
        <v>2.5160967388745799</v>
      </c>
      <c r="BS10" s="3">
        <v>0.27430790900000002</v>
      </c>
      <c r="CQ10" s="18" t="s">
        <v>35</v>
      </c>
      <c r="CU10" s="230" t="s">
        <v>1730</v>
      </c>
      <c r="CV10" s="230" t="s">
        <v>1368</v>
      </c>
    </row>
    <row r="11" spans="1:100" ht="15.6" x14ac:dyDescent="0.25">
      <c r="A11" s="2" t="s">
        <v>39</v>
      </c>
      <c r="B11" s="44" t="s">
        <v>792</v>
      </c>
      <c r="C11" s="2" t="s">
        <v>40</v>
      </c>
      <c r="D11" s="5">
        <v>17.620007999999999</v>
      </c>
      <c r="E11" s="4">
        <v>2.2973704692856995</v>
      </c>
      <c r="BS11" s="4">
        <v>36.997562551999998</v>
      </c>
      <c r="CQ11" s="18" t="s">
        <v>35</v>
      </c>
      <c r="CU11" s="230" t="s">
        <v>1730</v>
      </c>
      <c r="CV11" s="230" t="s">
        <v>1368</v>
      </c>
    </row>
    <row r="12" spans="1:100" ht="15.6" x14ac:dyDescent="0.25">
      <c r="A12" s="2" t="s">
        <v>42</v>
      </c>
      <c r="B12" s="44" t="s">
        <v>792</v>
      </c>
      <c r="C12" s="2" t="s">
        <v>41</v>
      </c>
      <c r="D12" s="5">
        <v>53.397476320900481</v>
      </c>
      <c r="E12" s="4">
        <v>4.957646532455195</v>
      </c>
      <c r="BS12" s="5">
        <v>246.5848403</v>
      </c>
      <c r="CQ12" s="5">
        <v>56.350364099999993</v>
      </c>
      <c r="CS12" s="233" t="s">
        <v>2177</v>
      </c>
      <c r="CU12" s="230" t="s">
        <v>1729</v>
      </c>
      <c r="CV12" s="230" t="s">
        <v>1368</v>
      </c>
    </row>
    <row r="13" spans="1:100" ht="15.6" x14ac:dyDescent="0.25">
      <c r="A13" s="2" t="s">
        <v>43</v>
      </c>
      <c r="B13" s="44" t="s">
        <v>792</v>
      </c>
      <c r="C13" s="2" t="s">
        <v>99</v>
      </c>
      <c r="D13" s="5">
        <v>42.865503511848345</v>
      </c>
      <c r="E13" s="4">
        <v>2.4342385787340897</v>
      </c>
      <c r="BS13" s="4">
        <v>87.928054392589004</v>
      </c>
      <c r="CQ13" s="5">
        <v>78.066288749999984</v>
      </c>
      <c r="CS13" s="233" t="s">
        <v>2177</v>
      </c>
      <c r="CU13" s="230" t="s">
        <v>1729</v>
      </c>
      <c r="CV13" s="230" t="s">
        <v>1368</v>
      </c>
    </row>
    <row r="14" spans="1:100" ht="15.6" x14ac:dyDescent="0.25">
      <c r="A14" s="2" t="s">
        <v>44</v>
      </c>
      <c r="B14" s="44" t="s">
        <v>792</v>
      </c>
      <c r="C14" s="2" t="s">
        <v>45</v>
      </c>
      <c r="D14" s="5">
        <v>81.989645999999993</v>
      </c>
      <c r="E14" s="4">
        <v>2.8448610516015642</v>
      </c>
      <c r="BS14" s="5">
        <v>233.52712459999998</v>
      </c>
      <c r="CQ14" s="5">
        <v>412.53233255000004</v>
      </c>
      <c r="CU14" s="230" t="s">
        <v>1729</v>
      </c>
      <c r="CV14" s="230" t="s">
        <v>1368</v>
      </c>
    </row>
    <row r="15" spans="1:100" x14ac:dyDescent="0.25">
      <c r="A15" s="2" t="s">
        <v>1784</v>
      </c>
      <c r="B15" s="44" t="s">
        <v>792</v>
      </c>
      <c r="C15" s="2" t="s">
        <v>26</v>
      </c>
      <c r="D15" s="5">
        <v>19.66891</v>
      </c>
      <c r="E15" s="4">
        <v>2.9331084259371774</v>
      </c>
      <c r="BS15" s="4">
        <v>54.937185899999996</v>
      </c>
      <c r="CQ15" s="18" t="s">
        <v>35</v>
      </c>
      <c r="CU15" s="230" t="s">
        <v>1730</v>
      </c>
      <c r="CV15" s="230" t="s">
        <v>1368</v>
      </c>
    </row>
    <row r="16" spans="1:100" x14ac:dyDescent="0.25">
      <c r="A16" s="2" t="s">
        <v>1785</v>
      </c>
      <c r="B16" s="44" t="s">
        <v>792</v>
      </c>
      <c r="C16" s="2" t="s">
        <v>100</v>
      </c>
      <c r="D16" s="4">
        <v>5.3972319999999998</v>
      </c>
      <c r="E16" s="4">
        <v>3.3432415245444327</v>
      </c>
      <c r="BS16" s="4">
        <v>18.560262300000002</v>
      </c>
      <c r="CQ16" s="18" t="s">
        <v>35</v>
      </c>
      <c r="CU16" s="230" t="s">
        <v>1730</v>
      </c>
      <c r="CV16" s="230" t="s">
        <v>1368</v>
      </c>
    </row>
    <row r="17" spans="1:100" x14ac:dyDescent="0.25">
      <c r="A17" s="2" t="s">
        <v>203</v>
      </c>
      <c r="B17" s="44" t="s">
        <v>792</v>
      </c>
      <c r="C17" s="2" t="s">
        <v>204</v>
      </c>
      <c r="D17" s="4">
        <v>4.7216469999999999</v>
      </c>
      <c r="E17" s="4">
        <v>3.6492309569097392</v>
      </c>
      <c r="BS17" s="4">
        <v>17.080325800000001</v>
      </c>
      <c r="CQ17" s="18" t="s">
        <v>35</v>
      </c>
      <c r="CU17" s="230" t="s">
        <v>1730</v>
      </c>
      <c r="CV17" s="230" t="s">
        <v>1368</v>
      </c>
    </row>
    <row r="18" spans="1:100" x14ac:dyDescent="0.25">
      <c r="A18" s="2" t="s">
        <v>101</v>
      </c>
      <c r="B18" s="44" t="s">
        <v>792</v>
      </c>
      <c r="C18" s="2" t="s">
        <v>102</v>
      </c>
      <c r="D18" s="4">
        <v>1.3087169999999999</v>
      </c>
      <c r="E18" s="4">
        <v>7.7645192352510133</v>
      </c>
      <c r="BS18" s="3">
        <v>9.8827092000000007</v>
      </c>
      <c r="CQ18" s="3">
        <v>2.0047999999999999</v>
      </c>
      <c r="CU18" s="230" t="s">
        <v>1730</v>
      </c>
      <c r="CV18" s="230" t="s">
        <v>1368</v>
      </c>
    </row>
    <row r="19" spans="1:100" ht="15.6" x14ac:dyDescent="0.25">
      <c r="A19" s="2" t="s">
        <v>103</v>
      </c>
      <c r="B19" s="44" t="s">
        <v>792</v>
      </c>
      <c r="C19" s="2" t="s">
        <v>104</v>
      </c>
      <c r="D19" s="4">
        <v>3.2855500000000002</v>
      </c>
      <c r="E19" s="4">
        <v>5.0463606702074237</v>
      </c>
      <c r="G19" s="4">
        <v>0.57786482090902969</v>
      </c>
      <c r="BS19" s="4">
        <v>14.509272074</v>
      </c>
      <c r="BU19" s="4">
        <v>15.186999999999999</v>
      </c>
      <c r="CQ19" s="4">
        <v>1.2104980000000001</v>
      </c>
      <c r="CS19" s="233" t="s">
        <v>2177</v>
      </c>
      <c r="CU19" s="230" t="s">
        <v>1729</v>
      </c>
      <c r="CV19" s="230" t="s">
        <v>1731</v>
      </c>
    </row>
    <row r="20" spans="1:100" x14ac:dyDescent="0.25">
      <c r="A20" s="2" t="s">
        <v>105</v>
      </c>
      <c r="B20" s="44" t="s">
        <v>792</v>
      </c>
      <c r="C20" s="2" t="s">
        <v>106</v>
      </c>
      <c r="D20" s="4">
        <v>5.1022489999999996</v>
      </c>
      <c r="E20" s="4">
        <v>1.4155337949990285</v>
      </c>
      <c r="BS20" s="3">
        <v>7.1710069000000001</v>
      </c>
      <c r="CQ20" s="18" t="s">
        <v>35</v>
      </c>
      <c r="CU20" s="230" t="s">
        <v>1730</v>
      </c>
      <c r="CV20" s="230" t="s">
        <v>1368</v>
      </c>
    </row>
    <row r="21" spans="1:100" x14ac:dyDescent="0.25">
      <c r="A21" s="2" t="s">
        <v>108</v>
      </c>
      <c r="B21" s="44" t="s">
        <v>792</v>
      </c>
      <c r="C21" s="2" t="s">
        <v>107</v>
      </c>
      <c r="D21" s="3">
        <v>0.41134659999999995</v>
      </c>
      <c r="E21" s="4">
        <v>1.7552666072971963</v>
      </c>
      <c r="BS21" s="3">
        <v>0.65054979999999996</v>
      </c>
      <c r="CQ21" s="18" t="s">
        <v>35</v>
      </c>
      <c r="CU21" s="230" t="s">
        <v>1730</v>
      </c>
      <c r="CV21" s="230" t="s">
        <v>1368</v>
      </c>
    </row>
    <row r="22" spans="1:100" x14ac:dyDescent="0.25">
      <c r="A22" s="2" t="s">
        <v>109</v>
      </c>
      <c r="B22" s="44" t="s">
        <v>792</v>
      </c>
      <c r="C22" s="2" t="s">
        <v>26</v>
      </c>
      <c r="D22" s="5">
        <v>30.406468999999998</v>
      </c>
      <c r="E22" s="4">
        <v>2.2431272184218431</v>
      </c>
      <c r="BS22" s="4">
        <v>59.070158199999995</v>
      </c>
      <c r="CQ22" s="5">
        <v>81.753332999999998</v>
      </c>
      <c r="CS22" s="233" t="s">
        <v>2177</v>
      </c>
      <c r="CU22" s="230" t="s">
        <v>1730</v>
      </c>
      <c r="CV22" s="230" t="s">
        <v>1368</v>
      </c>
    </row>
    <row r="23" spans="1:100" ht="15.6" x14ac:dyDescent="0.25">
      <c r="A23" s="2" t="s">
        <v>110</v>
      </c>
      <c r="B23" s="44" t="s">
        <v>792</v>
      </c>
      <c r="C23" s="2" t="s">
        <v>111</v>
      </c>
      <c r="D23" s="5">
        <v>45.169083999999998</v>
      </c>
      <c r="E23" s="4">
        <v>2.2906526782787981</v>
      </c>
      <c r="BS23" s="5">
        <v>103.0777334</v>
      </c>
      <c r="CQ23" s="5">
        <v>58.140622800000003</v>
      </c>
      <c r="CS23" s="233" t="s">
        <v>2177</v>
      </c>
      <c r="CU23" s="230" t="s">
        <v>1729</v>
      </c>
      <c r="CV23" s="230" t="s">
        <v>1368</v>
      </c>
    </row>
    <row r="24" spans="1:100" x14ac:dyDescent="0.25">
      <c r="A24" s="2" t="s">
        <v>112</v>
      </c>
      <c r="B24" s="44" t="s">
        <v>792</v>
      </c>
      <c r="C24" s="2" t="s">
        <v>26</v>
      </c>
      <c r="D24" s="5">
        <v>16.139632433962262</v>
      </c>
      <c r="E24" s="4">
        <v>2.0888667125006761</v>
      </c>
      <c r="BS24" s="4">
        <v>31.627343335849059</v>
      </c>
      <c r="CQ24" s="5">
        <v>40.518561837777781</v>
      </c>
      <c r="CS24" s="233" t="s">
        <v>2177</v>
      </c>
      <c r="CU24" s="230" t="s">
        <v>1730</v>
      </c>
      <c r="CV24" s="230" t="s">
        <v>1368</v>
      </c>
    </row>
    <row r="25" spans="1:100" ht="15.6" x14ac:dyDescent="0.25">
      <c r="A25" s="2" t="s">
        <v>58</v>
      </c>
      <c r="B25" s="44" t="s">
        <v>792</v>
      </c>
      <c r="C25" s="2" t="s">
        <v>113</v>
      </c>
      <c r="D25" s="5">
        <v>13.818386</v>
      </c>
      <c r="E25" s="4">
        <v>1.5037951930162476</v>
      </c>
      <c r="BS25" s="4">
        <v>17.975178</v>
      </c>
      <c r="CQ25" s="4">
        <v>74.333897399999998</v>
      </c>
      <c r="CU25" s="230" t="s">
        <v>1730</v>
      </c>
      <c r="CV25" s="230" t="s">
        <v>1368</v>
      </c>
    </row>
    <row r="26" spans="1:100" ht="15.6" x14ac:dyDescent="0.25">
      <c r="A26" s="2" t="s">
        <v>114</v>
      </c>
      <c r="B26" s="44" t="s">
        <v>792</v>
      </c>
      <c r="C26" s="2" t="s">
        <v>1726</v>
      </c>
      <c r="D26" s="5">
        <v>19.824999999999999</v>
      </c>
      <c r="E26" s="4">
        <v>1.0370627994955863</v>
      </c>
      <c r="BS26" s="4">
        <v>18.78</v>
      </c>
      <c r="CQ26" s="4">
        <v>60.551000000000002</v>
      </c>
      <c r="CU26" s="230" t="s">
        <v>1729</v>
      </c>
      <c r="CV26" s="230" t="s">
        <v>1368</v>
      </c>
    </row>
    <row r="27" spans="1:100" x14ac:dyDescent="0.25">
      <c r="A27" s="2" t="s">
        <v>115</v>
      </c>
      <c r="B27" s="44" t="s">
        <v>792</v>
      </c>
      <c r="C27" s="2" t="s">
        <v>116</v>
      </c>
      <c r="D27" s="4">
        <v>1.7792669999999999</v>
      </c>
      <c r="E27" s="4">
        <v>3.2977125411756636</v>
      </c>
      <c r="BS27" s="3">
        <v>5.3658073999999996</v>
      </c>
      <c r="CQ27" s="4">
        <v>4.5003820000000001</v>
      </c>
      <c r="CS27" s="233" t="s">
        <v>2177</v>
      </c>
      <c r="CU27" s="230" t="s">
        <v>1730</v>
      </c>
      <c r="CV27" s="230" t="s">
        <v>1368</v>
      </c>
    </row>
    <row r="28" spans="1:100" x14ac:dyDescent="0.25">
      <c r="A28" s="2" t="s">
        <v>117</v>
      </c>
      <c r="B28" s="44" t="s">
        <v>792</v>
      </c>
      <c r="C28" s="2" t="s">
        <v>120</v>
      </c>
      <c r="D28" s="3">
        <v>0.26862385714285714</v>
      </c>
      <c r="E28" s="5">
        <v>12.996121873241261</v>
      </c>
      <c r="BS28" s="3">
        <v>3.4887513500000003</v>
      </c>
      <c r="CQ28" s="18" t="s">
        <v>35</v>
      </c>
      <c r="CU28" s="230" t="s">
        <v>1730</v>
      </c>
      <c r="CV28" s="230" t="s">
        <v>1368</v>
      </c>
    </row>
    <row r="29" spans="1:100" x14ac:dyDescent="0.25">
      <c r="A29" s="2" t="s">
        <v>118</v>
      </c>
      <c r="B29" s="44" t="s">
        <v>792</v>
      </c>
      <c r="C29" s="2" t="s">
        <v>119</v>
      </c>
      <c r="D29" s="3">
        <v>0.29066399999999998</v>
      </c>
      <c r="E29" s="4">
        <v>2.4759234029669996</v>
      </c>
      <c r="BS29" s="3">
        <v>0.65624109999999991</v>
      </c>
      <c r="CQ29" s="18" t="s">
        <v>35</v>
      </c>
      <c r="CU29" s="230" t="s">
        <v>1730</v>
      </c>
      <c r="CV29" s="230" t="s">
        <v>1368</v>
      </c>
    </row>
    <row r="30" spans="1:100" ht="15.6" x14ac:dyDescent="0.25">
      <c r="A30" s="2" t="s">
        <v>121</v>
      </c>
      <c r="B30" s="44" t="s">
        <v>792</v>
      </c>
      <c r="C30" s="2" t="s">
        <v>122</v>
      </c>
      <c r="D30" s="5">
        <v>92.985881986531908</v>
      </c>
      <c r="E30" s="4">
        <v>3.6593777583501539</v>
      </c>
      <c r="BS30" s="5">
        <v>311.3963849959008</v>
      </c>
      <c r="CQ30" s="5">
        <v>307.34507013356864</v>
      </c>
      <c r="CS30" s="233" t="s">
        <v>2177</v>
      </c>
      <c r="CU30" s="230" t="s">
        <v>1729</v>
      </c>
      <c r="CV30" s="230" t="s">
        <v>1368</v>
      </c>
    </row>
    <row r="31" spans="1:100" ht="15.6" x14ac:dyDescent="0.25">
      <c r="A31" s="2" t="s">
        <v>123</v>
      </c>
      <c r="B31" s="44" t="s">
        <v>792</v>
      </c>
      <c r="C31" s="2" t="s">
        <v>99</v>
      </c>
      <c r="D31" s="5">
        <v>88.672928783460065</v>
      </c>
      <c r="E31" s="4">
        <v>2.04461562553958</v>
      </c>
      <c r="BS31" s="5">
        <v>169.67724517999997</v>
      </c>
      <c r="CQ31" s="5">
        <v>217.56251030123295</v>
      </c>
      <c r="CS31" s="233" t="s">
        <v>2177</v>
      </c>
      <c r="CU31" s="230" t="s">
        <v>1729</v>
      </c>
      <c r="CV31" s="230" t="s">
        <v>1368</v>
      </c>
    </row>
    <row r="32" spans="1:100" ht="15.6" x14ac:dyDescent="0.25">
      <c r="A32" s="2" t="s">
        <v>124</v>
      </c>
      <c r="B32" s="44" t="s">
        <v>792</v>
      </c>
      <c r="C32" s="2" t="s">
        <v>125</v>
      </c>
      <c r="D32" s="4">
        <v>8.188195921568628</v>
      </c>
      <c r="E32" s="4">
        <v>5.4397610042626825</v>
      </c>
      <c r="BS32" s="4">
        <v>41.942604464145099</v>
      </c>
      <c r="CQ32" s="18" t="s">
        <v>35</v>
      </c>
      <c r="CU32" s="230" t="s">
        <v>1729</v>
      </c>
      <c r="CV32" s="230" t="s">
        <v>1368</v>
      </c>
    </row>
    <row r="33" spans="1:100" x14ac:dyDescent="0.25">
      <c r="A33" s="2" t="s">
        <v>126</v>
      </c>
      <c r="B33" s="44" t="s">
        <v>792</v>
      </c>
      <c r="C33" s="2" t="s">
        <v>127</v>
      </c>
      <c r="D33" s="4">
        <v>7.335229</v>
      </c>
      <c r="E33" s="4">
        <v>2.8671949687369453</v>
      </c>
      <c r="BS33" s="4">
        <v>19.792568700000004</v>
      </c>
      <c r="CQ33" s="30">
        <v>11.970838799999999</v>
      </c>
      <c r="CS33" s="233" t="s">
        <v>2177</v>
      </c>
      <c r="CU33" s="230" t="s">
        <v>1730</v>
      </c>
      <c r="CV33" s="230" t="s">
        <v>1368</v>
      </c>
    </row>
    <row r="34" spans="1:100" x14ac:dyDescent="0.25">
      <c r="A34" s="2" t="s">
        <v>128</v>
      </c>
      <c r="B34" s="44" t="s">
        <v>792</v>
      </c>
      <c r="C34" s="2" t="s">
        <v>129</v>
      </c>
      <c r="D34" s="5">
        <v>20.172719749999999</v>
      </c>
      <c r="E34" s="4">
        <v>2.4361478344378225</v>
      </c>
      <c r="BS34" s="4">
        <v>44.574386000000004</v>
      </c>
      <c r="CQ34" s="30">
        <v>30.654</v>
      </c>
      <c r="CS34" s="233" t="s">
        <v>2177</v>
      </c>
      <c r="CU34" s="230" t="s">
        <v>1730</v>
      </c>
      <c r="CV34" s="230" t="s">
        <v>1368</v>
      </c>
    </row>
    <row r="35" spans="1:100" ht="15.6" x14ac:dyDescent="0.25">
      <c r="A35" s="2" t="s">
        <v>130</v>
      </c>
      <c r="B35" s="44" t="s">
        <v>792</v>
      </c>
      <c r="C35" s="2" t="s">
        <v>131</v>
      </c>
      <c r="D35" s="3">
        <v>0.2233346052631579</v>
      </c>
      <c r="E35" s="4">
        <v>6.6636642338900209</v>
      </c>
      <c r="BS35" s="3">
        <v>1.42246309046</v>
      </c>
      <c r="CQ35" s="18" t="s">
        <v>35</v>
      </c>
      <c r="CU35" s="230" t="s">
        <v>1730</v>
      </c>
      <c r="CV35" s="230" t="s">
        <v>1368</v>
      </c>
    </row>
    <row r="36" spans="1:100" x14ac:dyDescent="0.25">
      <c r="A36" s="2" t="s">
        <v>251</v>
      </c>
      <c r="B36" s="44" t="s">
        <v>792</v>
      </c>
      <c r="C36" s="2" t="s">
        <v>132</v>
      </c>
      <c r="D36" s="5">
        <v>26.567118000000001</v>
      </c>
      <c r="E36" s="4">
        <v>2.3529279565036911</v>
      </c>
      <c r="BS36" s="4">
        <v>56.104424619900001</v>
      </c>
      <c r="CQ36" s="30">
        <v>124.1105556</v>
      </c>
      <c r="CS36" s="233" t="s">
        <v>2177</v>
      </c>
      <c r="CU36" s="230" t="s">
        <v>1730</v>
      </c>
      <c r="CV36" s="230" t="s">
        <v>1368</v>
      </c>
    </row>
    <row r="37" spans="1:100" ht="15.6" x14ac:dyDescent="0.25">
      <c r="A37" s="2" t="s">
        <v>133</v>
      </c>
      <c r="B37" s="44" t="s">
        <v>792</v>
      </c>
      <c r="C37" s="2" t="s">
        <v>134</v>
      </c>
      <c r="D37" s="5">
        <v>496.09475300000003</v>
      </c>
      <c r="E37" s="4">
        <v>1.1442771908772968</v>
      </c>
      <c r="G37" s="4">
        <v>0.1174799161804479</v>
      </c>
      <c r="Z37" s="6">
        <v>2642.5025768182772</v>
      </c>
      <c r="AA37" s="4">
        <v>16.25928405024775</v>
      </c>
      <c r="BS37" s="5">
        <v>465.7732293785715</v>
      </c>
      <c r="BU37" s="5">
        <v>429.65199999999999</v>
      </c>
      <c r="CQ37" s="30">
        <v>666.57100000000003</v>
      </c>
      <c r="CS37" s="233" t="s">
        <v>2177</v>
      </c>
      <c r="CU37" s="230" t="s">
        <v>1729</v>
      </c>
      <c r="CV37" s="230" t="s">
        <v>1731</v>
      </c>
    </row>
    <row r="38" spans="1:100" ht="15.6" x14ac:dyDescent="0.25">
      <c r="A38" s="2" t="s">
        <v>136</v>
      </c>
      <c r="B38" s="44" t="s">
        <v>792</v>
      </c>
      <c r="C38" s="2" t="s">
        <v>137</v>
      </c>
      <c r="D38" s="5">
        <v>158.54997399999999</v>
      </c>
      <c r="E38" s="4">
        <v>2.8462089348959201</v>
      </c>
      <c r="BS38" s="5">
        <v>437.99964150000005</v>
      </c>
      <c r="CQ38" s="30">
        <v>462.488</v>
      </c>
      <c r="CS38" s="233" t="s">
        <v>2177</v>
      </c>
      <c r="CU38" s="230" t="s">
        <v>1729</v>
      </c>
      <c r="CV38" s="230" t="s">
        <v>1368</v>
      </c>
    </row>
    <row r="39" spans="1:100" x14ac:dyDescent="0.25">
      <c r="A39" s="2" t="s">
        <v>138</v>
      </c>
      <c r="B39" s="44" t="s">
        <v>792</v>
      </c>
      <c r="C39" s="2" t="s">
        <v>139</v>
      </c>
      <c r="D39" s="5">
        <v>18.074845075963722</v>
      </c>
      <c r="E39" s="4">
        <v>9.9934856434092509</v>
      </c>
      <c r="F39" s="4">
        <v>4.6562319322926911</v>
      </c>
      <c r="BS39" s="5">
        <v>180.13591351600004</v>
      </c>
      <c r="BT39" s="4">
        <v>84.160670813945544</v>
      </c>
      <c r="CQ39" s="18" t="s">
        <v>35</v>
      </c>
      <c r="CU39" s="230" t="s">
        <v>1730</v>
      </c>
      <c r="CV39" s="230" t="s">
        <v>1368</v>
      </c>
    </row>
    <row r="40" spans="1:100" ht="15.6" x14ac:dyDescent="0.25">
      <c r="A40" s="2" t="s">
        <v>140</v>
      </c>
      <c r="B40" s="44" t="s">
        <v>792</v>
      </c>
      <c r="C40" s="2" t="s">
        <v>145</v>
      </c>
      <c r="D40" s="4">
        <v>3.4169999999999998</v>
      </c>
      <c r="E40" s="4">
        <v>4.3552794849282996</v>
      </c>
      <c r="BS40" s="4">
        <v>15.409614600000001</v>
      </c>
      <c r="CQ40" s="18" t="s">
        <v>35</v>
      </c>
      <c r="CU40" s="230" t="s">
        <v>1730</v>
      </c>
      <c r="CV40" s="230" t="s">
        <v>1368</v>
      </c>
    </row>
    <row r="41" spans="1:100" x14ac:dyDescent="0.25">
      <c r="A41" s="2" t="s">
        <v>141</v>
      </c>
      <c r="B41" s="44" t="s">
        <v>792</v>
      </c>
      <c r="C41" s="2" t="s">
        <v>142</v>
      </c>
      <c r="D41" s="4">
        <v>1.4805219999999999</v>
      </c>
      <c r="E41" s="4">
        <v>4.8432945147544881</v>
      </c>
      <c r="BS41" s="3">
        <v>6.8363695500000015</v>
      </c>
      <c r="CQ41" s="4">
        <v>9.2427379999999992</v>
      </c>
      <c r="CS41" s="233" t="s">
        <v>2177</v>
      </c>
      <c r="CU41" s="230" t="s">
        <v>1730</v>
      </c>
      <c r="CV41" s="230" t="s">
        <v>1368</v>
      </c>
    </row>
    <row r="42" spans="1:100" x14ac:dyDescent="0.25">
      <c r="A42" s="2" t="s">
        <v>143</v>
      </c>
      <c r="B42" s="44" t="s">
        <v>792</v>
      </c>
      <c r="C42" s="2" t="s">
        <v>144</v>
      </c>
      <c r="D42" s="3">
        <v>0.67269000000000001</v>
      </c>
      <c r="E42" s="4">
        <v>2.4339121127606567</v>
      </c>
      <c r="BS42" s="3">
        <v>1.5510192</v>
      </c>
      <c r="CQ42" s="4">
        <v>9.0694148000000006</v>
      </c>
      <c r="CU42" s="230" t="s">
        <v>1730</v>
      </c>
      <c r="CV42" s="230" t="s">
        <v>1368</v>
      </c>
    </row>
    <row r="43" spans="1:100" ht="15.6" x14ac:dyDescent="0.25">
      <c r="A43" s="2" t="s">
        <v>146</v>
      </c>
      <c r="B43" s="44" t="s">
        <v>792</v>
      </c>
      <c r="C43" s="2" t="s">
        <v>147</v>
      </c>
      <c r="D43" s="5">
        <v>16.691300999999999</v>
      </c>
      <c r="E43" s="4">
        <v>2.5547220669017952</v>
      </c>
      <c r="BS43" s="4">
        <v>47.357949099999999</v>
      </c>
      <c r="CQ43" s="18" t="s">
        <v>35</v>
      </c>
      <c r="CU43" s="230" t="s">
        <v>1730</v>
      </c>
      <c r="CV43" s="230" t="s">
        <v>1368</v>
      </c>
    </row>
    <row r="44" spans="1:100" ht="15.6" x14ac:dyDescent="0.25">
      <c r="A44" s="2" t="s">
        <v>149</v>
      </c>
      <c r="B44" s="44" t="s">
        <v>792</v>
      </c>
      <c r="C44" s="2" t="s">
        <v>148</v>
      </c>
      <c r="D44" s="5">
        <v>37.197780000000002</v>
      </c>
      <c r="E44" s="4">
        <v>2.5547220669017952</v>
      </c>
      <c r="BS44" s="5">
        <v>187.07031170000002</v>
      </c>
      <c r="CQ44" s="30">
        <v>54.017000000000003</v>
      </c>
      <c r="CS44" s="233" t="s">
        <v>2177</v>
      </c>
      <c r="CU44" s="230" t="s">
        <v>1729</v>
      </c>
      <c r="CV44" s="230" t="s">
        <v>1368</v>
      </c>
    </row>
    <row r="45" spans="1:100" ht="15.6" x14ac:dyDescent="0.25">
      <c r="A45" s="2" t="s">
        <v>150</v>
      </c>
      <c r="B45" s="44" t="s">
        <v>792</v>
      </c>
      <c r="C45" s="2" t="s">
        <v>122</v>
      </c>
      <c r="D45" s="5">
        <v>53.928997742857149</v>
      </c>
      <c r="E45" s="4">
        <v>4.3883107020835386</v>
      </c>
      <c r="BS45" s="5">
        <v>214.21196614857149</v>
      </c>
      <c r="CQ45" s="30">
        <v>65.048058200825025</v>
      </c>
      <c r="CS45" s="233" t="s">
        <v>2177</v>
      </c>
      <c r="CU45" s="230" t="s">
        <v>1729</v>
      </c>
      <c r="CV45" s="230" t="s">
        <v>1368</v>
      </c>
    </row>
    <row r="46" spans="1:100" x14ac:dyDescent="0.25">
      <c r="A46" s="2" t="s">
        <v>152</v>
      </c>
      <c r="B46" s="44" t="s">
        <v>792</v>
      </c>
      <c r="C46" s="2" t="s">
        <v>153</v>
      </c>
      <c r="D46" s="4">
        <v>1.1928430000000001</v>
      </c>
      <c r="E46" s="4">
        <v>2.3685195453215551</v>
      </c>
      <c r="BS46" s="3">
        <v>2.4675673000000002</v>
      </c>
      <c r="CQ46" s="18" t="s">
        <v>35</v>
      </c>
      <c r="CU46" s="230" t="s">
        <v>1730</v>
      </c>
      <c r="CV46" s="230" t="s">
        <v>1368</v>
      </c>
    </row>
    <row r="47" spans="1:100" x14ac:dyDescent="0.25">
      <c r="A47" s="2" t="s">
        <v>151</v>
      </c>
      <c r="B47" s="44" t="s">
        <v>792</v>
      </c>
      <c r="C47" s="2" t="s">
        <v>154</v>
      </c>
      <c r="D47" s="4">
        <v>2.0720000000000001</v>
      </c>
      <c r="E47" s="4">
        <v>1.8430675675675676</v>
      </c>
      <c r="BS47" s="3">
        <v>3.8228469999999999</v>
      </c>
      <c r="CQ47" s="18" t="s">
        <v>35</v>
      </c>
      <c r="CU47" s="230" t="s">
        <v>1730</v>
      </c>
      <c r="CV47" s="230" t="s">
        <v>1368</v>
      </c>
    </row>
    <row r="48" spans="1:100" x14ac:dyDescent="0.25">
      <c r="A48" s="2" t="s">
        <v>155</v>
      </c>
      <c r="B48" s="44" t="s">
        <v>792</v>
      </c>
      <c r="C48" s="2" t="s">
        <v>156</v>
      </c>
      <c r="D48" s="4">
        <v>4.7908466666666669</v>
      </c>
      <c r="E48" s="4">
        <v>2.3498413780723517</v>
      </c>
      <c r="BS48" s="4">
        <v>10.632045300000001</v>
      </c>
      <c r="CQ48" s="30">
        <v>17.389643066666668</v>
      </c>
      <c r="CS48" s="233" t="s">
        <v>2177</v>
      </c>
      <c r="CU48" s="230" t="s">
        <v>1730</v>
      </c>
      <c r="CV48" s="230" t="s">
        <v>1368</v>
      </c>
    </row>
    <row r="49" spans="1:100" x14ac:dyDescent="0.25">
      <c r="A49" s="2" t="s">
        <v>159</v>
      </c>
      <c r="B49" s="44" t="s">
        <v>792</v>
      </c>
      <c r="C49" s="2" t="s">
        <v>157</v>
      </c>
      <c r="D49" s="3">
        <v>0.34773300000000001</v>
      </c>
      <c r="E49" s="4">
        <v>2.0810348457005805</v>
      </c>
      <c r="BS49" s="3">
        <v>0.69122860000000008</v>
      </c>
      <c r="CQ49" s="4">
        <v>1.8889659999999999</v>
      </c>
      <c r="CU49" s="230" t="s">
        <v>1730</v>
      </c>
      <c r="CV49" s="230" t="s">
        <v>1368</v>
      </c>
    </row>
    <row r="50" spans="1:100" ht="15.6" x14ac:dyDescent="0.25">
      <c r="A50" s="2" t="s">
        <v>158</v>
      </c>
      <c r="B50" s="44" t="s">
        <v>792</v>
      </c>
      <c r="C50" s="2" t="s">
        <v>160</v>
      </c>
      <c r="D50" s="3">
        <v>0.115089</v>
      </c>
      <c r="E50" s="4">
        <v>3.6544694975193113</v>
      </c>
      <c r="BS50" s="3">
        <v>0.3555663</v>
      </c>
      <c r="CQ50" s="18" t="s">
        <v>35</v>
      </c>
      <c r="CU50" s="230" t="s">
        <v>1729</v>
      </c>
      <c r="CV50" s="230" t="s">
        <v>1368</v>
      </c>
    </row>
    <row r="51" spans="1:100" ht="15.6" x14ac:dyDescent="0.25">
      <c r="A51" s="2" t="s">
        <v>66</v>
      </c>
      <c r="B51" s="44" t="s">
        <v>792</v>
      </c>
      <c r="C51" s="2" t="s">
        <v>161</v>
      </c>
      <c r="D51" s="5">
        <v>20.417077832564271</v>
      </c>
      <c r="E51" s="4">
        <v>2.1932126374507304</v>
      </c>
      <c r="BS51" s="4">
        <v>41.558836699999986</v>
      </c>
      <c r="CQ51" s="30">
        <v>85.490399599999989</v>
      </c>
      <c r="CS51" s="233" t="s">
        <v>2177</v>
      </c>
      <c r="CU51" s="230" t="s">
        <v>1729</v>
      </c>
      <c r="CV51" s="230" t="s">
        <v>1368</v>
      </c>
    </row>
    <row r="52" spans="1:100" x14ac:dyDescent="0.25">
      <c r="A52" s="2" t="s">
        <v>56</v>
      </c>
      <c r="B52" s="44" t="s">
        <v>792</v>
      </c>
      <c r="C52" s="2" t="s">
        <v>162</v>
      </c>
      <c r="D52" s="5">
        <v>11.920437</v>
      </c>
      <c r="E52" s="4">
        <v>1.9254397888265335</v>
      </c>
      <c r="BS52" s="4">
        <v>20.207940299999997</v>
      </c>
      <c r="CQ52" s="30">
        <v>21.330105</v>
      </c>
      <c r="CS52" s="233" t="s">
        <v>2177</v>
      </c>
      <c r="CU52" s="230" t="s">
        <v>1730</v>
      </c>
      <c r="CV52" s="230" t="s">
        <v>1368</v>
      </c>
    </row>
    <row r="53" spans="1:100" x14ac:dyDescent="0.25">
      <c r="A53" s="2" t="s">
        <v>163</v>
      </c>
      <c r="B53" s="44" t="s">
        <v>792</v>
      </c>
      <c r="C53" s="2">
        <v>1988</v>
      </c>
      <c r="D53" s="3">
        <v>0.23</v>
      </c>
      <c r="E53" s="2">
        <v>3.9</v>
      </c>
      <c r="BS53" s="3">
        <v>0.62790000000000001</v>
      </c>
      <c r="CQ53" s="18" t="s">
        <v>35</v>
      </c>
      <c r="CU53" s="230" t="s">
        <v>1730</v>
      </c>
      <c r="CV53" s="230" t="s">
        <v>1368</v>
      </c>
    </row>
    <row r="54" spans="1:100" ht="15.6" x14ac:dyDescent="0.25">
      <c r="A54" s="2" t="s">
        <v>164</v>
      </c>
      <c r="B54" s="44" t="s">
        <v>792</v>
      </c>
      <c r="C54" s="2" t="s">
        <v>122</v>
      </c>
      <c r="D54" s="5">
        <v>62.476884000000005</v>
      </c>
      <c r="E54" s="4">
        <v>3.0336573915882235</v>
      </c>
      <c r="BS54" s="5">
        <v>172.04376040000002</v>
      </c>
      <c r="CQ54" s="30">
        <v>195.3741058</v>
      </c>
      <c r="CS54" s="233" t="s">
        <v>2177</v>
      </c>
      <c r="CU54" s="230" t="s">
        <v>1729</v>
      </c>
      <c r="CV54" s="230" t="s">
        <v>1368</v>
      </c>
    </row>
    <row r="55" spans="1:100" ht="15.6" x14ac:dyDescent="0.25">
      <c r="A55" s="2" t="s">
        <v>165</v>
      </c>
      <c r="B55" s="44" t="s">
        <v>792</v>
      </c>
      <c r="C55" s="2" t="s">
        <v>148</v>
      </c>
      <c r="D55" s="5">
        <v>22.05128183625731</v>
      </c>
      <c r="E55" s="4">
        <v>4.5325226549095445</v>
      </c>
      <c r="BS55" s="4">
        <v>94.551146740000007</v>
      </c>
      <c r="CQ55" s="30">
        <v>36.643902199999992</v>
      </c>
      <c r="CS55" s="233" t="s">
        <v>2177</v>
      </c>
      <c r="CU55" s="230" t="s">
        <v>1729</v>
      </c>
      <c r="CV55" s="230" t="s">
        <v>1368</v>
      </c>
    </row>
    <row r="56" spans="1:100" x14ac:dyDescent="0.25">
      <c r="A56" s="2" t="s">
        <v>166</v>
      </c>
      <c r="B56" s="44" t="s">
        <v>792</v>
      </c>
      <c r="C56" s="2" t="s">
        <v>167</v>
      </c>
      <c r="D56" s="5">
        <v>18.67595578184422</v>
      </c>
      <c r="E56" s="4">
        <v>4.0989427600888426</v>
      </c>
      <c r="BS56" s="4">
        <v>72.199282600000004</v>
      </c>
      <c r="CQ56" s="30">
        <v>73.856202800000005</v>
      </c>
      <c r="CS56" s="233" t="s">
        <v>2177</v>
      </c>
      <c r="CU56" s="230" t="s">
        <v>1730</v>
      </c>
      <c r="CV56" s="230" t="s">
        <v>1368</v>
      </c>
    </row>
    <row r="57" spans="1:100" x14ac:dyDescent="0.25">
      <c r="A57" s="2" t="s">
        <v>168</v>
      </c>
      <c r="B57" s="44" t="s">
        <v>792</v>
      </c>
      <c r="C57" s="2" t="s">
        <v>169</v>
      </c>
      <c r="D57" s="4">
        <v>2.397313</v>
      </c>
      <c r="E57" s="4">
        <v>8.5101970330949701</v>
      </c>
      <c r="BS57" s="4">
        <v>19.979666300000002</v>
      </c>
      <c r="CQ57" s="4">
        <v>3.9952985999999999</v>
      </c>
      <c r="CS57" s="233" t="s">
        <v>2177</v>
      </c>
      <c r="CU57" s="230" t="s">
        <v>1730</v>
      </c>
      <c r="CV57" s="230" t="s">
        <v>1368</v>
      </c>
    </row>
    <row r="58" spans="1:100" x14ac:dyDescent="0.25">
      <c r="A58" s="2" t="s">
        <v>170</v>
      </c>
      <c r="B58" s="44" t="s">
        <v>792</v>
      </c>
      <c r="C58" s="2" t="s">
        <v>171</v>
      </c>
      <c r="D58" s="5">
        <v>10.695143999999999</v>
      </c>
      <c r="E58" s="4">
        <v>2.2824921169831844</v>
      </c>
      <c r="BS58" s="4">
        <v>22.000206500000001</v>
      </c>
      <c r="CQ58" s="30">
        <v>20.7639432</v>
      </c>
      <c r="CS58" s="233" t="s">
        <v>2177</v>
      </c>
      <c r="CU58" s="230" t="s">
        <v>1730</v>
      </c>
      <c r="CV58" s="230" t="s">
        <v>1368</v>
      </c>
    </row>
    <row r="59" spans="1:100" x14ac:dyDescent="0.25">
      <c r="A59" s="2" t="s">
        <v>173</v>
      </c>
      <c r="B59" s="44" t="s">
        <v>792</v>
      </c>
      <c r="C59" s="2" t="s">
        <v>172</v>
      </c>
      <c r="D59" s="4">
        <v>6.3893081869116992</v>
      </c>
      <c r="E59" s="4">
        <v>3.0491699654345799</v>
      </c>
      <c r="BS59" s="4">
        <v>20.266968100000003</v>
      </c>
      <c r="CQ59" s="30">
        <v>43.893414</v>
      </c>
      <c r="CS59" s="233" t="s">
        <v>2177</v>
      </c>
      <c r="CU59" s="230" t="s">
        <v>1730</v>
      </c>
      <c r="CV59" s="230" t="s">
        <v>1368</v>
      </c>
    </row>
    <row r="60" spans="1:100" x14ac:dyDescent="0.25">
      <c r="A60" s="2" t="s">
        <v>176</v>
      </c>
      <c r="B60" s="44" t="s">
        <v>792</v>
      </c>
      <c r="C60" s="2" t="s">
        <v>177</v>
      </c>
      <c r="D60" s="3">
        <v>0.87360899999999997</v>
      </c>
      <c r="E60" s="4">
        <v>2.9149888451240775</v>
      </c>
      <c r="BS60" s="3">
        <v>2.3957123999999999</v>
      </c>
      <c r="CQ60" s="4">
        <v>10.458142</v>
      </c>
      <c r="CU60" s="230" t="s">
        <v>1730</v>
      </c>
      <c r="CV60" s="230" t="s">
        <v>1368</v>
      </c>
    </row>
    <row r="61" spans="1:100" x14ac:dyDescent="0.25">
      <c r="A61" s="2" t="s">
        <v>174</v>
      </c>
      <c r="B61" s="44" t="s">
        <v>792</v>
      </c>
      <c r="C61" s="2" t="s">
        <v>175</v>
      </c>
      <c r="D61" s="3">
        <v>0.58278799999999997</v>
      </c>
      <c r="E61" s="4">
        <v>1.9235543113447773</v>
      </c>
      <c r="BS61" s="3">
        <v>1.0132691</v>
      </c>
      <c r="CQ61" s="4">
        <v>2.2539506</v>
      </c>
      <c r="CU61" s="230" t="s">
        <v>1730</v>
      </c>
      <c r="CV61" s="230" t="s">
        <v>1368</v>
      </c>
    </row>
    <row r="62" spans="1:100" x14ac:dyDescent="0.25">
      <c r="A62" s="2" t="s">
        <v>178</v>
      </c>
      <c r="B62" s="44" t="s">
        <v>792</v>
      </c>
      <c r="C62" s="2" t="s">
        <v>179</v>
      </c>
      <c r="D62" s="4">
        <v>3.868473843137255</v>
      </c>
      <c r="E62" s="4">
        <v>2.2670749021529826</v>
      </c>
      <c r="BS62" s="3">
        <v>8.1017055000000013</v>
      </c>
      <c r="CQ62" s="18" t="s">
        <v>35</v>
      </c>
      <c r="CU62" s="230" t="s">
        <v>1730</v>
      </c>
      <c r="CV62" s="230" t="s">
        <v>1368</v>
      </c>
    </row>
    <row r="63" spans="1:100" x14ac:dyDescent="0.25">
      <c r="A63" s="2" t="s">
        <v>180</v>
      </c>
      <c r="B63" s="44" t="s">
        <v>792</v>
      </c>
      <c r="C63" s="2" t="s">
        <v>181</v>
      </c>
      <c r="D63" s="4">
        <v>9.0424164431372542</v>
      </c>
      <c r="E63" s="4">
        <v>1.4873114688959945</v>
      </c>
      <c r="BS63" s="4">
        <v>12.196891299999999</v>
      </c>
      <c r="CQ63" s="30">
        <v>35.210023599999992</v>
      </c>
      <c r="CS63" s="233" t="s">
        <v>2177</v>
      </c>
      <c r="CU63" s="230" t="s">
        <v>1730</v>
      </c>
      <c r="CV63" s="230" t="s">
        <v>1368</v>
      </c>
    </row>
    <row r="64" spans="1:100" x14ac:dyDescent="0.25">
      <c r="A64" s="2" t="s">
        <v>182</v>
      </c>
      <c r="B64" s="44" t="s">
        <v>792</v>
      </c>
      <c r="C64" s="2" t="s">
        <v>183</v>
      </c>
      <c r="D64" s="3">
        <v>0.65227100000000005</v>
      </c>
      <c r="E64" s="4">
        <v>3.5522949740215344</v>
      </c>
      <c r="BS64" s="3">
        <v>2.3170230000000003</v>
      </c>
      <c r="CQ64" s="18" t="s">
        <v>35</v>
      </c>
      <c r="CU64" s="230" t="s">
        <v>1730</v>
      </c>
      <c r="CV64" s="230" t="s">
        <v>1368</v>
      </c>
    </row>
    <row r="65" spans="1:100" x14ac:dyDescent="0.25">
      <c r="A65" s="2" t="s">
        <v>184</v>
      </c>
      <c r="B65" s="44" t="s">
        <v>792</v>
      </c>
      <c r="C65" s="2" t="s">
        <v>185</v>
      </c>
      <c r="D65" s="4">
        <v>3.7587809999999999</v>
      </c>
      <c r="E65" s="4">
        <v>2.6889031922849456</v>
      </c>
      <c r="BS65" s="3">
        <v>7.7906992000000006</v>
      </c>
      <c r="CQ65" s="18" t="s">
        <v>35</v>
      </c>
      <c r="CU65" s="230" t="s">
        <v>1730</v>
      </c>
      <c r="CV65" s="230" t="s">
        <v>1368</v>
      </c>
    </row>
    <row r="66" spans="1:100" x14ac:dyDescent="0.25">
      <c r="A66" s="2" t="s">
        <v>186</v>
      </c>
      <c r="B66" s="44" t="s">
        <v>792</v>
      </c>
      <c r="C66" s="2" t="s">
        <v>187</v>
      </c>
      <c r="D66" s="7">
        <v>8.2419999999999993E-3</v>
      </c>
      <c r="E66" s="5">
        <v>11.73404513467605</v>
      </c>
      <c r="BS66" s="3">
        <v>7.4578159999999991E-2</v>
      </c>
      <c r="CQ66" s="18" t="s">
        <v>35</v>
      </c>
      <c r="CU66" s="230" t="s">
        <v>1730</v>
      </c>
      <c r="CV66" s="230" t="s">
        <v>1368</v>
      </c>
    </row>
    <row r="67" spans="1:100" ht="15.6" x14ac:dyDescent="0.25">
      <c r="A67" s="2" t="s">
        <v>188</v>
      </c>
      <c r="B67" s="44" t="s">
        <v>792</v>
      </c>
      <c r="C67" s="2" t="s">
        <v>189</v>
      </c>
      <c r="D67" s="5">
        <v>12.926485</v>
      </c>
      <c r="E67" s="4">
        <v>2.2421740327707025</v>
      </c>
      <c r="BS67" s="4">
        <v>27.3887124407442</v>
      </c>
      <c r="CQ67" s="30">
        <v>16.932592100000001</v>
      </c>
      <c r="CS67" s="233" t="s">
        <v>2177</v>
      </c>
      <c r="CU67" s="230" t="s">
        <v>1729</v>
      </c>
      <c r="CV67" s="230" t="s">
        <v>1368</v>
      </c>
    </row>
    <row r="68" spans="1:100" ht="15.6" x14ac:dyDescent="0.25">
      <c r="A68" s="2" t="s">
        <v>190</v>
      </c>
      <c r="B68" s="44" t="s">
        <v>792</v>
      </c>
      <c r="C68" s="2" t="s">
        <v>191</v>
      </c>
      <c r="D68" s="5">
        <v>39.644834159030317</v>
      </c>
      <c r="E68" s="4">
        <v>5.7254132818226111</v>
      </c>
      <c r="BS68" s="5">
        <v>220.21359271766173</v>
      </c>
      <c r="BT68" s="4">
        <v>5.5234143115333199</v>
      </c>
      <c r="CQ68" s="18" t="s">
        <v>35</v>
      </c>
      <c r="CU68" s="230" t="s">
        <v>1729</v>
      </c>
      <c r="CV68" s="230" t="s">
        <v>1368</v>
      </c>
    </row>
    <row r="69" spans="1:100" ht="15.6" x14ac:dyDescent="0.25">
      <c r="A69" s="2" t="s">
        <v>192</v>
      </c>
      <c r="B69" s="44" t="s">
        <v>792</v>
      </c>
      <c r="C69" s="2" t="s">
        <v>206</v>
      </c>
      <c r="D69" s="4">
        <v>2.4799730000000002</v>
      </c>
      <c r="E69" s="4">
        <v>4.2357476633818187</v>
      </c>
      <c r="BS69" s="3">
        <v>9.9379428000000001</v>
      </c>
      <c r="CQ69" s="18" t="s">
        <v>35</v>
      </c>
      <c r="CU69" s="230" t="s">
        <v>1730</v>
      </c>
      <c r="CV69" s="230" t="s">
        <v>1368</v>
      </c>
    </row>
    <row r="70" spans="1:100" x14ac:dyDescent="0.25">
      <c r="A70" s="2" t="s">
        <v>193</v>
      </c>
      <c r="B70" s="44" t="s">
        <v>792</v>
      </c>
      <c r="C70" s="2" t="s">
        <v>194</v>
      </c>
      <c r="D70" s="5">
        <v>44.069764999999997</v>
      </c>
      <c r="E70" s="4">
        <v>2.5757041646278109</v>
      </c>
      <c r="BS70" s="5">
        <v>102.93145240000001</v>
      </c>
      <c r="CQ70" s="4">
        <v>8.6549929999999993</v>
      </c>
      <c r="CS70" s="233" t="s">
        <v>2177</v>
      </c>
      <c r="CU70" s="230" t="s">
        <v>1730</v>
      </c>
      <c r="CV70" s="230" t="s">
        <v>1368</v>
      </c>
    </row>
    <row r="71" spans="1:100" x14ac:dyDescent="0.25">
      <c r="A71" s="2" t="s">
        <v>195</v>
      </c>
      <c r="B71" s="44" t="s">
        <v>792</v>
      </c>
      <c r="C71" s="2" t="s">
        <v>196</v>
      </c>
      <c r="D71" s="4">
        <v>9.1813359999999999</v>
      </c>
      <c r="E71" s="4">
        <v>2.7895827472805039</v>
      </c>
      <c r="BS71" s="4">
        <v>24.287596463000003</v>
      </c>
      <c r="CQ71" s="18" t="s">
        <v>35</v>
      </c>
      <c r="CU71" s="230" t="s">
        <v>1730</v>
      </c>
      <c r="CV71" s="230" t="s">
        <v>1368</v>
      </c>
    </row>
    <row r="72" spans="1:100" x14ac:dyDescent="0.25">
      <c r="A72" s="2" t="s">
        <v>197</v>
      </c>
      <c r="B72" s="44" t="s">
        <v>792</v>
      </c>
      <c r="C72" s="2" t="s">
        <v>198</v>
      </c>
      <c r="D72" s="3">
        <v>0.34197</v>
      </c>
      <c r="E72" s="4">
        <v>1.7831460290890067</v>
      </c>
      <c r="BS72" s="3">
        <v>0.56404876400000004</v>
      </c>
      <c r="CQ72" s="18" t="s">
        <v>35</v>
      </c>
      <c r="CU72" s="230" t="s">
        <v>1730</v>
      </c>
      <c r="CV72" s="230" t="s">
        <v>1368</v>
      </c>
    </row>
    <row r="73" spans="1:100" x14ac:dyDescent="0.25">
      <c r="A73" s="2" t="s">
        <v>200</v>
      </c>
      <c r="B73" s="44" t="s">
        <v>792</v>
      </c>
      <c r="C73" s="2" t="s">
        <v>199</v>
      </c>
      <c r="D73" s="4">
        <v>6.8075140256362623</v>
      </c>
      <c r="E73" s="4">
        <v>4.6505280134722726</v>
      </c>
      <c r="BS73" s="4">
        <v>29.897276441189859</v>
      </c>
      <c r="CQ73" s="4">
        <v>29.546218799999998</v>
      </c>
      <c r="CU73" s="230" t="s">
        <v>1730</v>
      </c>
      <c r="CV73" s="230" t="s">
        <v>1368</v>
      </c>
    </row>
    <row r="74" spans="1:100" x14ac:dyDescent="0.25">
      <c r="A74" s="2" t="s">
        <v>201</v>
      </c>
      <c r="B74" s="44" t="s">
        <v>792</v>
      </c>
      <c r="C74" s="2" t="s">
        <v>202</v>
      </c>
      <c r="D74" s="4">
        <v>3.8593057007864302</v>
      </c>
      <c r="E74" s="4">
        <v>2.6743100333575862</v>
      </c>
      <c r="BS74" s="3">
        <v>9.4157311150237195</v>
      </c>
      <c r="CQ74" s="4">
        <v>19.128234200000001</v>
      </c>
      <c r="CU74" s="230" t="s">
        <v>1730</v>
      </c>
      <c r="CV74" s="230" t="s">
        <v>1368</v>
      </c>
    </row>
    <row r="75" spans="1:100" ht="15.6" x14ac:dyDescent="0.25">
      <c r="A75" s="2" t="s">
        <v>205</v>
      </c>
      <c r="B75" s="44" t="s">
        <v>792</v>
      </c>
      <c r="C75" s="2" t="s">
        <v>161</v>
      </c>
      <c r="D75" s="5">
        <v>11.182774999999999</v>
      </c>
      <c r="E75" s="4">
        <v>2.7045580224944166</v>
      </c>
      <c r="BS75" s="4">
        <v>29.149097000000001</v>
      </c>
      <c r="CQ75" s="30">
        <v>34.171573600000002</v>
      </c>
      <c r="CS75" s="233" t="s">
        <v>2177</v>
      </c>
      <c r="CU75" s="230" t="s">
        <v>1729</v>
      </c>
      <c r="CV75" s="230" t="s">
        <v>1368</v>
      </c>
    </row>
    <row r="76" spans="1:100" ht="15.6" x14ac:dyDescent="0.25">
      <c r="A76" s="2" t="s">
        <v>1495</v>
      </c>
      <c r="B76" s="44" t="s">
        <v>792</v>
      </c>
      <c r="C76" s="2" t="s">
        <v>207</v>
      </c>
      <c r="D76" s="3">
        <v>0.8479909836666667</v>
      </c>
      <c r="E76" s="4">
        <v>6.5101204664730039</v>
      </c>
      <c r="BS76" s="3">
        <v>5.1476137742401411</v>
      </c>
      <c r="CQ76" s="4">
        <v>0.35821399999999998</v>
      </c>
      <c r="CS76" s="233" t="s">
        <v>2177</v>
      </c>
      <c r="CU76" s="230" t="s">
        <v>1730</v>
      </c>
      <c r="CV76" s="230" t="s">
        <v>1368</v>
      </c>
    </row>
    <row r="77" spans="1:100" ht="15.6" x14ac:dyDescent="0.25">
      <c r="A77" s="2" t="s">
        <v>208</v>
      </c>
      <c r="B77" s="44" t="s">
        <v>792</v>
      </c>
      <c r="C77" s="2" t="s">
        <v>209</v>
      </c>
      <c r="D77" s="3">
        <v>5.5911477777777781E-2</v>
      </c>
      <c r="E77" s="4">
        <v>2.2255152817956478</v>
      </c>
      <c r="BS77" s="3">
        <v>9.2327805666666679E-2</v>
      </c>
      <c r="CQ77" s="18" t="s">
        <v>35</v>
      </c>
      <c r="CU77" s="230" t="s">
        <v>1730</v>
      </c>
      <c r="CV77" s="230" t="s">
        <v>1368</v>
      </c>
    </row>
    <row r="78" spans="1:100" x14ac:dyDescent="0.25">
      <c r="A78" s="2" t="s">
        <v>211</v>
      </c>
      <c r="B78" s="44" t="s">
        <v>792</v>
      </c>
      <c r="C78" s="2" t="s">
        <v>210</v>
      </c>
      <c r="D78" s="4">
        <v>5.9932759999999998</v>
      </c>
      <c r="E78" s="4">
        <v>2.3700414531217984</v>
      </c>
      <c r="BS78" s="4">
        <v>13.1618468325</v>
      </c>
      <c r="CQ78" s="30">
        <v>12.06326908</v>
      </c>
      <c r="CS78" s="233" t="s">
        <v>2177</v>
      </c>
      <c r="CU78" s="230" t="s">
        <v>1730</v>
      </c>
      <c r="CV78" s="230" t="s">
        <v>1368</v>
      </c>
    </row>
    <row r="79" spans="1:100" x14ac:dyDescent="0.25">
      <c r="A79" s="2" t="s">
        <v>212</v>
      </c>
      <c r="B79" s="44" t="s">
        <v>792</v>
      </c>
      <c r="C79" s="2" t="s">
        <v>213</v>
      </c>
      <c r="D79" s="5">
        <v>30.375176</v>
      </c>
      <c r="E79" s="4">
        <v>1.5652751045788178</v>
      </c>
      <c r="BS79" s="4">
        <v>44.772959499999999</v>
      </c>
      <c r="CQ79" s="30">
        <v>134.01885519999999</v>
      </c>
      <c r="CS79" s="233" t="s">
        <v>2177</v>
      </c>
      <c r="CU79" s="230" t="s">
        <v>1730</v>
      </c>
      <c r="CV79" s="230" t="s">
        <v>1368</v>
      </c>
    </row>
    <row r="80" spans="1:100" ht="15.6" x14ac:dyDescent="0.25">
      <c r="A80" s="2" t="s">
        <v>55</v>
      </c>
      <c r="B80" s="44" t="s">
        <v>792</v>
      </c>
      <c r="C80" s="2" t="s">
        <v>214</v>
      </c>
      <c r="D80" s="4">
        <v>4.2393369999999999</v>
      </c>
      <c r="E80" s="4">
        <v>2.0821255116071211</v>
      </c>
      <c r="BS80" s="3">
        <v>7.8963210999999998</v>
      </c>
      <c r="CQ80" s="18" t="s">
        <v>35</v>
      </c>
      <c r="CU80" s="230" t="s">
        <v>1729</v>
      </c>
      <c r="CV80" s="230" t="s">
        <v>1368</v>
      </c>
    </row>
    <row r="81" spans="1:100" x14ac:dyDescent="0.25">
      <c r="A81" s="2" t="s">
        <v>215</v>
      </c>
      <c r="B81" s="44" t="s">
        <v>792</v>
      </c>
      <c r="C81" s="2" t="s">
        <v>216</v>
      </c>
      <c r="D81" s="4">
        <v>7.5573090000000001</v>
      </c>
      <c r="E81" s="4">
        <v>5.0693716414136309</v>
      </c>
      <c r="BS81" s="4">
        <v>35.879426999999993</v>
      </c>
      <c r="CQ81" s="4">
        <v>7.1462908000000001</v>
      </c>
      <c r="CS81" s="233" t="s">
        <v>2177</v>
      </c>
      <c r="CU81" s="230" t="s">
        <v>1730</v>
      </c>
      <c r="CV81" s="230" t="s">
        <v>1368</v>
      </c>
    </row>
    <row r="82" spans="1:100" x14ac:dyDescent="0.25">
      <c r="A82" s="2" t="s">
        <v>217</v>
      </c>
      <c r="B82" s="44" t="s">
        <v>792</v>
      </c>
      <c r="C82" s="2" t="s">
        <v>218</v>
      </c>
      <c r="D82" s="4">
        <v>6.6996909999999996</v>
      </c>
      <c r="E82" s="4">
        <v>3.1030965502737367</v>
      </c>
      <c r="BS82" s="4">
        <v>18.961013999999999</v>
      </c>
      <c r="CQ82" s="18" t="s">
        <v>35</v>
      </c>
      <c r="CU82" s="230" t="s">
        <v>1730</v>
      </c>
      <c r="CV82" s="230" t="s">
        <v>1368</v>
      </c>
    </row>
    <row r="83" spans="1:100" x14ac:dyDescent="0.25">
      <c r="A83" s="2" t="s">
        <v>219</v>
      </c>
      <c r="B83" s="44" t="s">
        <v>792</v>
      </c>
      <c r="C83" s="2">
        <v>1989</v>
      </c>
      <c r="D83" s="3">
        <v>2.2915999999999999E-2</v>
      </c>
      <c r="E83" s="4">
        <v>5.7069999999999999</v>
      </c>
      <c r="BS83" s="3">
        <v>0.13078300000000001</v>
      </c>
      <c r="CQ83" s="18" t="s">
        <v>35</v>
      </c>
      <c r="CU83" s="230" t="s">
        <v>1730</v>
      </c>
      <c r="CV83" s="230" t="s">
        <v>1368</v>
      </c>
    </row>
    <row r="84" spans="1:100" x14ac:dyDescent="0.25">
      <c r="A84" s="2" t="s">
        <v>220</v>
      </c>
      <c r="B84" s="44" t="s">
        <v>792</v>
      </c>
      <c r="C84" s="2" t="s">
        <v>221</v>
      </c>
      <c r="D84" s="4">
        <v>4.8647609999999997</v>
      </c>
      <c r="E84" s="4">
        <v>3.675158917365108</v>
      </c>
      <c r="BS84" s="4">
        <v>17.143253000000001</v>
      </c>
      <c r="CQ84" s="18" t="s">
        <v>35</v>
      </c>
      <c r="CU84" s="230" t="s">
        <v>1730</v>
      </c>
      <c r="CV84" s="230" t="s">
        <v>1368</v>
      </c>
    </row>
    <row r="85" spans="1:100" ht="15.6" x14ac:dyDescent="0.25">
      <c r="A85" s="2" t="s">
        <v>222</v>
      </c>
      <c r="B85" s="44" t="s">
        <v>792</v>
      </c>
      <c r="C85" s="2" t="s">
        <v>104</v>
      </c>
      <c r="D85" s="4">
        <v>3.5179999999999998</v>
      </c>
      <c r="E85" s="4">
        <v>2.9698777714610576</v>
      </c>
      <c r="BS85" s="4">
        <v>9.8408797000000003</v>
      </c>
      <c r="CQ85" s="18" t="s">
        <v>35</v>
      </c>
      <c r="CU85" s="230" t="s">
        <v>1729</v>
      </c>
      <c r="CV85" s="230" t="s">
        <v>1368</v>
      </c>
    </row>
    <row r="86" spans="1:100" x14ac:dyDescent="0.25">
      <c r="A86" s="2" t="s">
        <v>223</v>
      </c>
      <c r="B86" s="44" t="s">
        <v>792</v>
      </c>
      <c r="C86" s="2" t="s">
        <v>224</v>
      </c>
      <c r="D86" s="4">
        <v>6.5070585988072649</v>
      </c>
      <c r="E86" s="4">
        <v>1.3514164593803606</v>
      </c>
      <c r="BS86" s="3">
        <v>7.3321360000000002</v>
      </c>
      <c r="CQ86" s="4">
        <v>1.1049897599999998</v>
      </c>
      <c r="CS86" s="233" t="s">
        <v>2177</v>
      </c>
      <c r="CU86" s="230" t="s">
        <v>1730</v>
      </c>
      <c r="CV86" s="230" t="s">
        <v>1368</v>
      </c>
    </row>
    <row r="87" spans="1:100" x14ac:dyDescent="0.25">
      <c r="A87" s="2" t="s">
        <v>225</v>
      </c>
      <c r="B87" s="44" t="s">
        <v>792</v>
      </c>
      <c r="C87" s="2" t="s">
        <v>226</v>
      </c>
      <c r="D87" s="4">
        <v>3.7086619999999999</v>
      </c>
      <c r="E87" s="4">
        <v>2.1111721747627583</v>
      </c>
      <c r="BS87" s="3">
        <v>6.9798663000000003</v>
      </c>
      <c r="CQ87" s="30">
        <v>34.146055600000004</v>
      </c>
      <c r="CS87" s="233" t="s">
        <v>2177</v>
      </c>
      <c r="CU87" s="230" t="s">
        <v>1730</v>
      </c>
      <c r="CV87" s="230" t="s">
        <v>1368</v>
      </c>
    </row>
    <row r="88" spans="1:100" ht="15.6" x14ac:dyDescent="0.25">
      <c r="A88" s="2" t="s">
        <v>227</v>
      </c>
      <c r="B88" s="44" t="s">
        <v>792</v>
      </c>
      <c r="C88" s="2" t="s">
        <v>30</v>
      </c>
      <c r="D88" s="5">
        <v>12.515703</v>
      </c>
      <c r="E88" s="4">
        <v>2.4357003601125755</v>
      </c>
      <c r="BS88" s="4">
        <v>26.675185300000003</v>
      </c>
      <c r="CQ88" s="30">
        <v>22.3550042</v>
      </c>
      <c r="CS88" s="233" t="s">
        <v>2177</v>
      </c>
      <c r="CU88" s="230" t="s">
        <v>1729</v>
      </c>
      <c r="CV88" s="230" t="s">
        <v>1368</v>
      </c>
    </row>
    <row r="89" spans="1:100" x14ac:dyDescent="0.25">
      <c r="A89" s="2" t="s">
        <v>228</v>
      </c>
      <c r="B89" s="44" t="s">
        <v>792</v>
      </c>
      <c r="C89" s="2" t="s">
        <v>229</v>
      </c>
      <c r="D89" s="3">
        <v>0.71816899999999995</v>
      </c>
      <c r="E89" s="4">
        <v>2.3182200429146902</v>
      </c>
      <c r="BS89" s="3">
        <v>1.66487377</v>
      </c>
      <c r="CQ89" s="18" t="s">
        <v>35</v>
      </c>
      <c r="CU89" s="230" t="s">
        <v>1730</v>
      </c>
      <c r="CV89" s="230" t="s">
        <v>1368</v>
      </c>
    </row>
    <row r="90" spans="1:100" x14ac:dyDescent="0.25">
      <c r="A90" s="2" t="s">
        <v>230</v>
      </c>
      <c r="B90" s="44" t="s">
        <v>792</v>
      </c>
      <c r="C90" s="2" t="s">
        <v>218</v>
      </c>
      <c r="D90" s="4">
        <v>3.2148534325472125</v>
      </c>
      <c r="E90" s="4">
        <v>3.5420347565904602</v>
      </c>
      <c r="BS90" s="4">
        <v>10.7753414</v>
      </c>
      <c r="CQ90" s="4">
        <v>1.33</v>
      </c>
      <c r="CS90" s="233" t="s">
        <v>2177</v>
      </c>
      <c r="CU90" s="230" t="s">
        <v>1730</v>
      </c>
      <c r="CV90" s="230" t="s">
        <v>1368</v>
      </c>
    </row>
    <row r="91" spans="1:100" ht="15.6" x14ac:dyDescent="0.25">
      <c r="A91" s="2" t="s">
        <v>231</v>
      </c>
      <c r="B91" s="44" t="s">
        <v>792</v>
      </c>
      <c r="C91" s="2" t="s">
        <v>161</v>
      </c>
      <c r="D91" s="5">
        <v>20.234992999999999</v>
      </c>
      <c r="E91" s="4">
        <v>3.1808192036439058</v>
      </c>
      <c r="BS91" s="4">
        <v>60.9356917</v>
      </c>
      <c r="CQ91" s="30">
        <v>51.976687200000001</v>
      </c>
      <c r="CS91" s="233" t="s">
        <v>2177</v>
      </c>
      <c r="CU91" s="230" t="s">
        <v>1729</v>
      </c>
      <c r="CV91" s="230" t="s">
        <v>1368</v>
      </c>
    </row>
    <row r="92" spans="1:100" x14ac:dyDescent="0.25">
      <c r="A92" s="2" t="s">
        <v>232</v>
      </c>
      <c r="B92" s="44" t="s">
        <v>792</v>
      </c>
      <c r="C92" s="2" t="s">
        <v>233</v>
      </c>
      <c r="D92" s="4">
        <v>1.62014942</v>
      </c>
      <c r="E92" s="4">
        <v>3.7946494925415242</v>
      </c>
      <c r="BS92" s="3">
        <v>5.5345993117500001</v>
      </c>
      <c r="CQ92" s="30">
        <v>4.2</v>
      </c>
      <c r="CS92" s="233" t="s">
        <v>2177</v>
      </c>
      <c r="CU92" s="230" t="s">
        <v>1730</v>
      </c>
      <c r="CV92" s="230" t="s">
        <v>1368</v>
      </c>
    </row>
    <row r="93" spans="1:100" x14ac:dyDescent="0.25">
      <c r="A93" s="2" t="s">
        <v>234</v>
      </c>
      <c r="B93" s="44" t="s">
        <v>792</v>
      </c>
      <c r="C93" s="2" t="s">
        <v>235</v>
      </c>
      <c r="D93" s="3">
        <v>0.39146199999999998</v>
      </c>
      <c r="E93" s="4">
        <v>3.1603372230254791</v>
      </c>
      <c r="BS93" s="3">
        <v>1.1240784000000001</v>
      </c>
      <c r="CQ93" s="4">
        <v>4.2396344000000008</v>
      </c>
      <c r="CS93" s="233" t="s">
        <v>2177</v>
      </c>
      <c r="CU93" s="230" t="s">
        <v>1730</v>
      </c>
      <c r="CV93" s="230" t="s">
        <v>1368</v>
      </c>
    </row>
    <row r="94" spans="1:100" x14ac:dyDescent="0.25">
      <c r="A94" s="2" t="s">
        <v>236</v>
      </c>
      <c r="B94" s="44" t="s">
        <v>792</v>
      </c>
      <c r="C94" s="2" t="s">
        <v>237</v>
      </c>
      <c r="D94" s="4">
        <v>4.2253350000000003</v>
      </c>
      <c r="E94" s="4">
        <v>4.7051342745604785</v>
      </c>
      <c r="BS94" s="4">
        <v>18.844485199999998</v>
      </c>
      <c r="CQ94" s="4">
        <v>3.4255360000000001</v>
      </c>
      <c r="CS94" s="233" t="s">
        <v>2177</v>
      </c>
      <c r="CU94" s="230" t="s">
        <v>1730</v>
      </c>
      <c r="CV94" s="230" t="s">
        <v>1368</v>
      </c>
    </row>
    <row r="95" spans="1:100" ht="15.6" x14ac:dyDescent="0.25">
      <c r="A95" s="2" t="s">
        <v>238</v>
      </c>
      <c r="B95" s="44" t="s">
        <v>792</v>
      </c>
      <c r="C95" s="2" t="s">
        <v>239</v>
      </c>
      <c r="D95" s="3">
        <v>0.27831</v>
      </c>
      <c r="E95" s="4">
        <v>1.4473651683374655</v>
      </c>
      <c r="BS95" s="3">
        <v>0.38130577440000002</v>
      </c>
      <c r="CQ95" s="4">
        <v>1.1694</v>
      </c>
      <c r="CS95" s="233" t="s">
        <v>2177</v>
      </c>
      <c r="CU95" s="230" t="s">
        <v>1729</v>
      </c>
      <c r="CV95" s="230" t="s">
        <v>1368</v>
      </c>
    </row>
    <row r="96" spans="1:100" x14ac:dyDescent="0.25">
      <c r="A96" s="2" t="s">
        <v>240</v>
      </c>
      <c r="B96" s="44" t="s">
        <v>792</v>
      </c>
      <c r="C96" s="2" t="s">
        <v>241</v>
      </c>
      <c r="D96" s="4">
        <v>1.1461220000000001</v>
      </c>
      <c r="E96" s="4">
        <v>2.1882608214388957</v>
      </c>
      <c r="BS96" s="3">
        <v>2.3143238154999999</v>
      </c>
      <c r="CQ96" s="4">
        <v>0.45538974999999998</v>
      </c>
      <c r="CS96" s="233" t="s">
        <v>2177</v>
      </c>
      <c r="CU96" s="230" t="s">
        <v>1730</v>
      </c>
      <c r="CV96" s="230" t="s">
        <v>1368</v>
      </c>
    </row>
    <row r="97" spans="1:100" x14ac:dyDescent="0.25">
      <c r="A97" s="2" t="s">
        <v>242</v>
      </c>
      <c r="B97" s="44" t="s">
        <v>792</v>
      </c>
      <c r="C97" s="2" t="s">
        <v>213</v>
      </c>
      <c r="D97" s="5">
        <v>28.600529000000002</v>
      </c>
      <c r="E97" s="4">
        <v>1.7618552499500968</v>
      </c>
      <c r="BS97" s="4">
        <v>47.566239099999997</v>
      </c>
      <c r="CQ97" s="30">
        <v>43.692322150000003</v>
      </c>
      <c r="CS97" s="233" t="s">
        <v>2177</v>
      </c>
      <c r="CU97" s="230" t="s">
        <v>1730</v>
      </c>
      <c r="CV97" s="230" t="s">
        <v>1368</v>
      </c>
    </row>
    <row r="98" spans="1:100" x14ac:dyDescent="0.25">
      <c r="A98" s="2" t="s">
        <v>244</v>
      </c>
      <c r="B98" s="44" t="s">
        <v>792</v>
      </c>
      <c r="C98" s="2" t="s">
        <v>243</v>
      </c>
      <c r="D98" s="3">
        <v>0.56323000000000001</v>
      </c>
      <c r="E98" s="4">
        <v>2.9216865401345808</v>
      </c>
      <c r="BS98" s="3">
        <v>1.4435065</v>
      </c>
      <c r="CQ98" s="4">
        <v>8.4021000000000008</v>
      </c>
      <c r="CU98" s="230" t="s">
        <v>1730</v>
      </c>
      <c r="CV98" s="230" t="s">
        <v>1368</v>
      </c>
    </row>
    <row r="99" spans="1:100" x14ac:dyDescent="0.25">
      <c r="A99" s="2" t="s">
        <v>245</v>
      </c>
      <c r="B99" s="44" t="s">
        <v>792</v>
      </c>
      <c r="C99" s="2" t="s">
        <v>246</v>
      </c>
      <c r="D99" s="4">
        <v>3.0738780000000001</v>
      </c>
      <c r="E99" s="4">
        <v>2.7948217788734619</v>
      </c>
      <c r="BS99" s="3">
        <v>8.4593866000000002</v>
      </c>
      <c r="CQ99" s="18" t="s">
        <v>35</v>
      </c>
      <c r="CU99" s="230" t="s">
        <v>1730</v>
      </c>
      <c r="CV99" s="230" t="s">
        <v>1368</v>
      </c>
    </row>
    <row r="100" spans="1:100" x14ac:dyDescent="0.25">
      <c r="A100" s="2" t="s">
        <v>247</v>
      </c>
      <c r="B100" s="44" t="s">
        <v>792</v>
      </c>
      <c r="C100" s="2" t="s">
        <v>248</v>
      </c>
      <c r="D100" s="3">
        <v>0.34228700000000001</v>
      </c>
      <c r="E100" s="4">
        <v>2.3252352557941145</v>
      </c>
      <c r="BS100" s="3">
        <v>0.74235700000000004</v>
      </c>
      <c r="CQ100" s="4">
        <v>3.2333504</v>
      </c>
      <c r="CU100" s="230" t="s">
        <v>1730</v>
      </c>
      <c r="CV100" s="230" t="s">
        <v>1368</v>
      </c>
    </row>
    <row r="101" spans="1:100" ht="15.6" x14ac:dyDescent="0.25">
      <c r="A101" s="2" t="s">
        <v>249</v>
      </c>
      <c r="B101" s="44" t="s">
        <v>792</v>
      </c>
      <c r="C101" s="2" t="s">
        <v>172</v>
      </c>
      <c r="D101" s="168" t="s">
        <v>1787</v>
      </c>
      <c r="E101" s="4" t="s">
        <v>1788</v>
      </c>
      <c r="BS101" s="4">
        <v>30.134279899999999</v>
      </c>
      <c r="CQ101" s="30">
        <v>30.7</v>
      </c>
      <c r="CR101" s="233" t="s">
        <v>1368</v>
      </c>
      <c r="CS101" s="233" t="s">
        <v>2177</v>
      </c>
      <c r="CU101" s="230" t="s">
        <v>1730</v>
      </c>
      <c r="CV101" s="230" t="s">
        <v>1368</v>
      </c>
    </row>
    <row r="102" spans="1:100" x14ac:dyDescent="0.25">
      <c r="A102" s="2" t="s">
        <v>250</v>
      </c>
      <c r="B102" s="44" t="s">
        <v>792</v>
      </c>
      <c r="C102" s="2" t="s">
        <v>179</v>
      </c>
      <c r="D102" s="4">
        <v>8.8061849999999993</v>
      </c>
      <c r="E102" s="4">
        <v>1.9726605282818082</v>
      </c>
      <c r="BS102" s="4">
        <v>16.089903775</v>
      </c>
      <c r="CQ102" s="30">
        <v>13.547499</v>
      </c>
      <c r="CS102" s="233" t="s">
        <v>2177</v>
      </c>
      <c r="CU102" s="230" t="s">
        <v>1730</v>
      </c>
      <c r="CV102" s="230" t="s">
        <v>1368</v>
      </c>
    </row>
    <row r="103" spans="1:100" x14ac:dyDescent="0.25">
      <c r="A103" s="2" t="s">
        <v>252</v>
      </c>
      <c r="B103" s="44" t="s">
        <v>792</v>
      </c>
      <c r="C103" s="2">
        <v>1995</v>
      </c>
      <c r="D103" s="3">
        <v>0.17313600000000001</v>
      </c>
      <c r="E103" s="2">
        <v>5.03</v>
      </c>
      <c r="BS103" s="3">
        <v>0.87080000000000002</v>
      </c>
      <c r="CQ103" s="18" t="s">
        <v>35</v>
      </c>
      <c r="CU103" s="230" t="s">
        <v>1730</v>
      </c>
      <c r="CV103" s="230" t="s">
        <v>1368</v>
      </c>
    </row>
    <row r="104" spans="1:100" x14ac:dyDescent="0.25">
      <c r="A104" s="2" t="s">
        <v>254</v>
      </c>
      <c r="B104" s="44" t="s">
        <v>792</v>
      </c>
      <c r="C104" s="2" t="s">
        <v>253</v>
      </c>
      <c r="D104" s="4">
        <v>1.0702780000000001</v>
      </c>
      <c r="E104" s="4">
        <v>4.3931432767935066</v>
      </c>
      <c r="BS104" s="3">
        <v>4.3697366000000004</v>
      </c>
      <c r="CQ104" s="18" t="s">
        <v>35</v>
      </c>
      <c r="CU104" s="230" t="s">
        <v>1730</v>
      </c>
      <c r="CV104" s="230" t="s">
        <v>1368</v>
      </c>
    </row>
    <row r="105" spans="1:100" ht="15.6" x14ac:dyDescent="0.25">
      <c r="A105" s="2" t="s">
        <v>256</v>
      </c>
      <c r="B105" s="44" t="s">
        <v>792</v>
      </c>
      <c r="C105" s="2" t="s">
        <v>255</v>
      </c>
      <c r="D105" s="4">
        <v>1.2694620000000001</v>
      </c>
      <c r="E105" s="4">
        <v>6.3182956480776893</v>
      </c>
      <c r="BS105" s="3">
        <v>7.5206642000000006</v>
      </c>
      <c r="CQ105" s="18" t="s">
        <v>35</v>
      </c>
      <c r="CU105" s="230" t="s">
        <v>1729</v>
      </c>
      <c r="CV105" s="230" t="s">
        <v>1368</v>
      </c>
    </row>
    <row r="106" spans="1:100" x14ac:dyDescent="0.25">
      <c r="A106" s="2" t="s">
        <v>257</v>
      </c>
      <c r="B106" s="44" t="s">
        <v>792</v>
      </c>
      <c r="C106" s="2" t="s">
        <v>258</v>
      </c>
      <c r="D106" s="4">
        <v>7.234775</v>
      </c>
      <c r="E106" s="4">
        <v>1.4418554163743864</v>
      </c>
      <c r="BS106" s="3">
        <v>9.5640585999999992</v>
      </c>
      <c r="CQ106" s="18" t="s">
        <v>35</v>
      </c>
      <c r="CU106" s="230" t="s">
        <v>1730</v>
      </c>
      <c r="CV106" s="230" t="s">
        <v>1368</v>
      </c>
    </row>
    <row r="107" spans="1:100" ht="15.6" x14ac:dyDescent="0.25">
      <c r="A107" s="2" t="s">
        <v>259</v>
      </c>
      <c r="B107" s="44" t="s">
        <v>792</v>
      </c>
      <c r="C107" s="2" t="s">
        <v>261</v>
      </c>
      <c r="D107" s="5">
        <v>16.426498576271186</v>
      </c>
      <c r="E107" s="4">
        <v>1.3700176934144614</v>
      </c>
      <c r="BS107" s="4">
        <v>20.7742091</v>
      </c>
      <c r="CQ107" s="30">
        <v>145.54602299999999</v>
      </c>
      <c r="CS107" s="233" t="s">
        <v>2177</v>
      </c>
      <c r="CU107" s="230" t="s">
        <v>1729</v>
      </c>
      <c r="CV107" s="230" t="s">
        <v>1368</v>
      </c>
    </row>
    <row r="108" spans="1:100" x14ac:dyDescent="0.25">
      <c r="A108" s="2" t="s">
        <v>260</v>
      </c>
      <c r="B108" s="44" t="s">
        <v>792</v>
      </c>
      <c r="C108" s="2" t="s">
        <v>235</v>
      </c>
      <c r="D108" s="3">
        <v>0.34146500000000002</v>
      </c>
      <c r="E108" s="4">
        <v>7.6125435696191426</v>
      </c>
      <c r="BS108" s="3">
        <v>2.4921052000000001</v>
      </c>
      <c r="CQ108" s="18" t="s">
        <v>35</v>
      </c>
      <c r="CU108" s="230" t="s">
        <v>1730</v>
      </c>
      <c r="CV108" s="230" t="s">
        <v>1368</v>
      </c>
    </row>
    <row r="109" spans="1:100" x14ac:dyDescent="0.25">
      <c r="A109" s="2" t="s">
        <v>54</v>
      </c>
      <c r="B109" s="44" t="s">
        <v>792</v>
      </c>
      <c r="C109" s="2" t="s">
        <v>262</v>
      </c>
      <c r="D109" s="3">
        <v>0.20410900000000001</v>
      </c>
      <c r="E109" s="4">
        <v>2.6098924104277619</v>
      </c>
      <c r="BS109" s="3">
        <v>0.47536349999999999</v>
      </c>
      <c r="CQ109" s="18" t="s">
        <v>35</v>
      </c>
      <c r="CU109" s="230" t="s">
        <v>1730</v>
      </c>
      <c r="CV109" s="230" t="s">
        <v>1368</v>
      </c>
    </row>
    <row r="110" spans="1:100" x14ac:dyDescent="0.25">
      <c r="A110" s="2" t="s">
        <v>263</v>
      </c>
      <c r="B110" s="44" t="s">
        <v>792</v>
      </c>
      <c r="C110" s="2" t="s">
        <v>264</v>
      </c>
      <c r="D110" s="3">
        <v>0.46801100000000001</v>
      </c>
      <c r="E110" s="4">
        <v>4.5284215755612589</v>
      </c>
      <c r="BS110" s="3">
        <v>2.0493656000000002</v>
      </c>
      <c r="CQ110" s="18" t="s">
        <v>35</v>
      </c>
      <c r="CU110" s="230" t="s">
        <v>1730</v>
      </c>
      <c r="CV110" s="230" t="s">
        <v>1368</v>
      </c>
    </row>
    <row r="111" spans="1:100" x14ac:dyDescent="0.25">
      <c r="A111" s="2" t="s">
        <v>266</v>
      </c>
      <c r="B111" s="44" t="s">
        <v>792</v>
      </c>
      <c r="C111" s="2" t="s">
        <v>267</v>
      </c>
      <c r="D111" s="3">
        <v>0.85945899999999997</v>
      </c>
      <c r="E111" s="4">
        <v>3.3886513260085702</v>
      </c>
      <c r="BS111" s="3">
        <v>2.7527542999999999</v>
      </c>
      <c r="CQ111" s="18" t="s">
        <v>35</v>
      </c>
      <c r="CU111" s="230" t="s">
        <v>1730</v>
      </c>
      <c r="CV111" s="230" t="s">
        <v>1368</v>
      </c>
    </row>
    <row r="112" spans="1:100" x14ac:dyDescent="0.25">
      <c r="A112" s="2" t="s">
        <v>265</v>
      </c>
      <c r="B112" s="44" t="s">
        <v>792</v>
      </c>
      <c r="C112" s="2" t="s">
        <v>268</v>
      </c>
      <c r="D112" s="3">
        <v>0.60425503063063057</v>
      </c>
      <c r="E112" s="4">
        <v>3.7904698443329559</v>
      </c>
      <c r="BS112" s="3">
        <v>2.2506044229000004</v>
      </c>
      <c r="CQ112" s="18" t="s">
        <v>35</v>
      </c>
      <c r="CU112" s="230" t="s">
        <v>1730</v>
      </c>
      <c r="CV112" s="230" t="s">
        <v>1368</v>
      </c>
    </row>
    <row r="113" spans="1:100" ht="15.6" x14ac:dyDescent="0.25">
      <c r="A113" s="2" t="s">
        <v>269</v>
      </c>
      <c r="B113" s="44" t="s">
        <v>792</v>
      </c>
      <c r="C113" s="2" t="s">
        <v>270</v>
      </c>
      <c r="D113" s="5">
        <v>37.550063000000002</v>
      </c>
      <c r="E113" s="4">
        <v>2.1274304527797998</v>
      </c>
      <c r="BS113" s="4">
        <v>73.049130000000005</v>
      </c>
      <c r="CQ113" s="30">
        <v>51.333025999999997</v>
      </c>
      <c r="CS113" s="233" t="s">
        <v>2177</v>
      </c>
      <c r="CU113" s="230" t="s">
        <v>1729</v>
      </c>
      <c r="CV113" s="230" t="s">
        <v>1368</v>
      </c>
    </row>
    <row r="114" spans="1:100" x14ac:dyDescent="0.25">
      <c r="A114" s="2" t="s">
        <v>271</v>
      </c>
      <c r="B114" s="44" t="s">
        <v>792</v>
      </c>
      <c r="C114" s="2" t="s">
        <v>224</v>
      </c>
      <c r="D114" s="5">
        <v>57.036192841999998</v>
      </c>
      <c r="E114" s="4">
        <v>0.69139730827372659</v>
      </c>
      <c r="BS114" s="4">
        <v>19.392167178299999</v>
      </c>
      <c r="CQ114" s="227" t="s">
        <v>2193</v>
      </c>
      <c r="CU114" s="230" t="s">
        <v>1730</v>
      </c>
      <c r="CV114" s="230" t="s">
        <v>1368</v>
      </c>
    </row>
    <row r="115" spans="1:100" ht="15.6" x14ac:dyDescent="0.25">
      <c r="A115" s="2" t="s">
        <v>272</v>
      </c>
      <c r="B115" s="44" t="s">
        <v>792</v>
      </c>
      <c r="C115" s="2" t="s">
        <v>104</v>
      </c>
      <c r="D115" s="5">
        <v>16.053318000000001</v>
      </c>
      <c r="E115" s="4">
        <v>1.7258823316151837</v>
      </c>
      <c r="BS115" s="4">
        <v>26.036453500000004</v>
      </c>
      <c r="CQ115" s="5">
        <v>153.08725630000001</v>
      </c>
      <c r="CU115" s="230" t="s">
        <v>1729</v>
      </c>
      <c r="CV115" s="230" t="s">
        <v>1368</v>
      </c>
    </row>
    <row r="116" spans="1:100" ht="15.6" x14ac:dyDescent="0.25">
      <c r="A116" s="2" t="s">
        <v>275</v>
      </c>
      <c r="B116" s="44" t="s">
        <v>792</v>
      </c>
      <c r="C116" s="2" t="s">
        <v>160</v>
      </c>
      <c r="D116" s="4">
        <v>1.3668340000000001</v>
      </c>
      <c r="E116" s="4">
        <v>1.6874643958227553</v>
      </c>
      <c r="BS116" s="3">
        <v>2.0111126000000001</v>
      </c>
      <c r="CQ116" s="4">
        <v>5.5198525999999992</v>
      </c>
      <c r="CU116" s="230" t="s">
        <v>1729</v>
      </c>
      <c r="CV116" s="230" t="s">
        <v>1368</v>
      </c>
    </row>
    <row r="117" spans="1:100" ht="15.6" x14ac:dyDescent="0.25">
      <c r="A117" s="2" t="s">
        <v>276</v>
      </c>
      <c r="B117" s="44" t="s">
        <v>792</v>
      </c>
      <c r="C117" s="2" t="s">
        <v>300</v>
      </c>
      <c r="D117" s="4">
        <v>6.4819959999999996</v>
      </c>
      <c r="E117" s="4">
        <v>1.8775106834376325</v>
      </c>
      <c r="BS117" s="4">
        <v>11.819648300000003</v>
      </c>
      <c r="CQ117" s="30">
        <v>12.946472</v>
      </c>
      <c r="CS117" s="233" t="s">
        <v>2177</v>
      </c>
      <c r="CU117" s="230" t="s">
        <v>1730</v>
      </c>
      <c r="CV117" s="230" t="s">
        <v>1368</v>
      </c>
    </row>
    <row r="118" spans="1:100" x14ac:dyDescent="0.25">
      <c r="A118" s="2" t="s">
        <v>277</v>
      </c>
      <c r="B118" s="44" t="s">
        <v>792</v>
      </c>
      <c r="C118" s="2" t="s">
        <v>278</v>
      </c>
      <c r="D118" s="4">
        <v>1.5483416966786716</v>
      </c>
      <c r="E118" s="4">
        <v>5.0473053112704269</v>
      </c>
      <c r="BS118" s="3">
        <v>7.1662924809923974</v>
      </c>
      <c r="CQ118" s="18" t="s">
        <v>35</v>
      </c>
      <c r="CU118" s="230" t="s">
        <v>1730</v>
      </c>
      <c r="CV118" s="230" t="s">
        <v>1368</v>
      </c>
    </row>
    <row r="119" spans="1:100" x14ac:dyDescent="0.25">
      <c r="A119" s="2" t="s">
        <v>279</v>
      </c>
      <c r="B119" s="44" t="s">
        <v>792</v>
      </c>
      <c r="C119" s="2" t="s">
        <v>106</v>
      </c>
      <c r="D119" s="3">
        <v>0.80713999999999997</v>
      </c>
      <c r="E119" s="4">
        <v>3.4165635081894106</v>
      </c>
      <c r="BS119" s="3">
        <v>2.5008492109999998</v>
      </c>
      <c r="CQ119" s="30">
        <v>10.170743799999999</v>
      </c>
      <c r="CS119" s="233" t="s">
        <v>2177</v>
      </c>
      <c r="CU119" s="230" t="s">
        <v>1730</v>
      </c>
      <c r="CV119" s="230" t="s">
        <v>1368</v>
      </c>
    </row>
    <row r="120" spans="1:100" x14ac:dyDescent="0.25">
      <c r="A120" s="2" t="s">
        <v>280</v>
      </c>
      <c r="B120" s="44" t="s">
        <v>792</v>
      </c>
      <c r="C120" s="2" t="s">
        <v>281</v>
      </c>
      <c r="D120" s="4">
        <v>4.5436560000000004</v>
      </c>
      <c r="E120" s="4">
        <v>6.904168152254484</v>
      </c>
      <c r="BS120" s="4">
        <v>29.224949900000002</v>
      </c>
      <c r="CQ120" s="18" t="s">
        <v>35</v>
      </c>
      <c r="CU120" s="230" t="s">
        <v>1730</v>
      </c>
      <c r="CV120" s="230" t="s">
        <v>1368</v>
      </c>
    </row>
    <row r="121" spans="1:100" ht="15.6" x14ac:dyDescent="0.25">
      <c r="A121" s="2" t="s">
        <v>304</v>
      </c>
      <c r="B121" s="44" t="s">
        <v>792</v>
      </c>
      <c r="C121" s="2" t="s">
        <v>305</v>
      </c>
      <c r="D121" s="5">
        <v>19.098329</v>
      </c>
      <c r="E121" s="4">
        <v>3.6090431100019278</v>
      </c>
      <c r="BS121" s="4">
        <v>64.919249800000003</v>
      </c>
      <c r="CQ121" s="30">
        <v>26.622973399999999</v>
      </c>
      <c r="CS121" s="233" t="s">
        <v>2177</v>
      </c>
      <c r="CU121" s="230" t="s">
        <v>1729</v>
      </c>
      <c r="CV121" s="230" t="s">
        <v>1368</v>
      </c>
    </row>
    <row r="122" spans="1:100" x14ac:dyDescent="0.25">
      <c r="A122" s="2" t="s">
        <v>284</v>
      </c>
      <c r="B122" s="44" t="s">
        <v>792</v>
      </c>
      <c r="C122" s="2" t="s">
        <v>282</v>
      </c>
      <c r="D122" s="4">
        <v>2.9204279999999998</v>
      </c>
      <c r="E122" s="4">
        <v>6.6322636033182398</v>
      </c>
      <c r="BS122" s="3">
        <v>8.3783349000000005</v>
      </c>
      <c r="CQ122" s="18" t="s">
        <v>35</v>
      </c>
      <c r="CU122" s="230" t="s">
        <v>1730</v>
      </c>
      <c r="CV122" s="230" t="s">
        <v>1368</v>
      </c>
    </row>
    <row r="123" spans="1:100" x14ac:dyDescent="0.25">
      <c r="A123" s="2" t="s">
        <v>285</v>
      </c>
      <c r="B123" s="44" t="s">
        <v>792</v>
      </c>
      <c r="C123" s="2" t="s">
        <v>179</v>
      </c>
      <c r="D123" s="4">
        <v>1.997317</v>
      </c>
      <c r="E123" s="4">
        <v>3.3242998790019667</v>
      </c>
      <c r="F123" s="5">
        <v>77.376262425329287</v>
      </c>
      <c r="G123" s="4">
        <v>4.7894443372254472</v>
      </c>
      <c r="R123" s="5">
        <v>158.85599999999999</v>
      </c>
      <c r="S123" s="4">
        <v>20.743266795084857</v>
      </c>
      <c r="T123" s="4">
        <v>18.72044342045626</v>
      </c>
      <c r="U123" s="15">
        <v>292.76725657198972</v>
      </c>
      <c r="Z123" s="5">
        <v>159.30600000000001</v>
      </c>
      <c r="AA123" s="4">
        <v>22.185139856628126</v>
      </c>
      <c r="AB123" s="4">
        <v>14.544091622412214</v>
      </c>
      <c r="AC123" s="15">
        <v>333.36946135111043</v>
      </c>
      <c r="BS123" s="3">
        <v>3.04524448</v>
      </c>
      <c r="BT123" s="4">
        <v>78.519762320000012</v>
      </c>
      <c r="BU123" s="4">
        <v>68.511093799999998</v>
      </c>
      <c r="CQ123" s="18" t="s">
        <v>35</v>
      </c>
      <c r="CU123" s="230" t="s">
        <v>1730</v>
      </c>
      <c r="CV123" s="230" t="s">
        <v>1732</v>
      </c>
    </row>
    <row r="124" spans="1:100" x14ac:dyDescent="0.25">
      <c r="A124" s="21" t="s">
        <v>295</v>
      </c>
      <c r="B124" s="44" t="s">
        <v>792</v>
      </c>
      <c r="C124" s="2" t="s">
        <v>296</v>
      </c>
      <c r="D124" s="3">
        <v>0.108447</v>
      </c>
      <c r="E124" s="5">
        <v>3.7877626859203115</v>
      </c>
      <c r="BS124" s="3">
        <v>0.19896262567971101</v>
      </c>
      <c r="CQ124" s="18" t="s">
        <v>35</v>
      </c>
      <c r="CU124" s="230" t="s">
        <v>1730</v>
      </c>
      <c r="CV124" s="230" t="s">
        <v>1368</v>
      </c>
    </row>
    <row r="125" spans="1:100" ht="15.6" x14ac:dyDescent="0.25">
      <c r="A125" s="21" t="s">
        <v>294</v>
      </c>
      <c r="B125" s="44" t="s">
        <v>792</v>
      </c>
      <c r="C125" s="2" t="s">
        <v>286</v>
      </c>
      <c r="D125" s="5">
        <v>14.358252999999999</v>
      </c>
      <c r="E125" s="5">
        <v>1.6867611651640348</v>
      </c>
      <c r="F125" s="5"/>
      <c r="G125" s="5">
        <v>4.7496290607220804</v>
      </c>
      <c r="R125" s="5">
        <v>144.971</v>
      </c>
      <c r="S125" s="5">
        <v>23.791559001455465</v>
      </c>
      <c r="T125" s="5">
        <v>3.1138620827613801</v>
      </c>
      <c r="Z125" s="6">
        <v>2558.009</v>
      </c>
      <c r="AA125" s="5">
        <v>24.010839148728561</v>
      </c>
      <c r="AB125" s="5">
        <v>4.2197882102838573</v>
      </c>
      <c r="BS125" s="4">
        <v>11.41434639432029</v>
      </c>
      <c r="BU125" s="5">
        <v>648.69028739999999</v>
      </c>
      <c r="CQ125" s="30">
        <v>23.987690000000001</v>
      </c>
      <c r="CS125" s="233" t="s">
        <v>2177</v>
      </c>
      <c r="CU125" s="230" t="s">
        <v>1729</v>
      </c>
      <c r="CV125" s="230" t="s">
        <v>1733</v>
      </c>
    </row>
    <row r="126" spans="1:100" x14ac:dyDescent="0.25">
      <c r="A126" s="2" t="s">
        <v>287</v>
      </c>
      <c r="B126" s="44" t="s">
        <v>792</v>
      </c>
      <c r="C126" s="2" t="s">
        <v>202</v>
      </c>
      <c r="D126" s="4">
        <v>5.6317596654479951</v>
      </c>
      <c r="E126" s="4">
        <v>4.0125135359661286</v>
      </c>
      <c r="BS126" s="4">
        <v>19.403137100000002</v>
      </c>
      <c r="CQ126" s="30">
        <v>28.695476854677601</v>
      </c>
      <c r="CS126" s="233" t="s">
        <v>2177</v>
      </c>
      <c r="CU126" s="230" t="s">
        <v>1730</v>
      </c>
      <c r="CV126" s="230" t="s">
        <v>1368</v>
      </c>
    </row>
    <row r="127" spans="1:100" x14ac:dyDescent="0.25">
      <c r="A127" s="2" t="s">
        <v>288</v>
      </c>
      <c r="B127" s="44" t="s">
        <v>792</v>
      </c>
      <c r="C127" s="2" t="s">
        <v>289</v>
      </c>
      <c r="D127" s="3">
        <v>9.4707E-2</v>
      </c>
      <c r="E127" s="4">
        <v>2.2684719080954943</v>
      </c>
      <c r="BS127" s="3">
        <v>0.214891</v>
      </c>
      <c r="CQ127" s="18" t="s">
        <v>35</v>
      </c>
      <c r="CU127" s="230" t="s">
        <v>1730</v>
      </c>
      <c r="CV127" s="230" t="s">
        <v>1368</v>
      </c>
    </row>
    <row r="128" spans="1:100" x14ac:dyDescent="0.25">
      <c r="A128" s="2" t="s">
        <v>290</v>
      </c>
      <c r="B128" s="44" t="s">
        <v>792</v>
      </c>
      <c r="C128" s="2" t="s">
        <v>142</v>
      </c>
      <c r="D128" s="3">
        <v>0.92947800000000003</v>
      </c>
      <c r="E128" s="4">
        <v>9.5597010804159659</v>
      </c>
      <c r="BS128" s="3">
        <v>8.7353213499999995</v>
      </c>
      <c r="CQ128" s="4">
        <v>1.246</v>
      </c>
      <c r="CS128" s="233" t="s">
        <v>2177</v>
      </c>
      <c r="CU128" s="230" t="s">
        <v>1730</v>
      </c>
      <c r="CV128" s="230" t="s">
        <v>1368</v>
      </c>
    </row>
    <row r="129" spans="1:100" x14ac:dyDescent="0.25">
      <c r="A129" s="2" t="s">
        <v>291</v>
      </c>
      <c r="B129" s="44" t="s">
        <v>792</v>
      </c>
      <c r="C129" s="2" t="s">
        <v>267</v>
      </c>
      <c r="D129" s="3">
        <v>0.21135499999999999</v>
      </c>
      <c r="E129" s="4">
        <v>5.2118071017955572</v>
      </c>
      <c r="BS129" s="3">
        <v>0.9981234000000001</v>
      </c>
      <c r="CQ129" s="18" t="s">
        <v>35</v>
      </c>
      <c r="CU129" s="230" t="s">
        <v>1730</v>
      </c>
      <c r="CV129" s="230" t="s">
        <v>1368</v>
      </c>
    </row>
    <row r="130" spans="1:100" ht="15.6" x14ac:dyDescent="0.25">
      <c r="A130" s="2" t="s">
        <v>293</v>
      </c>
      <c r="B130" s="44" t="s">
        <v>792</v>
      </c>
      <c r="C130" s="2" t="s">
        <v>292</v>
      </c>
      <c r="D130" s="5">
        <v>32.542608000000001</v>
      </c>
      <c r="E130" s="4">
        <v>1.1145815430650181</v>
      </c>
      <c r="BS130" s="4">
        <v>33.462542600000006</v>
      </c>
      <c r="CQ130" s="5">
        <v>208.49236196680292</v>
      </c>
      <c r="CU130" s="230" t="s">
        <v>1729</v>
      </c>
      <c r="CV130" s="230" t="s">
        <v>1368</v>
      </c>
    </row>
    <row r="131" spans="1:100" x14ac:dyDescent="0.25">
      <c r="A131" s="2" t="s">
        <v>297</v>
      </c>
      <c r="B131" s="44" t="s">
        <v>792</v>
      </c>
      <c r="C131" s="2" t="s">
        <v>298</v>
      </c>
      <c r="D131" s="4">
        <v>4.2877190000000001</v>
      </c>
      <c r="E131" s="4">
        <v>3.0402596368838535</v>
      </c>
      <c r="BS131" s="4">
        <v>11.978089000000001</v>
      </c>
      <c r="CQ131" s="30">
        <v>13.365095600000002</v>
      </c>
      <c r="CS131" s="233" t="s">
        <v>2177</v>
      </c>
      <c r="CU131" s="230" t="s">
        <v>1730</v>
      </c>
      <c r="CV131" s="230" t="s">
        <v>1368</v>
      </c>
    </row>
    <row r="132" spans="1:100" ht="15.6" x14ac:dyDescent="0.25">
      <c r="A132" s="2" t="s">
        <v>299</v>
      </c>
      <c r="B132" s="44" t="s">
        <v>792</v>
      </c>
      <c r="C132" s="2" t="s">
        <v>301</v>
      </c>
      <c r="D132" s="4">
        <v>6.838533</v>
      </c>
      <c r="E132" s="4">
        <v>1.4735323950326773</v>
      </c>
      <c r="BS132" s="3">
        <v>9.2590608999999997</v>
      </c>
      <c r="CQ132" s="30">
        <v>91.863658260496791</v>
      </c>
      <c r="CS132" s="233" t="s">
        <v>2177</v>
      </c>
      <c r="CU132" s="230" t="s">
        <v>1730</v>
      </c>
      <c r="CV132" s="230" t="s">
        <v>1368</v>
      </c>
    </row>
    <row r="133" spans="1:100" ht="15.6" x14ac:dyDescent="0.25">
      <c r="A133" s="2" t="s">
        <v>302</v>
      </c>
      <c r="B133" s="44" t="s">
        <v>792</v>
      </c>
      <c r="C133" s="2" t="s">
        <v>292</v>
      </c>
      <c r="D133" s="5">
        <v>30.451397</v>
      </c>
      <c r="E133" s="4">
        <v>1.0741147415995398</v>
      </c>
      <c r="BS133" s="4">
        <v>30.207398900000001</v>
      </c>
      <c r="CQ133" s="30">
        <v>36.706212000000001</v>
      </c>
      <c r="CS133" s="233" t="s">
        <v>2177</v>
      </c>
      <c r="CU133" s="230" t="s">
        <v>1729</v>
      </c>
      <c r="CV133" s="230" t="s">
        <v>1368</v>
      </c>
    </row>
    <row r="134" spans="1:100" x14ac:dyDescent="0.25">
      <c r="A134" s="2" t="s">
        <v>273</v>
      </c>
      <c r="B134" s="44" t="s">
        <v>792</v>
      </c>
      <c r="C134" s="2" t="s">
        <v>315</v>
      </c>
      <c r="D134" s="4">
        <v>1.3974682249999999</v>
      </c>
      <c r="F134" s="15">
        <v>160.00327933463922</v>
      </c>
      <c r="G134" s="4">
        <v>3.6190427051787921</v>
      </c>
      <c r="I134" s="4">
        <v>12.12863530403348</v>
      </c>
      <c r="Z134" s="5">
        <v>180.06632588190499</v>
      </c>
      <c r="AA134" s="4">
        <v>22.145728694521722</v>
      </c>
      <c r="AC134" s="15">
        <v>630.66663599544233</v>
      </c>
      <c r="AL134" s="5">
        <v>272.85087452270199</v>
      </c>
      <c r="AM134" s="4">
        <v>47.714685990191903</v>
      </c>
      <c r="AO134" s="15">
        <v>100.00398953359287</v>
      </c>
      <c r="AP134" s="4">
        <v>1.3051267411208509</v>
      </c>
      <c r="BS134" s="3">
        <v>1.0329E-2</v>
      </c>
      <c r="BT134" s="5">
        <v>140.84800000000001</v>
      </c>
      <c r="BU134" s="5">
        <v>41.427999999999997</v>
      </c>
      <c r="BW134" s="5">
        <v>130.18993800000001</v>
      </c>
      <c r="CQ134" s="2">
        <v>5.34</v>
      </c>
      <c r="CU134" s="230" t="s">
        <v>1734</v>
      </c>
      <c r="CV134" s="230" t="s">
        <v>1735</v>
      </c>
    </row>
    <row r="135" spans="1:100" ht="15.6" x14ac:dyDescent="0.25">
      <c r="A135" s="2" t="s">
        <v>316</v>
      </c>
      <c r="B135" s="44" t="s">
        <v>792</v>
      </c>
      <c r="C135" s="2" t="s">
        <v>317</v>
      </c>
      <c r="D135" s="4">
        <v>4.4134520000000004</v>
      </c>
      <c r="E135" s="4">
        <v>0.31501557284411386</v>
      </c>
      <c r="F135" s="15">
        <v>120.5733588527236</v>
      </c>
      <c r="G135" s="4">
        <v>1.9341012953126036</v>
      </c>
      <c r="I135" s="4">
        <v>8.8589646086555369</v>
      </c>
      <c r="Z135" s="5">
        <v>293.23006833333335</v>
      </c>
      <c r="AA135" s="4">
        <v>23.849412390581293</v>
      </c>
      <c r="AB135" s="4">
        <v>1.8428996830764983</v>
      </c>
      <c r="AC135" s="6">
        <v>1120.4757963098905</v>
      </c>
      <c r="AL135" s="5">
        <v>656.22250333333295</v>
      </c>
      <c r="AM135" s="4">
        <v>47.325851433389076</v>
      </c>
      <c r="BS135" s="3">
        <v>0.55709430000000004</v>
      </c>
      <c r="BT135" s="5">
        <v>343.187007517795</v>
      </c>
      <c r="BU135" s="5">
        <v>70.506648249999998</v>
      </c>
      <c r="BW135" s="5">
        <v>321.73188699999997</v>
      </c>
      <c r="CQ135" s="18" t="s">
        <v>35</v>
      </c>
      <c r="CU135" s="230" t="s">
        <v>1729</v>
      </c>
      <c r="CV135" s="230" t="s">
        <v>1735</v>
      </c>
    </row>
    <row r="136" spans="1:100" ht="15.6" x14ac:dyDescent="0.25">
      <c r="A136" s="2" t="s">
        <v>274</v>
      </c>
      <c r="B136" s="44" t="s">
        <v>792</v>
      </c>
      <c r="C136" s="2" t="s">
        <v>313</v>
      </c>
      <c r="D136" s="5">
        <v>38.885699490199997</v>
      </c>
      <c r="E136" s="4">
        <v>0.93500683956998287</v>
      </c>
      <c r="F136" s="15">
        <v>57.993710179556849</v>
      </c>
      <c r="G136" s="4">
        <v>1.8897151370599063</v>
      </c>
      <c r="H136" s="4">
        <v>0.5543093507841419</v>
      </c>
      <c r="I136" s="4">
        <v>7.1906170511080028</v>
      </c>
      <c r="Z136" s="6">
        <v>2402.2191556133298</v>
      </c>
      <c r="AA136" s="5">
        <v>20.474863027991244</v>
      </c>
      <c r="AB136" s="5">
        <v>6.3145658199011896</v>
      </c>
      <c r="AC136" s="15">
        <v>502.90704190599695</v>
      </c>
      <c r="AF136" s="234" t="s">
        <v>2010</v>
      </c>
      <c r="AG136" s="234" t="s">
        <v>2011</v>
      </c>
      <c r="AL136" s="6">
        <v>4353.0186055617196</v>
      </c>
      <c r="AM136" s="5">
        <v>50.996718852735363</v>
      </c>
      <c r="BK136" s="5">
        <v>370.38564978243801</v>
      </c>
      <c r="BL136" s="5">
        <v>6.7981591400598393</v>
      </c>
      <c r="BM136" s="5">
        <v>31.234061895062137</v>
      </c>
      <c r="BO136" s="6">
        <v>2156.105432419688</v>
      </c>
      <c r="BP136" s="5">
        <v>36.534603133767931</v>
      </c>
      <c r="BS136" s="4">
        <v>19.852162142400001</v>
      </c>
      <c r="BT136" s="6">
        <v>1218.4970896570001</v>
      </c>
      <c r="BU136" s="5">
        <v>510.31010713650801</v>
      </c>
      <c r="BV136" s="5">
        <v>116.6350575352</v>
      </c>
      <c r="BW136" s="6">
        <v>2222.8745316637201</v>
      </c>
      <c r="CQ136" s="18" t="s">
        <v>35</v>
      </c>
      <c r="CU136" s="230" t="s">
        <v>1729</v>
      </c>
      <c r="CV136" s="230" t="s">
        <v>1736</v>
      </c>
    </row>
    <row r="137" spans="1:100" x14ac:dyDescent="0.25">
      <c r="A137" s="2" t="s">
        <v>303</v>
      </c>
      <c r="B137" s="44" t="s">
        <v>792</v>
      </c>
      <c r="C137" s="2" t="s">
        <v>116</v>
      </c>
      <c r="D137" s="3">
        <v>0.80768399999999996</v>
      </c>
      <c r="E137" s="4">
        <v>1.7901520341563721</v>
      </c>
      <c r="BS137" s="3">
        <v>1.3012894399999999</v>
      </c>
      <c r="CQ137" s="18" t="s">
        <v>35</v>
      </c>
      <c r="CU137" s="230" t="s">
        <v>1730</v>
      </c>
      <c r="CV137" s="230" t="s">
        <v>1368</v>
      </c>
    </row>
    <row r="138" spans="1:100" x14ac:dyDescent="0.25">
      <c r="A138" s="2" t="s">
        <v>306</v>
      </c>
      <c r="B138" s="44" t="s">
        <v>792</v>
      </c>
      <c r="C138" s="2" t="s">
        <v>181</v>
      </c>
      <c r="D138" s="4">
        <v>1.92882</v>
      </c>
      <c r="E138" s="5">
        <v>13.059917226483352</v>
      </c>
      <c r="BS138" s="4">
        <v>22.020820846900001</v>
      </c>
      <c r="CQ138" s="18" t="s">
        <v>35</v>
      </c>
      <c r="CU138" s="230" t="s">
        <v>1730</v>
      </c>
      <c r="CV138" s="230" t="s">
        <v>1368</v>
      </c>
    </row>
    <row r="139" spans="1:100" ht="15.6" x14ac:dyDescent="0.25">
      <c r="A139" s="2" t="s">
        <v>307</v>
      </c>
      <c r="B139" s="44" t="s">
        <v>792</v>
      </c>
      <c r="C139" s="2" t="s">
        <v>308</v>
      </c>
      <c r="D139" s="5">
        <v>52.985399999999998</v>
      </c>
      <c r="E139" s="4">
        <v>1.2117759986713321</v>
      </c>
      <c r="BS139" s="4">
        <v>58.445514700000004</v>
      </c>
      <c r="CQ139" s="30">
        <v>382.50019731957138</v>
      </c>
      <c r="CS139" s="233" t="s">
        <v>2177</v>
      </c>
      <c r="CU139" s="230" t="s">
        <v>1729</v>
      </c>
      <c r="CV139" s="230" t="s">
        <v>1368</v>
      </c>
    </row>
    <row r="140" spans="1:100" x14ac:dyDescent="0.25">
      <c r="A140" s="2" t="s">
        <v>309</v>
      </c>
      <c r="B140" s="44" t="s">
        <v>792</v>
      </c>
      <c r="C140" s="2" t="s">
        <v>310</v>
      </c>
      <c r="D140" s="3">
        <v>7.2067999999999993E-2</v>
      </c>
      <c r="E140" s="4">
        <v>3.809335043219416</v>
      </c>
      <c r="BS140" s="3">
        <v>0.2608046</v>
      </c>
      <c r="CQ140" s="18" t="s">
        <v>35</v>
      </c>
      <c r="CU140" s="230" t="s">
        <v>1730</v>
      </c>
      <c r="CV140" s="230" t="s">
        <v>1368</v>
      </c>
    </row>
    <row r="141" spans="1:100" ht="15.6" x14ac:dyDescent="0.25">
      <c r="A141" s="2" t="s">
        <v>311</v>
      </c>
      <c r="B141" s="44" t="s">
        <v>792</v>
      </c>
      <c r="C141" s="2" t="s">
        <v>312</v>
      </c>
      <c r="D141" s="5">
        <v>62.122142857142855</v>
      </c>
      <c r="E141" s="4">
        <v>2.0861453817939313</v>
      </c>
      <c r="BS141" s="5">
        <v>117.26682402857145</v>
      </c>
      <c r="CQ141" s="5">
        <v>547.59128571428573</v>
      </c>
      <c r="CU141" s="230" t="s">
        <v>1729</v>
      </c>
      <c r="CV141" s="230" t="s">
        <v>1368</v>
      </c>
    </row>
    <row r="142" spans="1:100" ht="15.6" x14ac:dyDescent="0.25">
      <c r="A142" s="2" t="s">
        <v>53</v>
      </c>
      <c r="B142" s="44" t="s">
        <v>792</v>
      </c>
      <c r="C142" s="2" t="s">
        <v>286</v>
      </c>
      <c r="D142" s="5">
        <v>16.889240000000001</v>
      </c>
      <c r="E142" s="4">
        <v>1.8835732863053636</v>
      </c>
      <c r="BS142" s="4">
        <v>29.918355500000001</v>
      </c>
      <c r="CQ142" s="4">
        <v>7.7832433999999981</v>
      </c>
      <c r="CS142" s="233" t="s">
        <v>2177</v>
      </c>
      <c r="CU142" s="230" t="s">
        <v>1729</v>
      </c>
      <c r="CV142" s="230" t="s">
        <v>1368</v>
      </c>
    </row>
    <row r="143" spans="1:100" x14ac:dyDescent="0.25">
      <c r="A143" s="2" t="s">
        <v>318</v>
      </c>
      <c r="B143" s="215" t="s">
        <v>793</v>
      </c>
      <c r="C143" s="2" t="s">
        <v>1663</v>
      </c>
      <c r="D143" s="4">
        <v>7.5074510175438602</v>
      </c>
      <c r="E143" s="4">
        <v>5.1685486781006338</v>
      </c>
      <c r="G143" s="208"/>
      <c r="H143" s="208"/>
      <c r="BS143" s="4">
        <v>37.166706364249997</v>
      </c>
      <c r="CQ143" s="4">
        <v>5.5564780000000003</v>
      </c>
      <c r="CS143" s="233" t="s">
        <v>2177</v>
      </c>
      <c r="CU143" s="230" t="s">
        <v>1730</v>
      </c>
      <c r="CV143" s="230" t="s">
        <v>1368</v>
      </c>
    </row>
    <row r="144" spans="1:100" s="208" customFormat="1" x14ac:dyDescent="0.25">
      <c r="A144" s="208" t="s">
        <v>551</v>
      </c>
      <c r="B144" s="215" t="s">
        <v>793</v>
      </c>
      <c r="C144" s="208" t="s">
        <v>157</v>
      </c>
      <c r="D144" s="4">
        <v>0.29432399999999997</v>
      </c>
      <c r="E144" s="4">
        <v>2.5286968442940436</v>
      </c>
      <c r="BS144" s="4">
        <v>0.70518761074999992</v>
      </c>
      <c r="CQ144" s="4">
        <v>8.174143599999999</v>
      </c>
      <c r="CR144" s="233"/>
      <c r="CS144" s="233"/>
      <c r="CU144" s="230" t="s">
        <v>1730</v>
      </c>
      <c r="CV144" s="230" t="s">
        <v>1368</v>
      </c>
    </row>
    <row r="145" spans="1:100" ht="15.6" x14ac:dyDescent="0.25">
      <c r="A145" s="2" t="s">
        <v>321</v>
      </c>
      <c r="B145" s="215" t="s">
        <v>793</v>
      </c>
      <c r="C145" s="2" t="s">
        <v>292</v>
      </c>
      <c r="D145" s="4">
        <v>7.4747346666666656</v>
      </c>
      <c r="E145" s="4">
        <v>0.84234570645183215</v>
      </c>
      <c r="I145" s="208"/>
      <c r="J145" s="208"/>
      <c r="K145" s="208"/>
      <c r="BS145" s="3">
        <v>0.54442973726666655</v>
      </c>
      <c r="CM145" s="208"/>
      <c r="CQ145" s="4">
        <v>9.7031066666666685</v>
      </c>
      <c r="CS145" s="233" t="s">
        <v>2177</v>
      </c>
      <c r="CU145" s="230" t="s">
        <v>1729</v>
      </c>
      <c r="CV145" s="230" t="s">
        <v>1368</v>
      </c>
    </row>
    <row r="146" spans="1:100" s="208" customFormat="1" x14ac:dyDescent="0.25">
      <c r="A146" s="208" t="s">
        <v>1664</v>
      </c>
      <c r="B146" s="44" t="s">
        <v>792</v>
      </c>
      <c r="C146" s="208" t="s">
        <v>289</v>
      </c>
      <c r="D146" s="3">
        <v>2.6894000000000001E-2</v>
      </c>
      <c r="F146" s="6">
        <v>2858.8034176862584</v>
      </c>
      <c r="BK146" s="15">
        <v>133.47742446148243</v>
      </c>
      <c r="BO146" s="6">
        <v>346051.80753490701</v>
      </c>
      <c r="BT146" s="5">
        <v>46.190104000000005</v>
      </c>
      <c r="CQ146" s="127" t="s">
        <v>35</v>
      </c>
      <c r="CR146" s="233"/>
      <c r="CS146" s="233"/>
      <c r="CU146" s="230" t="s">
        <v>1730</v>
      </c>
      <c r="CV146" s="230" t="s">
        <v>1368</v>
      </c>
    </row>
    <row r="147" spans="1:100" s="208" customFormat="1" ht="15.6" x14ac:dyDescent="0.25">
      <c r="A147" s="208" t="s">
        <v>1665</v>
      </c>
      <c r="B147" s="213" t="s">
        <v>798</v>
      </c>
      <c r="C147" s="208" t="s">
        <v>214</v>
      </c>
      <c r="CL147" s="4">
        <v>7.3068749999999998</v>
      </c>
      <c r="CM147" s="208" t="s">
        <v>1632</v>
      </c>
      <c r="CQ147" s="127" t="s">
        <v>35</v>
      </c>
      <c r="CR147" s="233" t="s">
        <v>1112</v>
      </c>
      <c r="CS147" s="233"/>
      <c r="CU147" s="230" t="s">
        <v>1729</v>
      </c>
      <c r="CV147" s="230" t="s">
        <v>1112</v>
      </c>
    </row>
    <row r="148" spans="1:100" x14ac:dyDescent="0.25">
      <c r="A148" s="2" t="s">
        <v>324</v>
      </c>
      <c r="B148" s="45" t="s">
        <v>794</v>
      </c>
      <c r="C148" s="2" t="s">
        <v>325</v>
      </c>
      <c r="D148" s="4">
        <v>2.645079</v>
      </c>
      <c r="E148" s="5">
        <v>11.76747389735708</v>
      </c>
      <c r="J148" s="208"/>
      <c r="K148" s="208"/>
      <c r="L148" s="208"/>
      <c r="M148" s="208"/>
      <c r="N148" s="208"/>
      <c r="O148" s="208"/>
      <c r="P148" s="208"/>
      <c r="Q148" s="208"/>
      <c r="BS148" s="4">
        <v>28.350803500000001</v>
      </c>
      <c r="BT148" s="4">
        <v>2.645079</v>
      </c>
      <c r="CM148" s="208"/>
      <c r="CQ148" s="4">
        <v>1.1157175739130401</v>
      </c>
      <c r="CS148" s="233" t="s">
        <v>2177</v>
      </c>
      <c r="CU148" s="230" t="s">
        <v>1730</v>
      </c>
      <c r="CV148" s="230" t="s">
        <v>1368</v>
      </c>
    </row>
    <row r="149" spans="1:100" x14ac:dyDescent="0.25">
      <c r="A149" s="2" t="s">
        <v>326</v>
      </c>
      <c r="B149" s="45" t="s">
        <v>794</v>
      </c>
      <c r="C149" s="2" t="s">
        <v>327</v>
      </c>
      <c r="D149" s="4">
        <v>4.9837846539584802</v>
      </c>
      <c r="E149" s="4">
        <v>9.387043835143599</v>
      </c>
      <c r="J149" s="208"/>
      <c r="K149" s="208"/>
      <c r="L149" s="208"/>
      <c r="M149" s="208"/>
      <c r="N149" s="208"/>
      <c r="O149" s="208"/>
      <c r="P149" s="208"/>
      <c r="Q149" s="208"/>
      <c r="BS149" s="4">
        <v>44.259772165027002</v>
      </c>
      <c r="BT149" s="5">
        <v>10.5377809</v>
      </c>
      <c r="CQ149" s="4">
        <v>1.0990040000000001</v>
      </c>
      <c r="CS149" s="233" t="s">
        <v>2177</v>
      </c>
      <c r="CU149" s="230" t="s">
        <v>1730</v>
      </c>
      <c r="CV149" s="230" t="s">
        <v>1368</v>
      </c>
    </row>
    <row r="150" spans="1:100" x14ac:dyDescent="0.25">
      <c r="A150" s="2" t="s">
        <v>328</v>
      </c>
      <c r="B150" s="214" t="s">
        <v>795</v>
      </c>
      <c r="C150" s="2" t="s">
        <v>329</v>
      </c>
      <c r="D150" s="2">
        <v>3.2000000000000003E-4</v>
      </c>
      <c r="E150" s="5">
        <v>2.3125</v>
      </c>
      <c r="J150" s="208"/>
      <c r="K150" s="208"/>
      <c r="L150" s="208"/>
      <c r="M150" s="208"/>
      <c r="N150" s="208"/>
      <c r="O150" s="208"/>
      <c r="P150" s="208"/>
      <c r="Q150" s="208"/>
      <c r="BS150" s="2">
        <v>6.6999999999999991E-4</v>
      </c>
      <c r="CQ150" s="3">
        <v>2.7200000000000002E-3</v>
      </c>
      <c r="CS150" s="233" t="s">
        <v>2177</v>
      </c>
      <c r="CU150" s="230" t="s">
        <v>1730</v>
      </c>
      <c r="CV150" s="230" t="s">
        <v>1368</v>
      </c>
    </row>
    <row r="151" spans="1:100" ht="15.6" x14ac:dyDescent="0.25">
      <c r="A151" s="2" t="s">
        <v>319</v>
      </c>
      <c r="B151" s="215" t="s">
        <v>793</v>
      </c>
      <c r="C151" s="2" t="s">
        <v>31</v>
      </c>
      <c r="D151" s="5">
        <v>122.81629700000001</v>
      </c>
      <c r="E151" s="4">
        <v>0.61443001436527578</v>
      </c>
      <c r="F151" s="4">
        <v>2.948663963545489</v>
      </c>
      <c r="G151" s="4">
        <v>1.1998696430327971</v>
      </c>
      <c r="Z151" s="6">
        <v>2617.6390000000001</v>
      </c>
      <c r="AA151" s="2">
        <v>48.89998200668618</v>
      </c>
      <c r="AB151" s="5">
        <v>21.432435297609793</v>
      </c>
      <c r="AC151" s="15">
        <v>100.78539328761529</v>
      </c>
      <c r="BS151" s="4">
        <v>56.1023785</v>
      </c>
      <c r="BT151" s="5">
        <v>263.81977610000001</v>
      </c>
      <c r="BU151" s="6">
        <v>1280.0250000000001</v>
      </c>
      <c r="CQ151" s="5">
        <v>570.79734199999996</v>
      </c>
      <c r="CU151" s="230" t="s">
        <v>1729</v>
      </c>
      <c r="CV151" s="230" t="s">
        <v>1732</v>
      </c>
    </row>
    <row r="152" spans="1:100" ht="15.6" x14ac:dyDescent="0.25">
      <c r="A152" s="2" t="s">
        <v>320</v>
      </c>
      <c r="B152" s="215" t="s">
        <v>793</v>
      </c>
      <c r="C152" s="2" t="s">
        <v>148</v>
      </c>
      <c r="D152" s="5">
        <v>225.92231200000001</v>
      </c>
      <c r="E152" s="4">
        <v>0.55168080307723677</v>
      </c>
      <c r="F152" s="5">
        <v>5.0940403664690024</v>
      </c>
      <c r="G152" s="4">
        <v>2.2262896505797016</v>
      </c>
      <c r="P152" s="3">
        <v>6.4126454341526029E-2</v>
      </c>
      <c r="Q152" s="2" t="s">
        <v>362</v>
      </c>
      <c r="BS152" s="4">
        <v>79.450050399999995</v>
      </c>
      <c r="BT152" s="5">
        <v>677.08792759999994</v>
      </c>
      <c r="BU152" s="6">
        <v>4659.5104369999999</v>
      </c>
      <c r="CC152" s="4">
        <v>98.773939084816504</v>
      </c>
      <c r="CQ152" s="30">
        <v>21.479654679999999</v>
      </c>
      <c r="CS152" s="233" t="s">
        <v>2177</v>
      </c>
      <c r="CU152" s="230" t="s">
        <v>1729</v>
      </c>
      <c r="CV152" s="230" t="s">
        <v>1737</v>
      </c>
    </row>
    <row r="153" spans="1:100" x14ac:dyDescent="0.25">
      <c r="A153" s="2" t="s">
        <v>386</v>
      </c>
      <c r="B153" s="215" t="s">
        <v>793</v>
      </c>
      <c r="C153" s="2" t="s">
        <v>387</v>
      </c>
      <c r="D153" s="3">
        <v>1.0593781200000003E-2</v>
      </c>
      <c r="G153" s="4">
        <v>8.6900100221061756</v>
      </c>
      <c r="BU153" s="4">
        <v>0.92060064799999997</v>
      </c>
      <c r="CQ153" s="18" t="s">
        <v>35</v>
      </c>
      <c r="CU153" s="230" t="s">
        <v>1738</v>
      </c>
      <c r="CV153" s="230" t="s">
        <v>1369</v>
      </c>
    </row>
    <row r="154" spans="1:100" x14ac:dyDescent="0.25">
      <c r="A154" s="2" t="s">
        <v>388</v>
      </c>
      <c r="B154" s="215" t="s">
        <v>793</v>
      </c>
      <c r="C154" s="2" t="s">
        <v>389</v>
      </c>
      <c r="D154" s="4">
        <v>4.1113400000000002</v>
      </c>
      <c r="E154" s="3">
        <v>7.5976649948678546E-2</v>
      </c>
      <c r="F154" s="4">
        <v>1.707331599916329</v>
      </c>
      <c r="G154" s="4">
        <v>0.83048612131324584</v>
      </c>
      <c r="BS154" s="3">
        <v>0.31236584000000006</v>
      </c>
      <c r="BT154" s="4">
        <v>7.0194207000000004</v>
      </c>
      <c r="BU154" s="5">
        <v>30.024592384999998</v>
      </c>
      <c r="CQ154" s="30">
        <v>16.518162</v>
      </c>
      <c r="CS154" s="233" t="s">
        <v>2177</v>
      </c>
      <c r="CU154" s="230" t="s">
        <v>1738</v>
      </c>
      <c r="CV154" s="230" t="s">
        <v>1732</v>
      </c>
    </row>
    <row r="155" spans="1:100" x14ac:dyDescent="0.25">
      <c r="A155" s="2" t="s">
        <v>385</v>
      </c>
      <c r="B155" s="215" t="s">
        <v>793</v>
      </c>
      <c r="C155" s="2" t="s">
        <v>361</v>
      </c>
      <c r="D155" s="5">
        <v>26.863</v>
      </c>
      <c r="E155" s="4">
        <v>0.12242083907232996</v>
      </c>
      <c r="F155" s="4">
        <v>2.3109663924356925</v>
      </c>
      <c r="G155" s="4">
        <v>0.57845687376689126</v>
      </c>
      <c r="Z155" s="5">
        <v>590.92200000000003</v>
      </c>
      <c r="AA155" s="4">
        <v>23.198493202148509</v>
      </c>
      <c r="AB155" s="4">
        <v>2.9455745428330649</v>
      </c>
      <c r="AC155" s="4">
        <v>52.993605924301349</v>
      </c>
      <c r="BS155" s="3">
        <v>1.7406048000000001</v>
      </c>
      <c r="BT155" s="5">
        <v>31.315087599999998</v>
      </c>
      <c r="BU155" s="5">
        <v>137.08500000000001</v>
      </c>
      <c r="CQ155" s="5">
        <v>117.96</v>
      </c>
      <c r="CU155" s="230" t="s">
        <v>1730</v>
      </c>
      <c r="CV155" s="230" t="s">
        <v>1732</v>
      </c>
    </row>
    <row r="156" spans="1:100" x14ac:dyDescent="0.25">
      <c r="A156" s="2" t="s">
        <v>983</v>
      </c>
      <c r="B156" s="215" t="s">
        <v>793</v>
      </c>
      <c r="C156" s="2" t="s">
        <v>984</v>
      </c>
      <c r="D156" s="3">
        <v>0.238402368</v>
      </c>
      <c r="G156" s="5">
        <v>21.999761344652413</v>
      </c>
      <c r="BU156" s="5">
        <v>52.447952000000001</v>
      </c>
      <c r="CQ156" s="18" t="s">
        <v>35</v>
      </c>
      <c r="CU156" s="230" t="s">
        <v>1738</v>
      </c>
      <c r="CV156" s="230" t="s">
        <v>1369</v>
      </c>
    </row>
    <row r="157" spans="1:100" x14ac:dyDescent="0.25">
      <c r="A157" s="2" t="s">
        <v>985</v>
      </c>
      <c r="B157" s="213" t="s">
        <v>798</v>
      </c>
      <c r="C157" s="2" t="s">
        <v>986</v>
      </c>
      <c r="D157" s="4">
        <v>0.10160000000000001</v>
      </c>
      <c r="G157" s="2">
        <v>17</v>
      </c>
      <c r="BU157" s="5">
        <v>17.272000000000002</v>
      </c>
      <c r="CQ157" s="18" t="s">
        <v>35</v>
      </c>
      <c r="CU157" s="230" t="s">
        <v>1738</v>
      </c>
      <c r="CV157" s="230" t="s">
        <v>1369</v>
      </c>
    </row>
    <row r="158" spans="1:100" x14ac:dyDescent="0.25">
      <c r="A158" s="2" t="s">
        <v>390</v>
      </c>
      <c r="B158" s="215" t="s">
        <v>793</v>
      </c>
      <c r="C158" s="2" t="s">
        <v>391</v>
      </c>
      <c r="D158" s="4">
        <v>1.6896420000000001</v>
      </c>
      <c r="E158" s="4">
        <v>1.7458752113975446</v>
      </c>
      <c r="Z158" s="4">
        <v>29.474064516129001</v>
      </c>
      <c r="AA158" s="5">
        <v>77.393983403670362</v>
      </c>
      <c r="BU158" s="5">
        <v>22.8111526</v>
      </c>
      <c r="CQ158" s="4">
        <v>4.1086452000000007</v>
      </c>
      <c r="CS158" s="233" t="s">
        <v>2177</v>
      </c>
      <c r="CU158" s="230" t="s">
        <v>1738</v>
      </c>
      <c r="CV158" s="230" t="s">
        <v>1369</v>
      </c>
    </row>
    <row r="159" spans="1:100" x14ac:dyDescent="0.25">
      <c r="A159" s="2" t="s">
        <v>981</v>
      </c>
      <c r="B159" s="215" t="s">
        <v>793</v>
      </c>
      <c r="C159" s="2" t="s">
        <v>982</v>
      </c>
      <c r="D159" s="3">
        <v>0.2034</v>
      </c>
      <c r="E159" s="4"/>
      <c r="G159" s="5">
        <v>4.9164208456243852</v>
      </c>
      <c r="Z159" s="4"/>
      <c r="AA159" s="5"/>
      <c r="BU159" s="2">
        <v>10</v>
      </c>
      <c r="CQ159" s="18" t="s">
        <v>35</v>
      </c>
      <c r="CU159" s="230" t="s">
        <v>1738</v>
      </c>
      <c r="CV159" s="230" t="s">
        <v>1369</v>
      </c>
    </row>
    <row r="160" spans="1:100" ht="15.6" x14ac:dyDescent="0.25">
      <c r="A160" s="2" t="s">
        <v>322</v>
      </c>
      <c r="B160" s="215" t="s">
        <v>793</v>
      </c>
      <c r="C160" s="2" t="s">
        <v>239</v>
      </c>
      <c r="D160" s="4">
        <v>7.5548229999999998</v>
      </c>
      <c r="E160" s="4">
        <v>0.71264784098846523</v>
      </c>
      <c r="F160" s="4">
        <v>8.3264053492715853</v>
      </c>
      <c r="G160" s="4">
        <v>1.1918664514046191</v>
      </c>
      <c r="Z160" s="5">
        <v>208.87799999999999</v>
      </c>
      <c r="AA160" s="4">
        <v>21.297346345713766</v>
      </c>
      <c r="AB160" s="5">
        <v>21.271573358611249</v>
      </c>
      <c r="AC160" s="15">
        <v>212.97346345713765</v>
      </c>
      <c r="BS160" s="3">
        <v>4.4431637000000004</v>
      </c>
      <c r="BT160" s="5">
        <v>44.485471099999998</v>
      </c>
      <c r="BU160" s="5">
        <v>82.894000000000005</v>
      </c>
      <c r="CQ160" s="18" t="s">
        <v>35</v>
      </c>
      <c r="CU160" s="230" t="s">
        <v>1729</v>
      </c>
      <c r="CV160" s="230" t="s">
        <v>1732</v>
      </c>
    </row>
    <row r="161" spans="1:100" x14ac:dyDescent="0.25">
      <c r="A161" s="2" t="s">
        <v>323</v>
      </c>
      <c r="B161" s="215" t="s">
        <v>793</v>
      </c>
      <c r="C161" s="2" t="s">
        <v>669</v>
      </c>
      <c r="D161" s="4">
        <v>1.991689</v>
      </c>
      <c r="E161" s="4">
        <v>0.52088462104274313</v>
      </c>
      <c r="F161" s="5">
        <v>31.253634026195858</v>
      </c>
      <c r="G161" s="4">
        <v>0.22248042741612775</v>
      </c>
      <c r="H161" s="4">
        <v>3.0859986272957274</v>
      </c>
      <c r="I161" s="4">
        <v>7.2932789456586855</v>
      </c>
      <c r="AF161" s="5">
        <v>99.12</v>
      </c>
      <c r="AG161" s="5">
        <v>52.586613196125903</v>
      </c>
      <c r="AI161" s="15">
        <v>494.72880347054075</v>
      </c>
      <c r="AJ161" s="5">
        <v>3.3796236884584343</v>
      </c>
      <c r="AK161" s="5">
        <v>7.5634776029055679</v>
      </c>
      <c r="AL161" s="5">
        <v>243.94399999999999</v>
      </c>
      <c r="AM161" s="5">
        <v>50.289044616797305</v>
      </c>
      <c r="BS161" s="3">
        <v>0.74969189999999997</v>
      </c>
      <c r="BT161" s="5">
        <v>49.037519000000003</v>
      </c>
      <c r="BU161" s="4">
        <v>3.3498830000000002</v>
      </c>
      <c r="BV161" s="4">
        <v>52.123851000000002</v>
      </c>
      <c r="BW161" s="5">
        <v>122.67710700000001</v>
      </c>
      <c r="CQ161" s="18" t="s">
        <v>35</v>
      </c>
      <c r="CU161" s="230" t="s">
        <v>1730</v>
      </c>
      <c r="CV161" s="230" t="s">
        <v>1739</v>
      </c>
    </row>
    <row r="162" spans="1:100" x14ac:dyDescent="0.25">
      <c r="A162" s="2" t="s">
        <v>693</v>
      </c>
      <c r="B162" s="217" t="s">
        <v>796</v>
      </c>
      <c r="C162" s="2" t="s">
        <v>330</v>
      </c>
      <c r="D162" s="4">
        <v>3.3258579545248868</v>
      </c>
      <c r="E162" s="4">
        <v>1.5012869453648217</v>
      </c>
      <c r="BS162" s="4">
        <v>4.538922920000001</v>
      </c>
      <c r="BT162" s="4">
        <v>1.3766974749999998</v>
      </c>
      <c r="CQ162" s="4">
        <v>4.9930671292659614</v>
      </c>
      <c r="CU162" s="230" t="s">
        <v>1734</v>
      </c>
      <c r="CV162" s="230" t="s">
        <v>1368</v>
      </c>
    </row>
    <row r="163" spans="1:100" ht="15.6" x14ac:dyDescent="0.25">
      <c r="A163" s="2" t="s">
        <v>331</v>
      </c>
      <c r="B163" s="217" t="s">
        <v>796</v>
      </c>
      <c r="C163" s="2" t="s">
        <v>332</v>
      </c>
      <c r="D163" s="4">
        <v>3.2141781333333332</v>
      </c>
      <c r="E163" s="4">
        <v>4.4114266265931086</v>
      </c>
      <c r="F163" s="4">
        <v>6.4727156119868239</v>
      </c>
      <c r="G163" s="4">
        <v>0.41387539442367988</v>
      </c>
      <c r="BS163" s="4">
        <v>12.938417899999999</v>
      </c>
      <c r="BT163" s="5">
        <v>15.619176423333334</v>
      </c>
      <c r="BU163" s="4">
        <v>9.4253379263333343</v>
      </c>
      <c r="CQ163" s="4">
        <v>4.72</v>
      </c>
      <c r="CS163" s="233" t="s">
        <v>2177</v>
      </c>
      <c r="CU163" s="230" t="s">
        <v>1734</v>
      </c>
      <c r="CV163" s="230" t="s">
        <v>1731</v>
      </c>
    </row>
    <row r="164" spans="1:100" x14ac:dyDescent="0.25">
      <c r="A164" s="2" t="s">
        <v>333</v>
      </c>
      <c r="B164" s="217" t="s">
        <v>796</v>
      </c>
      <c r="C164" s="2">
        <v>2011</v>
      </c>
      <c r="D164" s="2">
        <v>3.5000000000000003E-2</v>
      </c>
      <c r="E164" s="2">
        <v>11</v>
      </c>
      <c r="BS164" s="3">
        <v>0.36575000000000002</v>
      </c>
      <c r="CQ164" s="18" t="s">
        <v>35</v>
      </c>
      <c r="CU164" s="230" t="s">
        <v>1730</v>
      </c>
      <c r="CV164" s="230" t="s">
        <v>1368</v>
      </c>
    </row>
    <row r="165" spans="1:100" ht="15.6" x14ac:dyDescent="0.25">
      <c r="A165" s="2" t="s">
        <v>334</v>
      </c>
      <c r="B165" s="217" t="s">
        <v>796</v>
      </c>
      <c r="C165" s="2" t="s">
        <v>351</v>
      </c>
      <c r="D165" s="4">
        <v>2.7903799999999999</v>
      </c>
      <c r="E165" s="4">
        <v>3.9995506418480633</v>
      </c>
      <c r="F165" s="4">
        <v>19.267536020183631</v>
      </c>
      <c r="H165" s="4">
        <v>2.4638602985973237</v>
      </c>
      <c r="I165" s="4">
        <v>3.2917965330886827</v>
      </c>
      <c r="BK165" s="5">
        <v>265.286</v>
      </c>
      <c r="BM165" s="5">
        <v>31.238613207557126</v>
      </c>
      <c r="BN165" s="5">
        <v>23.419683208084859</v>
      </c>
      <c r="BO165" s="15">
        <v>179.2466283296518</v>
      </c>
      <c r="BS165" s="3">
        <v>9.5826875000000005</v>
      </c>
      <c r="BT165" s="5">
        <v>47.551621043060003</v>
      </c>
      <c r="BV165" s="4">
        <v>82.871667433799999</v>
      </c>
      <c r="BW165" s="4">
        <v>62.129140795399998</v>
      </c>
      <c r="CQ165" s="18" t="s">
        <v>35</v>
      </c>
      <c r="CU165" s="230" t="s">
        <v>1729</v>
      </c>
      <c r="CV165" s="230" t="s">
        <v>1740</v>
      </c>
    </row>
    <row r="166" spans="1:100" ht="15.6" x14ac:dyDescent="0.25">
      <c r="A166" s="21" t="s">
        <v>1434</v>
      </c>
      <c r="B166" s="217" t="s">
        <v>796</v>
      </c>
      <c r="C166" s="21" t="s">
        <v>1435</v>
      </c>
      <c r="D166" s="148">
        <v>0.11954742907692301</v>
      </c>
      <c r="E166" s="147">
        <v>0.40900436234842097</v>
      </c>
      <c r="F166" s="50">
        <v>1.6732706135511028</v>
      </c>
      <c r="G166" s="147">
        <v>3.2565198469526107</v>
      </c>
      <c r="BS166" s="3">
        <v>4.8895420000000002E-2</v>
      </c>
      <c r="BT166" s="3">
        <v>0.2000352</v>
      </c>
      <c r="BU166" s="4">
        <v>3.8930857544116</v>
      </c>
      <c r="CQ166" s="126" t="s">
        <v>35</v>
      </c>
      <c r="CU166" s="230" t="s">
        <v>1738</v>
      </c>
      <c r="CV166" s="230" t="s">
        <v>1369</v>
      </c>
    </row>
    <row r="167" spans="1:100" ht="15.6" x14ac:dyDescent="0.25">
      <c r="A167" s="2" t="s">
        <v>335</v>
      </c>
      <c r="B167" s="217" t="s">
        <v>796</v>
      </c>
      <c r="C167" s="2" t="s">
        <v>356</v>
      </c>
      <c r="D167" s="5">
        <v>250.22200000000001</v>
      </c>
      <c r="E167" s="4">
        <v>0.70940716643620461</v>
      </c>
      <c r="G167" s="4">
        <v>0.17758044240339513</v>
      </c>
      <c r="Z167" s="6">
        <v>1717.3893580171195</v>
      </c>
      <c r="AA167" s="5">
        <v>21.7203511980934</v>
      </c>
      <c r="AB167" s="5">
        <v>78.064489787448409</v>
      </c>
      <c r="BS167" s="5">
        <v>134.06712400000001</v>
      </c>
      <c r="BU167" s="5">
        <v>373.02300000000002</v>
      </c>
      <c r="CQ167" s="5">
        <v>489.06763999999998</v>
      </c>
      <c r="CU167" s="230" t="s">
        <v>1730</v>
      </c>
      <c r="CV167" s="230" t="s">
        <v>1741</v>
      </c>
    </row>
    <row r="168" spans="1:100" x14ac:dyDescent="0.25">
      <c r="A168" s="2" t="s">
        <v>336</v>
      </c>
      <c r="B168" s="217" t="s">
        <v>796</v>
      </c>
      <c r="C168" s="2" t="s">
        <v>357</v>
      </c>
      <c r="D168" s="5">
        <v>89.399000000000001</v>
      </c>
      <c r="E168" s="4">
        <v>1.6778754795914943</v>
      </c>
      <c r="G168" s="4">
        <v>0.63345016417402733</v>
      </c>
      <c r="Z168" s="6">
        <v>1951.7363932800442</v>
      </c>
      <c r="AA168" s="5">
        <v>25.763110311990371</v>
      </c>
      <c r="AB168" s="5">
        <v>64.502335680911031</v>
      </c>
      <c r="AC168" s="4">
        <v>9.0605006192876072</v>
      </c>
      <c r="BS168" s="5">
        <v>125.89155599999999</v>
      </c>
      <c r="BT168" s="5">
        <v>17.683708800000002</v>
      </c>
      <c r="BU168" s="5">
        <v>502.82799999999997</v>
      </c>
      <c r="CQ168" s="18" t="s">
        <v>35</v>
      </c>
      <c r="CU168" s="230" t="s">
        <v>1730</v>
      </c>
      <c r="CV168" s="230" t="s">
        <v>1741</v>
      </c>
    </row>
    <row r="169" spans="1:100" ht="15.6" x14ac:dyDescent="0.25">
      <c r="A169" s="2" t="s">
        <v>337</v>
      </c>
      <c r="B169" s="217" t="s">
        <v>796</v>
      </c>
      <c r="C169" s="2" t="s">
        <v>292</v>
      </c>
      <c r="D169" s="5">
        <v>184.68100000000001</v>
      </c>
      <c r="E169" s="4">
        <v>1.1125449829706358</v>
      </c>
      <c r="G169" s="4">
        <v>0.35894807803726425</v>
      </c>
      <c r="Z169" s="6">
        <v>2317.8418735392352</v>
      </c>
      <c r="AA169" s="5">
        <v>23.986450773324894</v>
      </c>
      <c r="AB169" s="5">
        <v>70.667871337525625</v>
      </c>
      <c r="AC169" s="5">
        <v>33.50991967428758</v>
      </c>
      <c r="BS169" s="5">
        <v>163.79695130000002</v>
      </c>
      <c r="BT169" s="5">
        <v>77.670695000000009</v>
      </c>
      <c r="BU169" s="5">
        <v>555.96799999999996</v>
      </c>
      <c r="CQ169" s="18" t="s">
        <v>35</v>
      </c>
      <c r="CU169" s="230" t="s">
        <v>1729</v>
      </c>
      <c r="CV169" s="230" t="s">
        <v>1741</v>
      </c>
    </row>
    <row r="170" spans="1:100" ht="15.6" x14ac:dyDescent="0.25">
      <c r="A170" s="2" t="s">
        <v>671</v>
      </c>
      <c r="B170" s="217" t="s">
        <v>796</v>
      </c>
      <c r="C170" s="2" t="s">
        <v>674</v>
      </c>
      <c r="D170" s="3">
        <v>0.29274099999999997</v>
      </c>
      <c r="E170" s="4">
        <v>5.2874367785858487</v>
      </c>
      <c r="F170" s="5">
        <v>51.070393282799472</v>
      </c>
      <c r="BK170" s="5">
        <v>11.1116099265454</v>
      </c>
      <c r="BO170" s="5">
        <v>785.07102130717851</v>
      </c>
      <c r="BP170" s="4">
        <v>63.798285998723493</v>
      </c>
      <c r="BS170" s="3">
        <v>0.81483166799999995</v>
      </c>
      <c r="BT170" s="4">
        <v>8.7234029534000008</v>
      </c>
      <c r="CQ170" s="4">
        <v>2.3883833999999999</v>
      </c>
      <c r="CS170" s="233" t="s">
        <v>2177</v>
      </c>
      <c r="CU170" s="230" t="s">
        <v>1730</v>
      </c>
      <c r="CV170" s="230" t="s">
        <v>1742</v>
      </c>
    </row>
    <row r="171" spans="1:100" ht="15.6" x14ac:dyDescent="0.25">
      <c r="A171" s="2" t="s">
        <v>672</v>
      </c>
      <c r="B171" s="217" t="s">
        <v>796</v>
      </c>
      <c r="C171" s="2" t="s">
        <v>670</v>
      </c>
      <c r="D171" s="4">
        <v>2.96831633333333</v>
      </c>
      <c r="E171" s="4">
        <v>4.7798437096271709</v>
      </c>
      <c r="F171" s="5">
        <v>6.3894760767299177</v>
      </c>
      <c r="G171" s="4">
        <v>1.3183948319117855</v>
      </c>
      <c r="H171" s="4">
        <v>0.15978198639879918</v>
      </c>
      <c r="Z171" s="5">
        <v>141.35769999999999</v>
      </c>
      <c r="AA171" s="4">
        <v>23.493298775206444</v>
      </c>
      <c r="AB171" s="4">
        <v>82.711169505439031</v>
      </c>
      <c r="AC171" s="5">
        <v>65.210091137589245</v>
      </c>
      <c r="AF171" s="5">
        <v>7.7329999999999997</v>
      </c>
      <c r="AG171" s="4">
        <v>43.983288503814819</v>
      </c>
      <c r="AI171" s="15">
        <v>345.4189835768783</v>
      </c>
      <c r="AK171" s="4">
        <v>4.8314198887883091</v>
      </c>
      <c r="BS171" s="4">
        <v>11.731688485598999</v>
      </c>
      <c r="BT171" s="5">
        <v>11.8857903</v>
      </c>
      <c r="BU171" s="5">
        <v>33.234557502759998</v>
      </c>
      <c r="BV171" s="4">
        <v>3.5659999999999998</v>
      </c>
      <c r="CQ171" s="127" t="s">
        <v>35</v>
      </c>
      <c r="CU171" s="230" t="s">
        <v>1730</v>
      </c>
      <c r="CV171" s="230" t="s">
        <v>1733</v>
      </c>
    </row>
    <row r="172" spans="1:100" x14ac:dyDescent="0.25">
      <c r="A172" s="2" t="s">
        <v>673</v>
      </c>
      <c r="B172" s="217" t="s">
        <v>796</v>
      </c>
      <c r="C172" s="2" t="s">
        <v>675</v>
      </c>
      <c r="D172" s="3">
        <v>8.6513999999999994E-2</v>
      </c>
      <c r="F172" s="5">
        <v>25.287921030122295</v>
      </c>
      <c r="H172" s="5">
        <v>2.7764431190327579</v>
      </c>
      <c r="I172" s="5">
        <v>2.8638763668308012</v>
      </c>
      <c r="AL172" s="5">
        <v>2.86</v>
      </c>
      <c r="AM172" s="5">
        <v>51.403111888111887</v>
      </c>
      <c r="AO172" s="5">
        <v>66.109790209790205</v>
      </c>
      <c r="BT172" s="4">
        <v>0.18907399999999999</v>
      </c>
      <c r="BW172" s="4">
        <v>1.472</v>
      </c>
      <c r="CQ172" s="18" t="s">
        <v>35</v>
      </c>
      <c r="CU172" s="230" t="s">
        <v>1730</v>
      </c>
      <c r="CV172" s="230" t="s">
        <v>1743</v>
      </c>
    </row>
    <row r="173" spans="1:100" x14ac:dyDescent="0.25">
      <c r="A173" s="2" t="s">
        <v>479</v>
      </c>
      <c r="B173" s="217" t="s">
        <v>796</v>
      </c>
      <c r="C173" s="2" t="s">
        <v>481</v>
      </c>
      <c r="D173" s="4">
        <v>1.5125537499999999</v>
      </c>
      <c r="E173" s="4">
        <v>1.3343224992830836</v>
      </c>
      <c r="BS173" s="4">
        <v>2.0182345000000002</v>
      </c>
      <c r="CQ173" s="18" t="s">
        <v>35</v>
      </c>
      <c r="CU173" s="230" t="s">
        <v>1730</v>
      </c>
      <c r="CV173" s="230" t="s">
        <v>1368</v>
      </c>
    </row>
    <row r="174" spans="1:100" ht="15.6" x14ac:dyDescent="0.25">
      <c r="A174" s="2" t="s">
        <v>480</v>
      </c>
      <c r="B174" s="217" t="s">
        <v>796</v>
      </c>
      <c r="C174" s="2" t="s">
        <v>482</v>
      </c>
      <c r="D174" s="5">
        <v>146.13</v>
      </c>
      <c r="E174" s="4">
        <v>0.45725195246981332</v>
      </c>
      <c r="G174" s="4">
        <v>0.95901938423602862</v>
      </c>
      <c r="BS174" s="4">
        <v>48.77900799567508</v>
      </c>
      <c r="BU174" s="6">
        <v>1224.728157736879</v>
      </c>
      <c r="CQ174" s="4">
        <v>0.77842599999999995</v>
      </c>
      <c r="CS174" s="233" t="s">
        <v>2177</v>
      </c>
      <c r="CU174" s="230" t="s">
        <v>1729</v>
      </c>
      <c r="CV174" s="230" t="s">
        <v>1733</v>
      </c>
    </row>
    <row r="175" spans="1:100" ht="15.6" x14ac:dyDescent="0.25">
      <c r="A175" s="2" t="s">
        <v>338</v>
      </c>
      <c r="B175" s="217" t="s">
        <v>796</v>
      </c>
      <c r="C175" s="2" t="s">
        <v>239</v>
      </c>
      <c r="D175" s="3">
        <v>0.354051</v>
      </c>
      <c r="E175" s="4">
        <v>3.4161758899141654</v>
      </c>
      <c r="BS175" s="4">
        <v>1.1462215999999998</v>
      </c>
      <c r="CQ175" s="18" t="s">
        <v>35</v>
      </c>
      <c r="CU175" s="230" t="s">
        <v>1729</v>
      </c>
      <c r="CV175" s="230" t="s">
        <v>1368</v>
      </c>
    </row>
    <row r="176" spans="1:100" x14ac:dyDescent="0.25">
      <c r="A176" s="2" t="s">
        <v>339</v>
      </c>
      <c r="B176" s="217" t="s">
        <v>796</v>
      </c>
      <c r="C176" s="2" t="s">
        <v>229</v>
      </c>
      <c r="D176" s="3">
        <v>9.3903E-2</v>
      </c>
      <c r="E176" s="4">
        <v>5.9896905956146229</v>
      </c>
      <c r="BS176" s="3">
        <v>0.56244991600000005</v>
      </c>
      <c r="CQ176" s="18" t="s">
        <v>35</v>
      </c>
      <c r="CU176" s="230" t="s">
        <v>1734</v>
      </c>
      <c r="CV176" s="230" t="s">
        <v>1368</v>
      </c>
    </row>
    <row r="177" spans="1:100" x14ac:dyDescent="0.25">
      <c r="A177" s="2" t="s">
        <v>340</v>
      </c>
      <c r="B177" s="217" t="s">
        <v>796</v>
      </c>
      <c r="C177" s="2" t="s">
        <v>349</v>
      </c>
      <c r="D177" s="4">
        <v>4.5898589999999997</v>
      </c>
      <c r="E177" s="4">
        <v>1.530540108094824</v>
      </c>
      <c r="BS177" s="4">
        <v>4.7450825000000005</v>
      </c>
      <c r="CQ177" s="4">
        <v>5.4019130000000004</v>
      </c>
      <c r="CU177" s="230" t="s">
        <v>1734</v>
      </c>
      <c r="CV177" s="230" t="s">
        <v>1368</v>
      </c>
    </row>
    <row r="178" spans="1:100" ht="15.6" x14ac:dyDescent="0.25">
      <c r="A178" s="2" t="s">
        <v>341</v>
      </c>
      <c r="B178" s="217" t="s">
        <v>796</v>
      </c>
      <c r="C178" s="21" t="s">
        <v>305</v>
      </c>
      <c r="D178" s="5">
        <v>18.901114259259302</v>
      </c>
      <c r="E178" s="4">
        <v>5.648874243853367</v>
      </c>
      <c r="F178" s="5">
        <v>10.261744589484666</v>
      </c>
      <c r="G178" s="4">
        <v>0.82855653109300809</v>
      </c>
      <c r="H178" s="233" t="s">
        <v>1789</v>
      </c>
      <c r="I178" s="233" t="s">
        <v>1790</v>
      </c>
      <c r="Z178" s="233" t="s">
        <v>1933</v>
      </c>
      <c r="AA178" s="233" t="s">
        <v>1930</v>
      </c>
      <c r="AB178" s="233" t="s">
        <v>1931</v>
      </c>
      <c r="AC178" s="233" t="s">
        <v>1932</v>
      </c>
      <c r="AF178" s="234" t="s">
        <v>2014</v>
      </c>
      <c r="AG178" s="234" t="s">
        <v>2013</v>
      </c>
      <c r="AH178" s="234" t="s">
        <v>2012</v>
      </c>
      <c r="AL178" s="234" t="s">
        <v>2015</v>
      </c>
      <c r="AM178" s="234" t="s">
        <v>2016</v>
      </c>
      <c r="BK178" s="234" t="s">
        <v>2130</v>
      </c>
      <c r="BL178" s="5"/>
      <c r="BM178" s="234" t="s">
        <v>2131</v>
      </c>
      <c r="BN178" s="234" t="s">
        <v>2132</v>
      </c>
      <c r="BS178" s="4">
        <v>98.706012807999997</v>
      </c>
      <c r="BT178" s="4">
        <v>73.850617573004996</v>
      </c>
      <c r="BU178" s="5">
        <v>124.979494378572</v>
      </c>
      <c r="BV178" s="4">
        <v>85.198407000000003</v>
      </c>
      <c r="BW178" s="4">
        <v>45.705325000000002</v>
      </c>
      <c r="CQ178" s="18" t="s">
        <v>35</v>
      </c>
      <c r="CU178" s="230" t="s">
        <v>1729</v>
      </c>
      <c r="CV178" s="230" t="s">
        <v>1744</v>
      </c>
    </row>
    <row r="179" spans="1:100" ht="15.6" x14ac:dyDescent="0.25">
      <c r="A179" s="2" t="s">
        <v>342</v>
      </c>
      <c r="B179" s="217" t="s">
        <v>796</v>
      </c>
      <c r="C179" s="2" t="s">
        <v>433</v>
      </c>
      <c r="D179" s="5">
        <v>115.80549120000001</v>
      </c>
      <c r="E179" s="4">
        <v>1.2989379245947192</v>
      </c>
      <c r="BS179" s="5">
        <v>122.481441</v>
      </c>
      <c r="BT179" s="4">
        <v>25.0436482</v>
      </c>
      <c r="CQ179" s="5">
        <v>308.759928</v>
      </c>
      <c r="CU179" s="230" t="s">
        <v>1729</v>
      </c>
      <c r="CV179" s="230" t="s">
        <v>1368</v>
      </c>
    </row>
    <row r="180" spans="1:100" x14ac:dyDescent="0.25">
      <c r="A180" s="2" t="s">
        <v>343</v>
      </c>
      <c r="B180" s="217" t="s">
        <v>796</v>
      </c>
      <c r="C180" s="2">
        <v>1997</v>
      </c>
      <c r="D180" s="2">
        <v>8.1000000000000003E-2</v>
      </c>
      <c r="E180" s="2">
        <v>3.35</v>
      </c>
      <c r="BS180" s="3">
        <v>0.27134999999999998</v>
      </c>
      <c r="CQ180" s="18" t="s">
        <v>35</v>
      </c>
      <c r="CU180" s="230" t="s">
        <v>1738</v>
      </c>
      <c r="CV180" s="230" t="s">
        <v>1368</v>
      </c>
    </row>
    <row r="181" spans="1:100" x14ac:dyDescent="0.25">
      <c r="A181" s="2" t="s">
        <v>687</v>
      </c>
      <c r="B181" s="217" t="s">
        <v>796</v>
      </c>
      <c r="C181" s="2">
        <v>1999</v>
      </c>
      <c r="D181" s="4">
        <v>1.202037</v>
      </c>
      <c r="E181" s="4">
        <v>0.80429183960227513</v>
      </c>
      <c r="BS181" s="3">
        <v>0.96678854999999997</v>
      </c>
      <c r="CQ181" s="4">
        <v>0.53484399999999999</v>
      </c>
      <c r="CS181" s="233" t="s">
        <v>2177</v>
      </c>
      <c r="CU181" s="230" t="s">
        <v>1734</v>
      </c>
      <c r="CV181" s="230" t="s">
        <v>1368</v>
      </c>
    </row>
    <row r="182" spans="1:100" x14ac:dyDescent="0.25">
      <c r="A182" s="2" t="s">
        <v>344</v>
      </c>
      <c r="B182" s="217" t="s">
        <v>796</v>
      </c>
      <c r="C182" s="2">
        <v>1992</v>
      </c>
      <c r="D182" s="3">
        <v>4.8173000000000001E-2</v>
      </c>
      <c r="E182" s="4">
        <v>5.6297095883586241</v>
      </c>
      <c r="I182" s="208"/>
      <c r="J182" s="208"/>
      <c r="K182" s="208"/>
      <c r="L182" s="208"/>
      <c r="BS182" s="3">
        <v>0.2712</v>
      </c>
      <c r="CQ182" s="18" t="s">
        <v>35</v>
      </c>
      <c r="CU182" s="230" t="s">
        <v>1738</v>
      </c>
      <c r="CV182" s="230" t="s">
        <v>1368</v>
      </c>
    </row>
    <row r="183" spans="1:100" ht="15.6" x14ac:dyDescent="0.25">
      <c r="A183" s="2" t="s">
        <v>345</v>
      </c>
      <c r="B183" s="217" t="s">
        <v>796</v>
      </c>
      <c r="C183" s="229" t="s">
        <v>99</v>
      </c>
      <c r="D183" s="3">
        <v>0.55703599999999998</v>
      </c>
      <c r="E183" s="4">
        <v>3.0419335734135675</v>
      </c>
      <c r="I183" s="208"/>
      <c r="J183" s="208"/>
      <c r="K183" s="208"/>
      <c r="L183" s="208"/>
      <c r="BS183" s="4">
        <v>1.25101226</v>
      </c>
      <c r="CQ183" s="4">
        <v>0.54147000000000001</v>
      </c>
      <c r="CS183" s="233" t="s">
        <v>2177</v>
      </c>
      <c r="CU183" s="230" t="s">
        <v>1729</v>
      </c>
      <c r="CV183" s="230" t="s">
        <v>1368</v>
      </c>
    </row>
    <row r="184" spans="1:100" x14ac:dyDescent="0.25">
      <c r="A184" s="2" t="s">
        <v>346</v>
      </c>
      <c r="B184" s="217" t="s">
        <v>796</v>
      </c>
      <c r="C184" s="2" t="s">
        <v>100</v>
      </c>
      <c r="D184" s="4">
        <v>3.2407520000000001</v>
      </c>
      <c r="E184" s="4">
        <v>2.9182390694251765</v>
      </c>
      <c r="I184" s="208"/>
      <c r="J184" s="208"/>
      <c r="K184" s="208"/>
      <c r="L184" s="208"/>
      <c r="BS184" s="3">
        <v>7.0673817000000012</v>
      </c>
      <c r="CQ184" s="4">
        <v>8.2248875475759995</v>
      </c>
      <c r="CS184" s="233" t="s">
        <v>2177</v>
      </c>
      <c r="CU184" s="230" t="s">
        <v>1734</v>
      </c>
      <c r="CV184" s="230" t="s">
        <v>1368</v>
      </c>
    </row>
    <row r="185" spans="1:100" ht="15.6" x14ac:dyDescent="0.25">
      <c r="A185" s="2" t="s">
        <v>698</v>
      </c>
      <c r="B185" s="217" t="s">
        <v>796</v>
      </c>
      <c r="C185" s="21" t="s">
        <v>1306</v>
      </c>
      <c r="D185" s="4">
        <v>1.0383089999999999</v>
      </c>
      <c r="E185" s="233" t="s">
        <v>1791</v>
      </c>
      <c r="P185" s="233" t="s">
        <v>1927</v>
      </c>
      <c r="Q185" s="2" t="s">
        <v>423</v>
      </c>
      <c r="BK185" s="234" t="s">
        <v>2133</v>
      </c>
      <c r="BQ185" s="234" t="s">
        <v>2134</v>
      </c>
      <c r="BR185" s="2" t="s">
        <v>423</v>
      </c>
      <c r="BS185" s="3">
        <v>4.9180069966221396</v>
      </c>
      <c r="BT185" s="3">
        <v>2.8590000000000001E-2</v>
      </c>
      <c r="CG185" s="4">
        <v>19.851639095893159</v>
      </c>
      <c r="CQ185" s="18" t="s">
        <v>35</v>
      </c>
      <c r="CU185" s="230" t="s">
        <v>1730</v>
      </c>
      <c r="CV185" s="230" t="s">
        <v>1745</v>
      </c>
    </row>
    <row r="186" spans="1:100" x14ac:dyDescent="0.25">
      <c r="A186" s="2" t="s">
        <v>347</v>
      </c>
      <c r="B186" s="217" t="s">
        <v>796</v>
      </c>
      <c r="C186" s="2" t="s">
        <v>348</v>
      </c>
      <c r="D186" s="4">
        <v>7.3619628571428573</v>
      </c>
      <c r="E186" s="4">
        <v>2.2457491523440996</v>
      </c>
      <c r="F186" s="4">
        <v>3.9681599909754919</v>
      </c>
      <c r="BS186" s="4">
        <v>13.587621585714288</v>
      </c>
      <c r="BT186" s="4">
        <v>19.185038953571429</v>
      </c>
      <c r="CQ186" s="4">
        <v>4.9272065999999999</v>
      </c>
      <c r="CS186" s="233" t="s">
        <v>2177</v>
      </c>
      <c r="CU186" s="230" t="s">
        <v>1734</v>
      </c>
      <c r="CV186" s="230" t="s">
        <v>1368</v>
      </c>
    </row>
    <row r="187" spans="1:100" ht="15.6" x14ac:dyDescent="0.25">
      <c r="A187" s="2" t="s">
        <v>350</v>
      </c>
      <c r="B187" s="217" t="s">
        <v>796</v>
      </c>
      <c r="C187" s="2" t="s">
        <v>351</v>
      </c>
      <c r="D187" s="4">
        <v>8.0477360000000004</v>
      </c>
      <c r="E187" s="4">
        <v>2.030746310515156</v>
      </c>
      <c r="BS187" s="4">
        <v>14.741835399999999</v>
      </c>
      <c r="CQ187" s="4">
        <v>64.692500799999991</v>
      </c>
      <c r="CU187" s="230" t="s">
        <v>1729</v>
      </c>
      <c r="CV187" s="230" t="s">
        <v>1368</v>
      </c>
    </row>
    <row r="188" spans="1:100" x14ac:dyDescent="0.25">
      <c r="A188" s="2" t="s">
        <v>352</v>
      </c>
      <c r="B188" s="217" t="s">
        <v>796</v>
      </c>
      <c r="C188" s="2" t="s">
        <v>237</v>
      </c>
      <c r="D188" s="4">
        <v>2.650347</v>
      </c>
      <c r="E188" s="4">
        <v>1.6701294245621421</v>
      </c>
      <c r="BS188" s="3">
        <v>3.9455325999999999</v>
      </c>
      <c r="BT188" s="3">
        <v>2.6412296999999998</v>
      </c>
      <c r="CQ188" s="4">
        <v>4.1314004000000004</v>
      </c>
      <c r="CS188" s="233" t="s">
        <v>2177</v>
      </c>
      <c r="CU188" s="230" t="s">
        <v>1730</v>
      </c>
      <c r="CV188" s="230" t="s">
        <v>1368</v>
      </c>
    </row>
    <row r="189" spans="1:100" x14ac:dyDescent="0.25">
      <c r="A189" s="2" t="s">
        <v>353</v>
      </c>
      <c r="B189" s="217" t="s">
        <v>796</v>
      </c>
      <c r="C189" s="2" t="s">
        <v>267</v>
      </c>
      <c r="D189" s="4">
        <v>1.441576</v>
      </c>
      <c r="E189" s="4">
        <v>4.1790158964910624</v>
      </c>
      <c r="BS189" s="3">
        <v>5.0568430000000006</v>
      </c>
      <c r="BT189" s="3">
        <v>0.155032</v>
      </c>
      <c r="CQ189" s="18" t="s">
        <v>35</v>
      </c>
      <c r="CU189" s="230" t="s">
        <v>1730</v>
      </c>
      <c r="CV189" s="230" t="s">
        <v>1368</v>
      </c>
    </row>
    <row r="190" spans="1:100" x14ac:dyDescent="0.25">
      <c r="A190" s="2" t="s">
        <v>692</v>
      </c>
      <c r="B190" s="217" t="s">
        <v>796</v>
      </c>
      <c r="C190" s="2" t="s">
        <v>253</v>
      </c>
      <c r="D190" s="3">
        <v>0.51415414999999998</v>
      </c>
      <c r="E190" s="4">
        <v>2.0232773436364595</v>
      </c>
      <c r="F190" s="5">
        <v>62.705767428919195</v>
      </c>
      <c r="BS190" s="3">
        <v>0.80987096204383968</v>
      </c>
      <c r="BT190" s="4">
        <v>15.896977913726444</v>
      </c>
      <c r="CQ190" s="4">
        <v>2.5734499819913244</v>
      </c>
      <c r="CU190" s="230" t="s">
        <v>1730</v>
      </c>
      <c r="CV190" s="230" t="s">
        <v>1742</v>
      </c>
    </row>
    <row r="191" spans="1:100" ht="15.6" x14ac:dyDescent="0.25">
      <c r="A191" s="2" t="s">
        <v>354</v>
      </c>
      <c r="B191" s="217" t="s">
        <v>796</v>
      </c>
      <c r="C191" s="2" t="s">
        <v>699</v>
      </c>
      <c r="D191" s="5">
        <v>14.350702999999999</v>
      </c>
      <c r="E191" s="5">
        <v>0.53705845298177735</v>
      </c>
      <c r="F191" s="5">
        <v>70.676706689304268</v>
      </c>
      <c r="G191" s="5">
        <v>1.5845832682752909</v>
      </c>
      <c r="H191" s="5">
        <v>3.5216162590433151</v>
      </c>
      <c r="I191" s="5">
        <v>8.4186866864324372</v>
      </c>
      <c r="R191" s="2">
        <v>60</v>
      </c>
      <c r="S191" s="2">
        <v>7.6000000000000005</v>
      </c>
      <c r="U191" s="15">
        <v>532.29000000000008</v>
      </c>
      <c r="V191" s="5">
        <v>5.7066666666666679</v>
      </c>
      <c r="Z191" s="5">
        <v>747.06357142857098</v>
      </c>
      <c r="AA191" s="4">
        <v>20.459691229183978</v>
      </c>
      <c r="AB191" s="4">
        <v>1.7727932505265858</v>
      </c>
      <c r="AC191" s="15">
        <v>226.0391303474843</v>
      </c>
      <c r="AD191" s="5">
        <v>6.4160643372560413</v>
      </c>
      <c r="AE191" s="5">
        <v>6.6666386897310428</v>
      </c>
      <c r="AF191" s="5">
        <v>702.678</v>
      </c>
      <c r="AG191" s="4">
        <v>33.587261875282849</v>
      </c>
      <c r="AH191" s="4">
        <v>17.840447544963695</v>
      </c>
      <c r="AI191" s="15">
        <v>338.12841728359223</v>
      </c>
      <c r="AJ191" s="5">
        <v>2.6151888631777278</v>
      </c>
      <c r="AK191" s="5">
        <v>0.98473055937427934</v>
      </c>
      <c r="AL191" s="6">
        <v>1829.04512222222</v>
      </c>
      <c r="AM191" s="4">
        <v>49.147031365078831</v>
      </c>
      <c r="AN191" s="4">
        <v>3.422679535862978</v>
      </c>
      <c r="AO191" s="15">
        <v>97.991193231056968</v>
      </c>
      <c r="AP191" s="5">
        <v>0.92308295644319271</v>
      </c>
      <c r="BS191" s="3">
        <v>2.0163377571428569</v>
      </c>
      <c r="BT191" s="5">
        <v>585.69131400000003</v>
      </c>
      <c r="BU191" s="5">
        <v>188.10686058888888</v>
      </c>
      <c r="BV191" s="6">
        <v>1024.2822799</v>
      </c>
      <c r="BW191" s="5">
        <v>298.61265309999999</v>
      </c>
      <c r="CQ191" s="17">
        <v>20</v>
      </c>
      <c r="CS191" s="233" t="s">
        <v>2177</v>
      </c>
      <c r="CU191" s="230" t="s">
        <v>1730</v>
      </c>
      <c r="CV191" s="230" t="s">
        <v>1736</v>
      </c>
    </row>
    <row r="192" spans="1:100" ht="15.6" x14ac:dyDescent="0.25">
      <c r="A192" s="2" t="s">
        <v>706</v>
      </c>
      <c r="B192" s="217" t="s">
        <v>796</v>
      </c>
      <c r="C192" s="2" t="s">
        <v>699</v>
      </c>
      <c r="D192" s="4">
        <v>2.774003</v>
      </c>
      <c r="E192" s="2">
        <v>0.24</v>
      </c>
      <c r="F192" s="15">
        <v>24.039045451645148</v>
      </c>
      <c r="G192" s="2">
        <v>0.34</v>
      </c>
      <c r="H192" s="2">
        <v>1.1299999999999999</v>
      </c>
      <c r="I192" s="5">
        <v>2.7722430365071702</v>
      </c>
      <c r="CQ192" s="18" t="s">
        <v>35</v>
      </c>
      <c r="CU192" s="230" t="s">
        <v>1730</v>
      </c>
      <c r="CV192" s="230" t="s">
        <v>1736</v>
      </c>
    </row>
    <row r="193" spans="1:100" ht="15.6" x14ac:dyDescent="0.25">
      <c r="A193" s="2" t="s">
        <v>355</v>
      </c>
      <c r="B193" s="217" t="s">
        <v>796</v>
      </c>
      <c r="C193" s="2" t="s">
        <v>384</v>
      </c>
      <c r="D193" s="5">
        <v>235.46159709154901</v>
      </c>
      <c r="E193" s="5">
        <v>0.21558013732542486</v>
      </c>
      <c r="F193" s="15">
        <v>162.47435159013568</v>
      </c>
      <c r="G193" s="5">
        <v>0.1072864313842993</v>
      </c>
      <c r="H193" s="5">
        <v>9.6941226041026081</v>
      </c>
      <c r="I193" s="5">
        <v>9.8708593771356963</v>
      </c>
      <c r="AF193" s="6">
        <v>26544.7727544726</v>
      </c>
      <c r="AG193" s="5">
        <v>70.491785953971188</v>
      </c>
      <c r="AH193" s="5">
        <v>5.4566868826452817</v>
      </c>
      <c r="AI193" s="15">
        <v>818.53106037605278</v>
      </c>
      <c r="AL193" s="6">
        <v>33470.357946433898</v>
      </c>
      <c r="AM193" s="5">
        <v>50.94447692648172</v>
      </c>
      <c r="AN193" s="5">
        <v>1.9</v>
      </c>
      <c r="AO193" s="15">
        <v>55.071509863096871</v>
      </c>
      <c r="BS193" s="5">
        <v>50.760843435859996</v>
      </c>
      <c r="BT193" s="6">
        <v>35748.897206537898</v>
      </c>
      <c r="BU193" s="5">
        <v>252.61834479999999</v>
      </c>
      <c r="BV193" s="6">
        <v>21928.439386236099</v>
      </c>
      <c r="BW193" s="6">
        <v>20982.2780167173</v>
      </c>
      <c r="BY193" s="4">
        <v>0.95849440000000008</v>
      </c>
      <c r="CQ193" s="4">
        <v>6.57705543375</v>
      </c>
      <c r="CR193" s="233" t="s">
        <v>1376</v>
      </c>
      <c r="CS193" s="233" t="s">
        <v>2177</v>
      </c>
      <c r="CU193" s="230" t="s">
        <v>1729</v>
      </c>
      <c r="CV193" s="230" t="s">
        <v>1746</v>
      </c>
    </row>
    <row r="194" spans="1:100" ht="15.6" x14ac:dyDescent="0.25">
      <c r="A194" s="2" t="s">
        <v>705</v>
      </c>
      <c r="B194" s="217" t="s">
        <v>796</v>
      </c>
      <c r="C194" s="2" t="s">
        <v>707</v>
      </c>
      <c r="D194" s="5">
        <v>33.620748767908601</v>
      </c>
      <c r="F194" s="15">
        <v>133.14296665490767</v>
      </c>
      <c r="H194" s="5">
        <v>4.0944501768193318</v>
      </c>
      <c r="I194" s="5">
        <v>10.533175160877615</v>
      </c>
      <c r="AF194" s="5">
        <v>971.660167800968</v>
      </c>
      <c r="AG194" s="5">
        <v>39.907136080594348</v>
      </c>
      <c r="AH194" s="5">
        <v>12.812315316678669</v>
      </c>
      <c r="AI194" s="15">
        <v>874.72320891400784</v>
      </c>
      <c r="AL194" s="6">
        <v>5705.4032836503302</v>
      </c>
      <c r="AM194" s="5">
        <v>45.578730897261991</v>
      </c>
      <c r="AN194" s="5">
        <v>7.4803257496478412</v>
      </c>
      <c r="AO194" s="15">
        <v>358.33368588061512</v>
      </c>
      <c r="BT194" s="6">
        <v>2894.3718880185738</v>
      </c>
      <c r="BV194" s="5">
        <v>814.5444963534128</v>
      </c>
      <c r="BW194" s="6">
        <v>2724.9425737637625</v>
      </c>
      <c r="CQ194" s="18" t="s">
        <v>35</v>
      </c>
      <c r="CU194" s="230" t="s">
        <v>1730</v>
      </c>
      <c r="CV194" s="230" t="s">
        <v>1746</v>
      </c>
    </row>
    <row r="195" spans="1:100" x14ac:dyDescent="0.25">
      <c r="A195" s="2" t="s">
        <v>359</v>
      </c>
      <c r="B195" s="215" t="s">
        <v>793</v>
      </c>
      <c r="C195" s="2" t="s">
        <v>360</v>
      </c>
      <c r="D195" s="4">
        <v>5.3212859999999997</v>
      </c>
      <c r="G195" s="4">
        <v>0.50232155723259375</v>
      </c>
      <c r="N195" s="5">
        <v>53.969956935222051</v>
      </c>
      <c r="O195" s="5">
        <v>53.969956935222051</v>
      </c>
      <c r="BK195" s="4">
        <v>5.3212859999999997</v>
      </c>
      <c r="BQ195" s="5">
        <v>53.969956935222051</v>
      </c>
      <c r="BR195" s="2" t="s">
        <v>358</v>
      </c>
      <c r="BU195" s="5">
        <v>13.364983349999999</v>
      </c>
      <c r="CQ195" s="4">
        <v>30.8410592</v>
      </c>
      <c r="CU195" s="230" t="s">
        <v>1730</v>
      </c>
      <c r="CV195" s="230" t="s">
        <v>1747</v>
      </c>
    </row>
    <row r="196" spans="1:100" ht="15.6" x14ac:dyDescent="0.25">
      <c r="A196" s="2" t="s">
        <v>364</v>
      </c>
      <c r="B196" s="216" t="s">
        <v>797</v>
      </c>
      <c r="C196" s="2" t="s">
        <v>365</v>
      </c>
      <c r="D196" s="5">
        <v>64.573907000000005</v>
      </c>
      <c r="P196" s="4">
        <v>0.23241216294996678</v>
      </c>
      <c r="Q196" s="2" t="s">
        <v>362</v>
      </c>
      <c r="CC196" s="5">
        <v>132.17147299999999</v>
      </c>
      <c r="CQ196" s="5">
        <v>200.02935500000001</v>
      </c>
      <c r="CU196" s="230" t="s">
        <v>1748</v>
      </c>
      <c r="CV196" s="230" t="s">
        <v>1381</v>
      </c>
    </row>
    <row r="197" spans="1:100" ht="15.6" x14ac:dyDescent="0.25">
      <c r="A197" s="2" t="s">
        <v>713</v>
      </c>
      <c r="B197" s="215" t="s">
        <v>793</v>
      </c>
      <c r="C197" s="2" t="s">
        <v>476</v>
      </c>
      <c r="CC197" s="3">
        <v>8.7956699999999994</v>
      </c>
      <c r="CQ197" s="18" t="s">
        <v>35</v>
      </c>
      <c r="CU197" s="230" t="s">
        <v>1729</v>
      </c>
      <c r="CV197" s="230" t="s">
        <v>1381</v>
      </c>
    </row>
    <row r="198" spans="1:100" ht="15.6" x14ac:dyDescent="0.25">
      <c r="A198" s="2" t="s">
        <v>714</v>
      </c>
      <c r="B198" s="215" t="s">
        <v>793</v>
      </c>
      <c r="C198" s="2" t="s">
        <v>351</v>
      </c>
      <c r="CC198" s="4">
        <v>13.501139</v>
      </c>
      <c r="CQ198" s="18" t="s">
        <v>35</v>
      </c>
      <c r="CU198" s="230" t="s">
        <v>1729</v>
      </c>
      <c r="CV198" s="230" t="s">
        <v>1381</v>
      </c>
    </row>
    <row r="199" spans="1:100" ht="15.6" x14ac:dyDescent="0.25">
      <c r="A199" s="2" t="s">
        <v>715</v>
      </c>
      <c r="B199" s="215" t="s">
        <v>793</v>
      </c>
      <c r="C199" s="2" t="s">
        <v>351</v>
      </c>
      <c r="CC199" s="3">
        <v>0.35472503103945702</v>
      </c>
      <c r="CQ199" s="18" t="s">
        <v>35</v>
      </c>
      <c r="CU199" s="230" t="s">
        <v>1729</v>
      </c>
      <c r="CV199" s="230" t="s">
        <v>1381</v>
      </c>
    </row>
    <row r="200" spans="1:100" ht="15.6" x14ac:dyDescent="0.25">
      <c r="A200" s="2" t="s">
        <v>366</v>
      </c>
      <c r="B200" s="216" t="s">
        <v>797</v>
      </c>
      <c r="C200" s="2" t="s">
        <v>368</v>
      </c>
      <c r="D200" s="3">
        <v>0.59795699999999996</v>
      </c>
      <c r="P200" s="2">
        <v>1.84</v>
      </c>
      <c r="Q200" s="2" t="s">
        <v>362</v>
      </c>
      <c r="CC200" s="4">
        <v>10.810627999999999</v>
      </c>
      <c r="CQ200" s="2">
        <v>2.33</v>
      </c>
      <c r="CU200" s="230" t="s">
        <v>1734</v>
      </c>
      <c r="CV200" s="230" t="s">
        <v>1381</v>
      </c>
    </row>
    <row r="201" spans="1:100" ht="15.6" x14ac:dyDescent="0.25">
      <c r="A201" s="2" t="s">
        <v>367</v>
      </c>
      <c r="B201" s="216" t="s">
        <v>797</v>
      </c>
      <c r="C201" s="2">
        <v>1989</v>
      </c>
      <c r="D201" s="2">
        <v>0.157</v>
      </c>
      <c r="P201" s="233" t="s">
        <v>1792</v>
      </c>
      <c r="Q201" s="2" t="s">
        <v>362</v>
      </c>
      <c r="CC201" s="4">
        <v>0.144372</v>
      </c>
      <c r="CQ201" s="18" t="s">
        <v>35</v>
      </c>
      <c r="CR201" s="233" t="s">
        <v>2187</v>
      </c>
      <c r="CU201" s="230" t="s">
        <v>1734</v>
      </c>
      <c r="CV201" s="230" t="s">
        <v>1381</v>
      </c>
    </row>
    <row r="202" spans="1:100" ht="15.6" x14ac:dyDescent="0.25">
      <c r="A202" s="2" t="s">
        <v>372</v>
      </c>
      <c r="B202" s="213" t="s">
        <v>798</v>
      </c>
      <c r="C202" s="2" t="s">
        <v>373</v>
      </c>
      <c r="D202" s="4">
        <v>8.8680942512000005</v>
      </c>
      <c r="P202" s="4">
        <v>0.12162634174525698</v>
      </c>
      <c r="Q202" s="2" t="s">
        <v>362</v>
      </c>
      <c r="CC202" s="3">
        <v>8.8927600000000009</v>
      </c>
      <c r="CQ202" s="4">
        <v>22.6747178464</v>
      </c>
      <c r="CU202" s="230" t="s">
        <v>1734</v>
      </c>
      <c r="CV202" s="230" t="s">
        <v>1381</v>
      </c>
    </row>
    <row r="203" spans="1:100" ht="15.6" x14ac:dyDescent="0.25">
      <c r="A203" s="2" t="s">
        <v>654</v>
      </c>
      <c r="B203" s="216" t="s">
        <v>797</v>
      </c>
      <c r="C203" s="2" t="s">
        <v>374</v>
      </c>
      <c r="D203" s="3">
        <v>0.1377874</v>
      </c>
      <c r="P203" s="4">
        <v>0.44184471605872322</v>
      </c>
      <c r="Q203" s="2" t="s">
        <v>362</v>
      </c>
      <c r="CC203" s="3">
        <v>0.71601000000000004</v>
      </c>
      <c r="CQ203" s="18" t="s">
        <v>35</v>
      </c>
      <c r="CU203" s="230" t="s">
        <v>1734</v>
      </c>
      <c r="CV203" s="230" t="s">
        <v>1381</v>
      </c>
    </row>
    <row r="204" spans="1:100" ht="15.6" x14ac:dyDescent="0.25">
      <c r="A204" s="2" t="s">
        <v>369</v>
      </c>
      <c r="B204" s="216" t="s">
        <v>797</v>
      </c>
      <c r="C204" s="2" t="s">
        <v>375</v>
      </c>
      <c r="D204" s="3">
        <v>1.3417999999999999E-2</v>
      </c>
      <c r="P204" s="4">
        <v>1.1067416902668057</v>
      </c>
      <c r="Q204" s="2" t="s">
        <v>362</v>
      </c>
      <c r="CC204" s="3">
        <v>0.13969999999999999</v>
      </c>
      <c r="CQ204" s="18" t="s">
        <v>35</v>
      </c>
      <c r="CU204" s="230" t="s">
        <v>1738</v>
      </c>
      <c r="CV204" s="230" t="s">
        <v>1381</v>
      </c>
    </row>
    <row r="205" spans="1:100" ht="15.6" x14ac:dyDescent="0.25">
      <c r="A205" s="2" t="s">
        <v>382</v>
      </c>
      <c r="B205" s="215" t="s">
        <v>793</v>
      </c>
      <c r="C205" s="2" t="s">
        <v>383</v>
      </c>
      <c r="D205" s="3">
        <v>0.96906999999999999</v>
      </c>
      <c r="P205" s="4">
        <v>0.11700000000000001</v>
      </c>
      <c r="Q205" s="2" t="s">
        <v>362</v>
      </c>
      <c r="CQ205" s="18" t="s">
        <v>35</v>
      </c>
      <c r="CU205" s="230" t="s">
        <v>1734</v>
      </c>
      <c r="CV205" s="230" t="s">
        <v>1381</v>
      </c>
    </row>
    <row r="206" spans="1:100" ht="15.6" x14ac:dyDescent="0.25">
      <c r="A206" s="2" t="s">
        <v>370</v>
      </c>
      <c r="B206" s="215" t="s">
        <v>793</v>
      </c>
      <c r="C206" s="2" t="s">
        <v>381</v>
      </c>
      <c r="D206" s="3">
        <v>0.15240000000000001</v>
      </c>
      <c r="P206" s="4">
        <v>0.7</v>
      </c>
      <c r="Q206" s="2" t="s">
        <v>362</v>
      </c>
      <c r="CC206" s="3">
        <v>0.85209999999999997</v>
      </c>
      <c r="CQ206" s="18" t="s">
        <v>35</v>
      </c>
      <c r="CU206" s="230" t="s">
        <v>1734</v>
      </c>
      <c r="CV206" s="230" t="s">
        <v>1381</v>
      </c>
    </row>
    <row r="207" spans="1:100" ht="15.6" x14ac:dyDescent="0.25">
      <c r="A207" s="2" t="s">
        <v>626</v>
      </c>
      <c r="B207" s="216" t="s">
        <v>797</v>
      </c>
      <c r="C207" s="2" t="s">
        <v>380</v>
      </c>
      <c r="D207" s="4">
        <v>1.4014302700000001</v>
      </c>
      <c r="G207" s="4">
        <v>0.78074451752779683</v>
      </c>
      <c r="P207" s="4">
        <v>0.28040615562347748</v>
      </c>
      <c r="Q207" s="2" t="s">
        <v>362</v>
      </c>
      <c r="Z207" s="5">
        <v>52.843084263959398</v>
      </c>
      <c r="AA207" s="233" t="s">
        <v>1865</v>
      </c>
      <c r="BU207" s="5">
        <v>13.335845600000001</v>
      </c>
      <c r="CC207" s="2">
        <v>3.53</v>
      </c>
      <c r="CQ207" s="4">
        <v>14.263</v>
      </c>
      <c r="CU207" s="230" t="s">
        <v>1734</v>
      </c>
      <c r="CV207" s="230" t="s">
        <v>1381</v>
      </c>
    </row>
    <row r="208" spans="1:100" x14ac:dyDescent="0.25">
      <c r="A208" s="2" t="s">
        <v>622</v>
      </c>
      <c r="B208" s="216" t="s">
        <v>797</v>
      </c>
      <c r="C208" s="2" t="s">
        <v>625</v>
      </c>
      <c r="D208" s="4">
        <v>1.492667</v>
      </c>
      <c r="E208" s="4">
        <v>2.2344686625736356</v>
      </c>
      <c r="Z208" s="5">
        <v>35.784536000000003</v>
      </c>
      <c r="AA208" s="4">
        <v>19.72970670906561</v>
      </c>
      <c r="BS208" s="3">
        <v>9.0812000000000011E-3</v>
      </c>
      <c r="BT208" s="4">
        <v>3.0356856169999999</v>
      </c>
      <c r="BU208" s="4">
        <v>8.4919311999999998</v>
      </c>
      <c r="CQ208" s="30">
        <v>10.954499999999999</v>
      </c>
      <c r="CS208" s="233" t="s">
        <v>2177</v>
      </c>
      <c r="CU208" s="230" t="s">
        <v>1734</v>
      </c>
      <c r="CV208" s="230" t="s">
        <v>1381</v>
      </c>
    </row>
    <row r="209" spans="1:100" ht="15.6" x14ac:dyDescent="0.25">
      <c r="A209" s="2" t="s">
        <v>371</v>
      </c>
      <c r="B209" s="216" t="s">
        <v>797</v>
      </c>
      <c r="C209" s="2" t="s">
        <v>374</v>
      </c>
      <c r="D209" s="7">
        <v>9.2248999999999994E-3</v>
      </c>
      <c r="P209" s="4">
        <v>0.92</v>
      </c>
      <c r="Q209" s="2" t="s">
        <v>362</v>
      </c>
      <c r="CQ209" s="127" t="s">
        <v>35</v>
      </c>
      <c r="CU209" s="230" t="s">
        <v>1738</v>
      </c>
      <c r="CV209" s="230" t="s">
        <v>1381</v>
      </c>
    </row>
    <row r="210" spans="1:100" ht="15.6" x14ac:dyDescent="0.25">
      <c r="A210" s="2" t="s">
        <v>377</v>
      </c>
      <c r="B210" s="215" t="s">
        <v>793</v>
      </c>
      <c r="C210" s="2" t="s">
        <v>379</v>
      </c>
      <c r="D210" s="7">
        <v>9.3300000000000002E-4</v>
      </c>
      <c r="P210" s="4">
        <v>2.1</v>
      </c>
      <c r="Q210" s="2" t="s">
        <v>362</v>
      </c>
      <c r="CC210" s="2">
        <v>3.0000000000000001E-3</v>
      </c>
      <c r="CQ210" s="23">
        <v>1.9400999999999999E-4</v>
      </c>
      <c r="CU210" s="230" t="s">
        <v>1738</v>
      </c>
      <c r="CV210" s="230" t="s">
        <v>1749</v>
      </c>
    </row>
    <row r="211" spans="1:100" ht="15.6" x14ac:dyDescent="0.25">
      <c r="A211" s="2" t="s">
        <v>376</v>
      </c>
      <c r="B211" s="215" t="s">
        <v>793</v>
      </c>
      <c r="C211" s="2" t="s">
        <v>378</v>
      </c>
      <c r="D211" s="7">
        <v>2.15E-3</v>
      </c>
      <c r="P211" s="4">
        <v>1.4</v>
      </c>
      <c r="Q211" s="2" t="s">
        <v>362</v>
      </c>
      <c r="CC211" s="2">
        <v>7.0000000000000001E-3</v>
      </c>
      <c r="CQ211" s="7">
        <v>1.8E-3</v>
      </c>
      <c r="CU211" s="230" t="s">
        <v>1738</v>
      </c>
      <c r="CV211" s="230" t="s">
        <v>1749</v>
      </c>
    </row>
    <row r="212" spans="1:100" x14ac:dyDescent="0.25">
      <c r="A212" s="2" t="s">
        <v>392</v>
      </c>
      <c r="B212" s="215" t="s">
        <v>793</v>
      </c>
      <c r="C212" s="2" t="s">
        <v>393</v>
      </c>
      <c r="D212" s="4">
        <v>8.9849329999999998</v>
      </c>
      <c r="F212" s="5">
        <v>9.8563418812996648</v>
      </c>
      <c r="G212" s="4">
        <v>1.7161987026381884</v>
      </c>
      <c r="Z212" s="5">
        <v>291.88178510378509</v>
      </c>
      <c r="AA212" s="5">
        <v>43.56790813609112</v>
      </c>
      <c r="AC212" s="15">
        <v>212.38392789038792</v>
      </c>
      <c r="BT212" s="5">
        <v>61.991</v>
      </c>
      <c r="BU212" s="5">
        <v>279.32265000000001</v>
      </c>
      <c r="CQ212" s="30">
        <v>39.711179999999999</v>
      </c>
      <c r="CS212" s="233" t="s">
        <v>2177</v>
      </c>
      <c r="CU212" s="230" t="s">
        <v>1730</v>
      </c>
      <c r="CV212" s="230" t="s">
        <v>1750</v>
      </c>
    </row>
    <row r="213" spans="1:100" x14ac:dyDescent="0.25">
      <c r="A213" s="2" t="s">
        <v>394</v>
      </c>
      <c r="B213" s="215" t="s">
        <v>793</v>
      </c>
      <c r="C213" s="2" t="s">
        <v>119</v>
      </c>
      <c r="D213" s="3">
        <v>0.135333333333333</v>
      </c>
      <c r="G213" s="4">
        <v>0.4501977716147551</v>
      </c>
      <c r="BU213" s="3">
        <v>0.42454999999999998</v>
      </c>
      <c r="CQ213" s="3">
        <v>6.0000000000000001E-3</v>
      </c>
      <c r="CS213" s="233" t="s">
        <v>2177</v>
      </c>
      <c r="CU213" s="230" t="s">
        <v>1738</v>
      </c>
      <c r="CV213" s="230" t="s">
        <v>1369</v>
      </c>
    </row>
    <row r="214" spans="1:100" x14ac:dyDescent="0.25">
      <c r="A214" s="2" t="s">
        <v>406</v>
      </c>
      <c r="B214" s="214" t="s">
        <v>795</v>
      </c>
      <c r="C214" s="2" t="s">
        <v>419</v>
      </c>
      <c r="D214" s="4">
        <v>1.37571</v>
      </c>
      <c r="E214" s="4">
        <v>0.89019913353831848</v>
      </c>
      <c r="BS214" s="3">
        <v>1.1030713697600001</v>
      </c>
      <c r="CQ214" s="3">
        <v>2.4246034600000002</v>
      </c>
      <c r="CU214" s="230" t="s">
        <v>1734</v>
      </c>
      <c r="CV214" s="230" t="s">
        <v>1368</v>
      </c>
    </row>
    <row r="215" spans="1:100" ht="15.6" x14ac:dyDescent="0.25">
      <c r="A215" s="2" t="s">
        <v>407</v>
      </c>
      <c r="B215" s="214" t="s">
        <v>795</v>
      </c>
      <c r="C215" s="2" t="s">
        <v>408</v>
      </c>
      <c r="D215" s="5">
        <v>18.778677368306798</v>
      </c>
      <c r="E215" s="4">
        <v>6.7872007661758307</v>
      </c>
      <c r="BS215" s="5">
        <v>116.9945613</v>
      </c>
      <c r="CQ215" s="30">
        <v>46.285159200000002</v>
      </c>
      <c r="CS215" s="233" t="s">
        <v>2177</v>
      </c>
      <c r="CU215" s="230" t="s">
        <v>1729</v>
      </c>
      <c r="CV215" s="230" t="s">
        <v>1368</v>
      </c>
    </row>
    <row r="216" spans="1:100" ht="15.6" x14ac:dyDescent="0.25">
      <c r="A216" s="2" t="s">
        <v>409</v>
      </c>
      <c r="B216" s="214" t="s">
        <v>795</v>
      </c>
      <c r="C216" s="2" t="s">
        <v>410</v>
      </c>
      <c r="D216" s="5">
        <v>24.304371</v>
      </c>
      <c r="E216" s="4">
        <v>3.6730519440309717</v>
      </c>
      <c r="BS216" s="4">
        <v>75.551866883028296</v>
      </c>
      <c r="CQ216" s="18" t="s">
        <v>35</v>
      </c>
      <c r="CU216" s="230" t="s">
        <v>1729</v>
      </c>
      <c r="CV216" s="230" t="s">
        <v>1368</v>
      </c>
    </row>
    <row r="217" spans="1:100" x14ac:dyDescent="0.25">
      <c r="A217" s="2" t="s">
        <v>411</v>
      </c>
      <c r="B217" s="214" t="s">
        <v>795</v>
      </c>
      <c r="C217" s="2" t="s">
        <v>412</v>
      </c>
      <c r="D217" s="3">
        <v>0.75905</v>
      </c>
      <c r="E217" s="4">
        <v>5.7200982807456686</v>
      </c>
      <c r="BS217" s="4">
        <v>3.8637395999999997</v>
      </c>
      <c r="CQ217" s="18" t="s">
        <v>35</v>
      </c>
      <c r="CU217" s="230" t="s">
        <v>1730</v>
      </c>
      <c r="CV217" s="230" t="s">
        <v>1368</v>
      </c>
    </row>
    <row r="218" spans="1:100" ht="15.6" x14ac:dyDescent="0.25">
      <c r="A218" s="2" t="s">
        <v>425</v>
      </c>
      <c r="B218" s="214" t="s">
        <v>795</v>
      </c>
      <c r="C218" s="2" t="s">
        <v>99</v>
      </c>
      <c r="D218" s="4">
        <v>2.4119496212037039</v>
      </c>
      <c r="E218" s="4">
        <v>2.8552980946058901</v>
      </c>
      <c r="BS218" s="4">
        <v>5.8911798763799998</v>
      </c>
      <c r="CQ218" s="18" t="s">
        <v>35</v>
      </c>
      <c r="CU218" s="230" t="s">
        <v>1729</v>
      </c>
      <c r="CV218" s="230" t="s">
        <v>1368</v>
      </c>
    </row>
    <row r="219" spans="1:100" x14ac:dyDescent="0.25">
      <c r="A219" s="2" t="s">
        <v>700</v>
      </c>
      <c r="B219" s="214" t="s">
        <v>795</v>
      </c>
      <c r="C219" s="2" t="s">
        <v>296</v>
      </c>
      <c r="D219" s="3">
        <v>2.3363999999999999E-2</v>
      </c>
      <c r="E219" s="4">
        <v>7.5673472008217768</v>
      </c>
      <c r="BS219" s="4">
        <v>0.17680349999999997</v>
      </c>
      <c r="CQ219" s="18" t="s">
        <v>35</v>
      </c>
      <c r="CU219" s="230" t="s">
        <v>1730</v>
      </c>
      <c r="CV219" s="230" t="s">
        <v>1368</v>
      </c>
    </row>
    <row r="220" spans="1:100" ht="15.6" x14ac:dyDescent="0.25">
      <c r="A220" s="2" t="s">
        <v>395</v>
      </c>
      <c r="B220" s="214" t="s">
        <v>795</v>
      </c>
      <c r="C220" s="2" t="s">
        <v>413</v>
      </c>
      <c r="D220" s="4">
        <v>2.7095940000000001</v>
      </c>
      <c r="E220" s="4">
        <v>5.4306084056217356</v>
      </c>
      <c r="BS220" s="4">
        <v>12.122342756400002</v>
      </c>
      <c r="CQ220" s="18" t="s">
        <v>35</v>
      </c>
      <c r="CU220" s="230" t="s">
        <v>1729</v>
      </c>
      <c r="CV220" s="230" t="s">
        <v>1368</v>
      </c>
    </row>
    <row r="221" spans="1:100" ht="15.6" x14ac:dyDescent="0.25">
      <c r="A221" s="2" t="s">
        <v>694</v>
      </c>
      <c r="B221" s="214" t="s">
        <v>795</v>
      </c>
      <c r="C221" s="2" t="s">
        <v>414</v>
      </c>
      <c r="D221" s="3">
        <v>6.9722999999999993E-2</v>
      </c>
      <c r="E221" s="4">
        <v>2.427148717066105</v>
      </c>
      <c r="BS221" s="4">
        <v>0.15984307</v>
      </c>
      <c r="CQ221" s="18" t="s">
        <v>35</v>
      </c>
      <c r="CU221" s="230" t="s">
        <v>1730</v>
      </c>
      <c r="CV221" s="230" t="s">
        <v>1368</v>
      </c>
    </row>
    <row r="222" spans="1:100" x14ac:dyDescent="0.25">
      <c r="A222" s="2" t="s">
        <v>415</v>
      </c>
      <c r="B222" s="214" t="s">
        <v>795</v>
      </c>
      <c r="C222" s="2">
        <v>1992</v>
      </c>
      <c r="D222" s="23">
        <v>6.9225146198830401E-4</v>
      </c>
      <c r="E222" s="6">
        <v>1368</v>
      </c>
      <c r="BS222" s="2">
        <v>0.94699999999999995</v>
      </c>
      <c r="CQ222" s="18" t="s">
        <v>35</v>
      </c>
      <c r="CU222" s="230" t="s">
        <v>1738</v>
      </c>
      <c r="CV222" s="230" t="s">
        <v>1368</v>
      </c>
    </row>
    <row r="223" spans="1:100" ht="15.6" x14ac:dyDescent="0.25">
      <c r="A223" s="2" t="s">
        <v>416</v>
      </c>
      <c r="B223" s="214" t="s">
        <v>795</v>
      </c>
      <c r="C223" s="2" t="s">
        <v>417</v>
      </c>
      <c r="D223" s="7">
        <v>8.7720000000000003E-3</v>
      </c>
      <c r="E223" s="4">
        <v>7.7693570451436393</v>
      </c>
      <c r="BS223" s="3">
        <v>6.353752E-2</v>
      </c>
      <c r="CQ223" s="18" t="s">
        <v>35</v>
      </c>
      <c r="CU223" s="230" t="s">
        <v>1730</v>
      </c>
      <c r="CV223" s="230" t="s">
        <v>1368</v>
      </c>
    </row>
    <row r="224" spans="1:100" x14ac:dyDescent="0.25">
      <c r="A224" s="2" t="s">
        <v>418</v>
      </c>
      <c r="B224" s="214" t="s">
        <v>795</v>
      </c>
      <c r="C224" s="2">
        <v>1995</v>
      </c>
      <c r="D224" s="3">
        <v>0.147679</v>
      </c>
      <c r="E224" s="4">
        <v>1.3976259996343421</v>
      </c>
      <c r="BS224" s="3">
        <v>0.16927729999999999</v>
      </c>
      <c r="CQ224" s="4">
        <v>1.2419709999999999</v>
      </c>
      <c r="CU224" s="230" t="s">
        <v>1738</v>
      </c>
      <c r="CV224" s="230" t="s">
        <v>1368</v>
      </c>
    </row>
    <row r="225" spans="1:100" x14ac:dyDescent="0.25">
      <c r="A225" s="2" t="s">
        <v>701</v>
      </c>
      <c r="B225" s="214" t="s">
        <v>795</v>
      </c>
      <c r="C225" s="2" t="s">
        <v>253</v>
      </c>
      <c r="D225" s="3">
        <v>0.101936</v>
      </c>
      <c r="E225" s="4">
        <v>1.6532248175325697</v>
      </c>
      <c r="BS225" s="3">
        <v>0.13481850000000004</v>
      </c>
      <c r="CQ225" s="18" t="s">
        <v>35</v>
      </c>
      <c r="CU225" s="230" t="s">
        <v>1738</v>
      </c>
      <c r="CV225" s="230" t="s">
        <v>1368</v>
      </c>
    </row>
    <row r="226" spans="1:100" x14ac:dyDescent="0.25">
      <c r="A226" s="2" t="s">
        <v>702</v>
      </c>
      <c r="B226" s="214" t="s">
        <v>795</v>
      </c>
      <c r="C226" s="2" t="s">
        <v>420</v>
      </c>
      <c r="D226" s="3">
        <v>0.46173662500000001</v>
      </c>
      <c r="E226" s="4">
        <v>1.1258290372785569</v>
      </c>
      <c r="BS226" s="3">
        <v>0.41586919999999999</v>
      </c>
      <c r="CQ226" s="18" t="s">
        <v>35</v>
      </c>
      <c r="CU226" s="230" t="s">
        <v>1738</v>
      </c>
      <c r="CV226" s="230" t="s">
        <v>1368</v>
      </c>
    </row>
    <row r="227" spans="1:100" x14ac:dyDescent="0.25">
      <c r="A227" s="2" t="s">
        <v>703</v>
      </c>
      <c r="B227" s="214" t="s">
        <v>795</v>
      </c>
      <c r="C227" s="2" t="s">
        <v>198</v>
      </c>
      <c r="D227" s="3">
        <v>0.14606587500000001</v>
      </c>
      <c r="E227" s="4">
        <v>1.0081649803556101</v>
      </c>
      <c r="BS227" s="3">
        <v>0.1178068</v>
      </c>
      <c r="CQ227" s="18" t="s">
        <v>35</v>
      </c>
      <c r="CU227" s="230" t="s">
        <v>1738</v>
      </c>
      <c r="CV227" s="230" t="s">
        <v>1368</v>
      </c>
    </row>
    <row r="228" spans="1:100" x14ac:dyDescent="0.25">
      <c r="A228" s="2" t="s">
        <v>704</v>
      </c>
      <c r="B228" s="214" t="s">
        <v>795</v>
      </c>
      <c r="C228" s="2" t="s">
        <v>262</v>
      </c>
      <c r="D228" s="3">
        <v>6.2422999999999999E-2</v>
      </c>
      <c r="E228" s="4">
        <v>0.91609062364833482</v>
      </c>
      <c r="BS228" s="3">
        <v>4.57481E-2</v>
      </c>
      <c r="CQ228" s="18" t="s">
        <v>35</v>
      </c>
      <c r="CU228" s="230" t="s">
        <v>1738</v>
      </c>
      <c r="CV228" s="230" t="s">
        <v>1368</v>
      </c>
    </row>
    <row r="229" spans="1:100" ht="15.6" x14ac:dyDescent="0.25">
      <c r="A229" s="2" t="s">
        <v>421</v>
      </c>
      <c r="B229" s="214" t="s">
        <v>795</v>
      </c>
      <c r="C229" s="2" t="s">
        <v>422</v>
      </c>
      <c r="D229" s="4">
        <v>1.6777960000000001</v>
      </c>
      <c r="E229" s="4">
        <v>8.3836451739160243</v>
      </c>
      <c r="P229" s="4">
        <v>3.4659000915486744</v>
      </c>
      <c r="Q229" s="2" t="s">
        <v>423</v>
      </c>
      <c r="BK229" s="4">
        <v>98.250041007214307</v>
      </c>
      <c r="BP229" s="4">
        <v>74.720286362962284</v>
      </c>
      <c r="BQ229" s="4">
        <v>55.777065521506401</v>
      </c>
      <c r="BR229" s="2" t="s">
        <v>423</v>
      </c>
      <c r="BS229" s="4">
        <v>11.373363299999999</v>
      </c>
      <c r="CG229" s="4">
        <v>54.8009897475009</v>
      </c>
      <c r="CQ229" s="18" t="s">
        <v>35</v>
      </c>
      <c r="CU229" s="230" t="s">
        <v>1729</v>
      </c>
      <c r="CV229" s="230" t="s">
        <v>1745</v>
      </c>
    </row>
    <row r="230" spans="1:100" x14ac:dyDescent="0.25">
      <c r="A230" s="2" t="s">
        <v>685</v>
      </c>
      <c r="B230" s="214" t="s">
        <v>795</v>
      </c>
      <c r="C230" s="2" t="s">
        <v>426</v>
      </c>
      <c r="D230" s="4">
        <v>7.5909180000000003</v>
      </c>
      <c r="E230" s="4">
        <v>0.79133650897032481</v>
      </c>
      <c r="BS230" s="4">
        <v>4.201972003999999</v>
      </c>
      <c r="CQ230" s="30">
        <v>17.669982399999999</v>
      </c>
      <c r="CS230" s="233" t="s">
        <v>2177</v>
      </c>
      <c r="CU230" s="230" t="s">
        <v>1734</v>
      </c>
      <c r="CV230" s="230" t="s">
        <v>1368</v>
      </c>
    </row>
    <row r="231" spans="1:100" x14ac:dyDescent="0.25">
      <c r="A231" s="2" t="s">
        <v>686</v>
      </c>
      <c r="B231" s="214" t="s">
        <v>795</v>
      </c>
      <c r="C231" s="2" t="s">
        <v>427</v>
      </c>
      <c r="D231" s="4">
        <v>1.0449189999999999</v>
      </c>
      <c r="E231" s="4">
        <v>0.70339649293390216</v>
      </c>
      <c r="BS231" s="3">
        <v>0.33180589999999999</v>
      </c>
      <c r="CQ231" s="4">
        <v>1.5651467999999999</v>
      </c>
      <c r="CU231" s="230" t="s">
        <v>1734</v>
      </c>
      <c r="CV231" s="230" t="s">
        <v>1368</v>
      </c>
    </row>
    <row r="232" spans="1:100" ht="15.6" x14ac:dyDescent="0.25">
      <c r="A232" s="2" t="s">
        <v>428</v>
      </c>
      <c r="B232" s="214" t="s">
        <v>795</v>
      </c>
      <c r="C232" s="21" t="s">
        <v>429</v>
      </c>
      <c r="D232" s="233" t="s">
        <v>1793</v>
      </c>
      <c r="E232" s="233" t="s">
        <v>1794</v>
      </c>
      <c r="BS232" s="3">
        <v>0.64995890000000012</v>
      </c>
      <c r="CQ232" s="18" t="s">
        <v>35</v>
      </c>
      <c r="CU232" s="230" t="s">
        <v>1738</v>
      </c>
      <c r="CV232" s="230" t="s">
        <v>1368</v>
      </c>
    </row>
    <row r="233" spans="1:100" ht="15.6" x14ac:dyDescent="0.25">
      <c r="A233" s="2" t="s">
        <v>431</v>
      </c>
      <c r="B233" s="214" t="s">
        <v>795</v>
      </c>
      <c r="C233" s="2" t="s">
        <v>430</v>
      </c>
      <c r="D233" s="3">
        <v>6.349792592592593E-2</v>
      </c>
      <c r="E233" s="5">
        <v>27.094903362256215</v>
      </c>
      <c r="BS233" s="3">
        <v>1.6917198</v>
      </c>
      <c r="CQ233" s="18" t="s">
        <v>35</v>
      </c>
      <c r="CU233" s="230" t="s">
        <v>1730</v>
      </c>
      <c r="CV233" s="230" t="s">
        <v>1368</v>
      </c>
    </row>
    <row r="234" spans="1:100" x14ac:dyDescent="0.25">
      <c r="A234" s="2" t="s">
        <v>432</v>
      </c>
      <c r="B234" s="214" t="s">
        <v>795</v>
      </c>
      <c r="C234" s="2">
        <v>1993</v>
      </c>
      <c r="D234" s="7">
        <v>2.5579999999999999E-3</v>
      </c>
      <c r="E234" s="2">
        <v>5</v>
      </c>
      <c r="BS234" s="3">
        <v>1.2719899999999999E-2</v>
      </c>
      <c r="CQ234" s="18" t="s">
        <v>35</v>
      </c>
      <c r="CU234" s="230" t="s">
        <v>1730</v>
      </c>
      <c r="CV234" s="230" t="s">
        <v>1368</v>
      </c>
    </row>
    <row r="235" spans="1:100" ht="15.6" x14ac:dyDescent="0.25">
      <c r="A235" s="2" t="s">
        <v>434</v>
      </c>
      <c r="B235" s="213" t="s">
        <v>798</v>
      </c>
      <c r="C235" s="2" t="s">
        <v>439</v>
      </c>
      <c r="D235" s="4">
        <v>1.0272322102524212</v>
      </c>
      <c r="E235" s="4">
        <v>3.8841381828140276</v>
      </c>
      <c r="BS235" s="3">
        <v>3.8103853285714289</v>
      </c>
      <c r="CQ235" s="18" t="s">
        <v>35</v>
      </c>
      <c r="CU235" s="230" t="s">
        <v>1730</v>
      </c>
      <c r="CV235" s="230" t="s">
        <v>1368</v>
      </c>
    </row>
    <row r="236" spans="1:100" x14ac:dyDescent="0.25">
      <c r="A236" s="2" t="s">
        <v>436</v>
      </c>
      <c r="B236" s="213" t="s">
        <v>798</v>
      </c>
      <c r="C236" s="2" t="s">
        <v>435</v>
      </c>
      <c r="D236" s="4">
        <v>1.5496434400000001</v>
      </c>
      <c r="E236" s="5">
        <v>12.369737905643634</v>
      </c>
      <c r="BS236" s="4">
        <v>19.208086900000001</v>
      </c>
      <c r="CQ236" s="18" t="s">
        <v>35</v>
      </c>
      <c r="CU236" s="230" t="s">
        <v>1738</v>
      </c>
      <c r="CV236" s="230" t="s">
        <v>1368</v>
      </c>
    </row>
    <row r="237" spans="1:100" ht="15.6" x14ac:dyDescent="0.25">
      <c r="A237" s="2" t="s">
        <v>437</v>
      </c>
      <c r="B237" s="213" t="s">
        <v>798</v>
      </c>
      <c r="C237" s="2" t="s">
        <v>438</v>
      </c>
      <c r="D237" s="4">
        <v>8.3919501428571444</v>
      </c>
      <c r="E237" s="4">
        <v>6.4245413767753883</v>
      </c>
      <c r="BS237" s="4">
        <v>49.303478657142854</v>
      </c>
      <c r="CQ237" s="18" t="s">
        <v>35</v>
      </c>
      <c r="CU237" s="230" t="s">
        <v>1729</v>
      </c>
      <c r="CV237" s="230" t="s">
        <v>1368</v>
      </c>
    </row>
    <row r="238" spans="1:100" x14ac:dyDescent="0.25">
      <c r="A238" s="2" t="s">
        <v>440</v>
      </c>
      <c r="B238" s="213" t="s">
        <v>798</v>
      </c>
      <c r="C238" s="2" t="s">
        <v>441</v>
      </c>
      <c r="D238" s="5">
        <v>86.426008999999993</v>
      </c>
      <c r="E238" s="4">
        <v>1.5122269623355387</v>
      </c>
      <c r="F238" s="4">
        <v>1.5569622344819833</v>
      </c>
      <c r="BS238" s="5">
        <v>109.3995992</v>
      </c>
      <c r="BT238" s="5">
        <v>240.238572</v>
      </c>
      <c r="CQ238" s="5">
        <v>134.56203209</v>
      </c>
      <c r="CU238" s="230" t="s">
        <v>1734</v>
      </c>
      <c r="CV238" s="230" t="s">
        <v>1742</v>
      </c>
    </row>
    <row r="239" spans="1:100" x14ac:dyDescent="0.25">
      <c r="A239" s="2" t="s">
        <v>442</v>
      </c>
      <c r="B239" s="213" t="s">
        <v>798</v>
      </c>
      <c r="C239" s="2" t="s">
        <v>443</v>
      </c>
      <c r="D239" s="5">
        <v>12.274137</v>
      </c>
      <c r="E239" s="4">
        <v>1.252030440918168</v>
      </c>
      <c r="BS239" s="4">
        <v>13.254198000000001</v>
      </c>
      <c r="CQ239" s="4">
        <v>9.1608429999999998</v>
      </c>
      <c r="CU239" s="230" t="s">
        <v>1730</v>
      </c>
      <c r="CV239" s="230" t="s">
        <v>1368</v>
      </c>
    </row>
    <row r="240" spans="1:100" x14ac:dyDescent="0.25">
      <c r="A240" s="2" t="s">
        <v>444</v>
      </c>
      <c r="B240" s="213" t="s">
        <v>798</v>
      </c>
      <c r="C240" s="2">
        <v>2005</v>
      </c>
      <c r="D240" s="23">
        <v>3.1700000000000001E-4</v>
      </c>
      <c r="E240" s="2">
        <v>28</v>
      </c>
      <c r="BS240" s="7">
        <v>8.3434400000000006E-3</v>
      </c>
      <c r="CQ240" s="18" t="s">
        <v>35</v>
      </c>
      <c r="CU240" s="230" t="s">
        <v>1730</v>
      </c>
      <c r="CV240" s="230" t="s">
        <v>1368</v>
      </c>
    </row>
    <row r="241" spans="1:100" x14ac:dyDescent="0.25">
      <c r="A241" s="2" t="s">
        <v>445</v>
      </c>
      <c r="B241" s="213" t="s">
        <v>798</v>
      </c>
      <c r="C241" s="2" t="s">
        <v>446</v>
      </c>
      <c r="D241" s="5">
        <v>68.305619021164034</v>
      </c>
      <c r="E241" s="4">
        <v>1.5675445457770378</v>
      </c>
      <c r="BS241" s="4">
        <v>95.11571339999999</v>
      </c>
      <c r="CQ241" s="5">
        <v>187.06408279649779</v>
      </c>
      <c r="CU241" s="230" t="s">
        <v>1734</v>
      </c>
      <c r="CV241" s="230" t="s">
        <v>1368</v>
      </c>
    </row>
    <row r="242" spans="1:100" ht="15.6" x14ac:dyDescent="0.25">
      <c r="A242" s="2" t="s">
        <v>447</v>
      </c>
      <c r="B242" s="213" t="s">
        <v>798</v>
      </c>
      <c r="C242" s="2" t="s">
        <v>448</v>
      </c>
      <c r="D242" s="5">
        <v>13.1294369522521</v>
      </c>
      <c r="E242" s="4">
        <v>8.7297328394659548</v>
      </c>
      <c r="BS242" s="5">
        <v>110.064667999237</v>
      </c>
      <c r="CQ242" s="30">
        <v>20.91086160418153</v>
      </c>
      <c r="CS242" s="233" t="s">
        <v>2177</v>
      </c>
      <c r="CU242" s="230" t="s">
        <v>1729</v>
      </c>
      <c r="CV242" s="230" t="s">
        <v>1368</v>
      </c>
    </row>
    <row r="243" spans="1:100" ht="15.6" x14ac:dyDescent="0.25">
      <c r="A243" s="2" t="s">
        <v>449</v>
      </c>
      <c r="B243" s="213" t="s">
        <v>798</v>
      </c>
      <c r="C243" s="2" t="s">
        <v>448</v>
      </c>
      <c r="D243" s="5">
        <v>80.493228921338556</v>
      </c>
      <c r="E243" s="4">
        <v>1.3247142648737886</v>
      </c>
      <c r="BS243" s="4">
        <v>89.936996800000003</v>
      </c>
      <c r="CQ243" s="4">
        <v>8.9603169999999999</v>
      </c>
      <c r="CS243" s="233" t="s">
        <v>2177</v>
      </c>
      <c r="CU243" s="230" t="s">
        <v>1729</v>
      </c>
      <c r="CV243" s="230" t="s">
        <v>1368</v>
      </c>
    </row>
    <row r="244" spans="1:100" x14ac:dyDescent="0.25">
      <c r="A244" s="2" t="s">
        <v>450</v>
      </c>
      <c r="B244" s="213" t="s">
        <v>798</v>
      </c>
      <c r="C244" s="2" t="s">
        <v>451</v>
      </c>
      <c r="D244" s="3">
        <v>0.21199999999999999</v>
      </c>
      <c r="E244" s="4">
        <v>0.83018867924528306</v>
      </c>
      <c r="BS244" s="3">
        <v>0.428413074</v>
      </c>
      <c r="CQ244" s="18" t="s">
        <v>35</v>
      </c>
      <c r="CU244" s="230" t="s">
        <v>1738</v>
      </c>
      <c r="CV244" s="230" t="s">
        <v>1368</v>
      </c>
    </row>
    <row r="245" spans="1:100" x14ac:dyDescent="0.25">
      <c r="A245" s="2" t="s">
        <v>452</v>
      </c>
      <c r="B245" s="213" t="s">
        <v>798</v>
      </c>
      <c r="C245" s="2" t="s">
        <v>453</v>
      </c>
      <c r="D245" s="3">
        <v>0.32270599999999999</v>
      </c>
      <c r="E245" s="4">
        <v>2.2554518973926734</v>
      </c>
      <c r="BS245" s="3">
        <v>0.74307230000000013</v>
      </c>
      <c r="CQ245" s="18" t="s">
        <v>35</v>
      </c>
      <c r="CU245" s="230" t="s">
        <v>1730</v>
      </c>
      <c r="CV245" s="230" t="s">
        <v>1732</v>
      </c>
    </row>
    <row r="246" spans="1:100" x14ac:dyDescent="0.25">
      <c r="A246" s="2" t="s">
        <v>454</v>
      </c>
      <c r="B246" s="213" t="s">
        <v>798</v>
      </c>
      <c r="C246" s="2" t="s">
        <v>419</v>
      </c>
      <c r="D246" s="3">
        <v>0.71324395127118645</v>
      </c>
      <c r="E246" s="5">
        <v>22.59717536163437</v>
      </c>
      <c r="BS246" s="4">
        <v>15.9646563</v>
      </c>
      <c r="CQ246" s="18" t="s">
        <v>35</v>
      </c>
      <c r="CU246" s="230" t="s">
        <v>1734</v>
      </c>
      <c r="CV246" s="230" t="s">
        <v>1368</v>
      </c>
    </row>
    <row r="247" spans="1:100" x14ac:dyDescent="0.25">
      <c r="A247" s="2" t="s">
        <v>477</v>
      </c>
      <c r="B247" s="213" t="s">
        <v>798</v>
      </c>
      <c r="C247" s="21" t="s">
        <v>636</v>
      </c>
      <c r="D247" s="4">
        <v>3.9228139999999998</v>
      </c>
      <c r="E247" s="4">
        <v>2.2931307627636692</v>
      </c>
      <c r="BS247" s="3">
        <v>7.5293808999999996</v>
      </c>
      <c r="CQ247" s="4">
        <v>5.6602139999999999</v>
      </c>
      <c r="CS247" s="233" t="s">
        <v>2177</v>
      </c>
      <c r="CU247" s="230" t="s">
        <v>1730</v>
      </c>
      <c r="CV247" s="230" t="s">
        <v>1368</v>
      </c>
    </row>
    <row r="248" spans="1:100" ht="15.6" x14ac:dyDescent="0.25">
      <c r="A248" s="2" t="s">
        <v>478</v>
      </c>
      <c r="B248" s="213" t="s">
        <v>798</v>
      </c>
      <c r="C248" s="21" t="s">
        <v>1307</v>
      </c>
      <c r="D248" s="4">
        <v>8.9029749999999996</v>
      </c>
      <c r="E248" s="4">
        <v>2.2226597277876214</v>
      </c>
      <c r="F248" s="5">
        <v>14.068512523605705</v>
      </c>
      <c r="G248" s="4">
        <v>0.55217477303934914</v>
      </c>
      <c r="Z248" s="233" t="s">
        <v>1935</v>
      </c>
      <c r="AA248" s="233" t="s">
        <v>1934</v>
      </c>
      <c r="AB248" s="233" t="s">
        <v>1936</v>
      </c>
      <c r="AC248" s="233" t="s">
        <v>1937</v>
      </c>
      <c r="BS248" s="4">
        <v>18.368655199999999</v>
      </c>
      <c r="BT248" s="4">
        <v>93.938711463636395</v>
      </c>
      <c r="BU248" s="4">
        <v>34.726999999999997</v>
      </c>
      <c r="CQ248" s="30">
        <v>28.626111000000002</v>
      </c>
      <c r="CS248" s="233" t="s">
        <v>2177</v>
      </c>
      <c r="CU248" s="230" t="s">
        <v>1730</v>
      </c>
      <c r="CV248" s="230" t="s">
        <v>1731</v>
      </c>
    </row>
    <row r="249" spans="1:100" x14ac:dyDescent="0.25">
      <c r="A249" s="2" t="s">
        <v>455</v>
      </c>
      <c r="B249" s="213" t="s">
        <v>798</v>
      </c>
      <c r="C249" s="2" t="s">
        <v>162</v>
      </c>
      <c r="D249" s="4">
        <v>1.891518</v>
      </c>
      <c r="E249" s="4">
        <v>1.4753874137068745</v>
      </c>
      <c r="BS249" s="3">
        <v>2.3680379700000005</v>
      </c>
      <c r="CQ249" s="4">
        <v>1.6623330000000001</v>
      </c>
      <c r="CS249" s="233" t="s">
        <v>2177</v>
      </c>
      <c r="CU249" s="230" t="s">
        <v>1730</v>
      </c>
      <c r="CV249" s="230" t="s">
        <v>1368</v>
      </c>
    </row>
    <row r="250" spans="1:100" ht="15.6" x14ac:dyDescent="0.25">
      <c r="A250" s="2" t="s">
        <v>456</v>
      </c>
      <c r="B250" s="213" t="s">
        <v>798</v>
      </c>
      <c r="C250" s="2" t="s">
        <v>129</v>
      </c>
      <c r="D250" s="2">
        <v>12.9</v>
      </c>
      <c r="E250" s="4">
        <v>3.1</v>
      </c>
      <c r="G250" s="2">
        <v>2.38</v>
      </c>
      <c r="Z250" s="2">
        <v>777.49999999999989</v>
      </c>
      <c r="AA250" s="233" t="s">
        <v>1938</v>
      </c>
      <c r="AB250" s="233" t="s">
        <v>1818</v>
      </c>
      <c r="BS250" s="5">
        <v>31.722000000000001</v>
      </c>
      <c r="BU250" s="2">
        <v>217.7</v>
      </c>
      <c r="CQ250" s="127" t="s">
        <v>35</v>
      </c>
      <c r="CU250" s="230" t="s">
        <v>1730</v>
      </c>
      <c r="CV250" s="230" t="s">
        <v>1731</v>
      </c>
    </row>
    <row r="251" spans="1:100" x14ac:dyDescent="0.25">
      <c r="A251" s="2" t="s">
        <v>684</v>
      </c>
      <c r="B251" s="213" t="s">
        <v>798</v>
      </c>
      <c r="C251" s="2">
        <v>1985</v>
      </c>
      <c r="D251" s="3">
        <v>0.14170199999999999</v>
      </c>
      <c r="E251" s="4">
        <v>2.1014366612876159</v>
      </c>
      <c r="BS251" s="2">
        <v>0.13400000000000001</v>
      </c>
      <c r="BT251" s="2">
        <v>0.152</v>
      </c>
      <c r="CQ251" s="18" t="s">
        <v>35</v>
      </c>
      <c r="CU251" s="230" t="s">
        <v>1738</v>
      </c>
      <c r="CV251" s="230" t="s">
        <v>1368</v>
      </c>
    </row>
    <row r="252" spans="1:100" ht="15.6" x14ac:dyDescent="0.25">
      <c r="A252" s="2" t="s">
        <v>457</v>
      </c>
      <c r="B252" s="213" t="s">
        <v>798</v>
      </c>
      <c r="C252" s="2" t="s">
        <v>643</v>
      </c>
      <c r="D252" s="4">
        <v>1.330768</v>
      </c>
      <c r="E252" s="4">
        <v>2.437158927678325</v>
      </c>
      <c r="BS252" s="3">
        <v>2.8096673000000001</v>
      </c>
      <c r="BT252" s="3">
        <v>4.5994412000000002</v>
      </c>
      <c r="CQ252" s="18" t="s">
        <v>35</v>
      </c>
      <c r="CU252" s="230" t="s">
        <v>1738</v>
      </c>
      <c r="CV252" s="230" t="s">
        <v>1368</v>
      </c>
    </row>
    <row r="253" spans="1:100" ht="15.6" x14ac:dyDescent="0.25">
      <c r="A253" s="2" t="s">
        <v>458</v>
      </c>
      <c r="B253" s="213" t="s">
        <v>798</v>
      </c>
      <c r="C253" s="2" t="s">
        <v>459</v>
      </c>
      <c r="D253" s="4">
        <v>3.5937318125000002</v>
      </c>
      <c r="E253" s="4">
        <v>2.9052871909014506</v>
      </c>
      <c r="BS253" s="3">
        <v>9.6899247455799991</v>
      </c>
      <c r="CQ253" s="4">
        <v>1.79978225</v>
      </c>
      <c r="CS253" s="233" t="s">
        <v>2177</v>
      </c>
      <c r="CU253" s="230" t="s">
        <v>1738</v>
      </c>
      <c r="CV253" s="230" t="s">
        <v>1368</v>
      </c>
    </row>
    <row r="254" spans="1:100" x14ac:dyDescent="0.25">
      <c r="A254" s="2" t="s">
        <v>460</v>
      </c>
      <c r="B254" s="213" t="s">
        <v>798</v>
      </c>
      <c r="C254" s="2" t="s">
        <v>461</v>
      </c>
      <c r="D254" s="4">
        <v>1.6087079432624112</v>
      </c>
      <c r="E254" s="4">
        <v>7.7250318709460233</v>
      </c>
      <c r="BS254" s="4">
        <v>11.71517324002</v>
      </c>
      <c r="CQ254" s="4">
        <v>0.25719700000000001</v>
      </c>
      <c r="CS254" s="233" t="s">
        <v>2177</v>
      </c>
      <c r="CU254" s="230" t="s">
        <v>1738</v>
      </c>
      <c r="CV254" s="230" t="s">
        <v>1368</v>
      </c>
    </row>
    <row r="255" spans="1:100" x14ac:dyDescent="0.25">
      <c r="A255" s="2" t="s">
        <v>462</v>
      </c>
      <c r="B255" s="213" t="s">
        <v>798</v>
      </c>
      <c r="C255" s="2" t="s">
        <v>463</v>
      </c>
      <c r="D255" s="3">
        <v>0.32761990000000002</v>
      </c>
      <c r="E255" s="4">
        <v>5.7306051600023657</v>
      </c>
      <c r="BS255" s="3">
        <v>1.7133712400000001</v>
      </c>
      <c r="CQ255" s="4">
        <v>1.1871032000000001</v>
      </c>
      <c r="CS255" s="233" t="s">
        <v>2177</v>
      </c>
      <c r="CU255" s="230" t="s">
        <v>1738</v>
      </c>
      <c r="CV255" s="230" t="s">
        <v>1368</v>
      </c>
    </row>
    <row r="256" spans="1:100" ht="15.6" x14ac:dyDescent="0.25">
      <c r="A256" s="2" t="s">
        <v>464</v>
      </c>
      <c r="B256" s="213" t="s">
        <v>798</v>
      </c>
      <c r="C256" s="2" t="s">
        <v>465</v>
      </c>
      <c r="D256" s="4">
        <v>8.8435761807044564</v>
      </c>
      <c r="E256" s="4">
        <v>1.8695408322001807</v>
      </c>
      <c r="BS256" s="4">
        <v>14.88635627795122</v>
      </c>
      <c r="CQ256" s="4">
        <v>2.2592140000000001</v>
      </c>
      <c r="CS256" s="233" t="s">
        <v>2177</v>
      </c>
      <c r="CU256" s="230" t="s">
        <v>1738</v>
      </c>
      <c r="CV256" s="230" t="s">
        <v>1368</v>
      </c>
    </row>
    <row r="257" spans="1:100" x14ac:dyDescent="0.25">
      <c r="A257" s="2" t="s">
        <v>466</v>
      </c>
      <c r="B257" s="213" t="s">
        <v>798</v>
      </c>
      <c r="C257" s="2">
        <v>1992</v>
      </c>
      <c r="D257" s="3">
        <v>7.5600000000000001E-2</v>
      </c>
      <c r="E257" s="4">
        <v>1.5582910052910053</v>
      </c>
      <c r="BS257" s="3">
        <v>0.1178068</v>
      </c>
      <c r="CQ257" s="18" t="s">
        <v>35</v>
      </c>
      <c r="CU257" s="230" t="s">
        <v>1738</v>
      </c>
      <c r="CV257" s="230" t="s">
        <v>1368</v>
      </c>
    </row>
    <row r="258" spans="1:100" x14ac:dyDescent="0.25">
      <c r="A258" s="2" t="s">
        <v>467</v>
      </c>
      <c r="B258" s="213" t="s">
        <v>798</v>
      </c>
      <c r="C258" s="2" t="s">
        <v>468</v>
      </c>
      <c r="D258" s="3">
        <v>6.2427999999999997E-2</v>
      </c>
      <c r="E258" s="4">
        <v>4.544800410072404</v>
      </c>
      <c r="BS258" s="3">
        <v>0.22528680000000001</v>
      </c>
      <c r="CQ258" s="4">
        <v>1.1041703999999999</v>
      </c>
      <c r="CS258" s="233" t="s">
        <v>2177</v>
      </c>
      <c r="CU258" s="230" t="s">
        <v>1738</v>
      </c>
      <c r="CV258" s="230" t="s">
        <v>1368</v>
      </c>
    </row>
    <row r="259" spans="1:100" x14ac:dyDescent="0.25">
      <c r="A259" s="2" t="s">
        <v>469</v>
      </c>
      <c r="B259" s="213" t="s">
        <v>798</v>
      </c>
      <c r="C259" s="2" t="s">
        <v>470</v>
      </c>
      <c r="D259" s="3">
        <v>0.34706999999999999</v>
      </c>
      <c r="E259" s="4">
        <v>2.8782634050767855</v>
      </c>
      <c r="BS259" s="3">
        <v>0.76713939999999992</v>
      </c>
      <c r="CQ259" s="4">
        <v>1.9955874</v>
      </c>
      <c r="CU259" s="230" t="s">
        <v>1738</v>
      </c>
      <c r="CV259" s="230" t="s">
        <v>1368</v>
      </c>
    </row>
    <row r="260" spans="1:100" x14ac:dyDescent="0.25">
      <c r="A260" s="2" t="s">
        <v>471</v>
      </c>
      <c r="B260" s="213" t="s">
        <v>798</v>
      </c>
      <c r="C260" s="2" t="s">
        <v>248</v>
      </c>
      <c r="D260" s="3">
        <v>0.58745499999999995</v>
      </c>
      <c r="E260" s="4">
        <v>4.6180874648998582</v>
      </c>
      <c r="BS260" s="3">
        <v>2.5846091324999998</v>
      </c>
      <c r="CQ260" s="4">
        <v>1.8858657999999997</v>
      </c>
      <c r="CU260" s="230" t="s">
        <v>1738</v>
      </c>
      <c r="CV260" s="230" t="s">
        <v>1368</v>
      </c>
    </row>
    <row r="261" spans="1:100" ht="15.6" x14ac:dyDescent="0.25">
      <c r="A261" s="2" t="s">
        <v>472</v>
      </c>
      <c r="B261" s="213" t="s">
        <v>798</v>
      </c>
      <c r="C261" s="21" t="s">
        <v>45</v>
      </c>
      <c r="D261" s="5">
        <v>215.80445652312144</v>
      </c>
      <c r="E261" s="4">
        <v>0.52050275033153348</v>
      </c>
      <c r="G261" s="4">
        <v>1.0468765164923388</v>
      </c>
      <c r="Z261" s="233" t="s">
        <v>1939</v>
      </c>
      <c r="AA261" s="233" t="s">
        <v>1947</v>
      </c>
      <c r="AB261" s="233" t="s">
        <v>1948</v>
      </c>
      <c r="AC261" s="233" t="s">
        <v>1949</v>
      </c>
      <c r="BS261" s="4">
        <v>77.281104926338656</v>
      </c>
      <c r="BT261" s="5">
        <v>195.23912224614779</v>
      </c>
      <c r="BU261" s="6">
        <v>2001.5163506008712</v>
      </c>
      <c r="CQ261" s="5">
        <v>586.41579937254903</v>
      </c>
      <c r="CU261" s="230" t="s">
        <v>1729</v>
      </c>
      <c r="CV261" s="230" t="s">
        <v>1733</v>
      </c>
    </row>
    <row r="262" spans="1:100" ht="15.6" x14ac:dyDescent="0.25">
      <c r="A262" s="2" t="s">
        <v>473</v>
      </c>
      <c r="B262" s="213" t="s">
        <v>798</v>
      </c>
      <c r="C262" s="21" t="s">
        <v>422</v>
      </c>
      <c r="D262" s="233" t="s">
        <v>1796</v>
      </c>
      <c r="E262" s="233" t="s">
        <v>1795</v>
      </c>
      <c r="G262" s="233" t="s">
        <v>1797</v>
      </c>
      <c r="Z262" s="233" t="s">
        <v>1940</v>
      </c>
      <c r="AA262" s="233" t="s">
        <v>1946</v>
      </c>
      <c r="AB262" s="233" t="s">
        <v>1945</v>
      </c>
      <c r="BS262" s="4">
        <v>29.056598899999997</v>
      </c>
      <c r="BU262" s="5">
        <v>823.94586575963706</v>
      </c>
      <c r="CQ262" s="30">
        <v>34.817571999999998</v>
      </c>
      <c r="CS262" s="233" t="s">
        <v>2177</v>
      </c>
      <c r="CU262" s="230" t="s">
        <v>1729</v>
      </c>
      <c r="CV262" s="230" t="s">
        <v>1733</v>
      </c>
    </row>
    <row r="263" spans="1:100" ht="15.6" x14ac:dyDescent="0.25">
      <c r="A263" s="2" t="s">
        <v>474</v>
      </c>
      <c r="B263" s="213" t="s">
        <v>798</v>
      </c>
      <c r="C263" s="21" t="s">
        <v>422</v>
      </c>
      <c r="D263" s="233" t="s">
        <v>1801</v>
      </c>
      <c r="E263" s="233" t="s">
        <v>1800</v>
      </c>
      <c r="F263" s="233" t="s">
        <v>1799</v>
      </c>
      <c r="G263" s="233" t="s">
        <v>1798</v>
      </c>
      <c r="Z263" s="233" t="s">
        <v>1941</v>
      </c>
      <c r="AA263" s="233" t="s">
        <v>1942</v>
      </c>
      <c r="AB263" s="233" t="s">
        <v>1943</v>
      </c>
      <c r="AC263" s="233" t="s">
        <v>1944</v>
      </c>
      <c r="BS263" s="3">
        <v>5.5764690652500102</v>
      </c>
      <c r="BT263" s="5">
        <v>111.053787923022</v>
      </c>
      <c r="BU263" s="5">
        <v>357.74154540000001</v>
      </c>
      <c r="CQ263" s="18" t="s">
        <v>35</v>
      </c>
      <c r="CU263" s="230" t="s">
        <v>1729</v>
      </c>
      <c r="CV263" s="230" t="s">
        <v>1733</v>
      </c>
    </row>
    <row r="264" spans="1:100" ht="15.6" x14ac:dyDescent="0.25">
      <c r="A264" s="2" t="s">
        <v>475</v>
      </c>
      <c r="B264" s="213" t="s">
        <v>798</v>
      </c>
      <c r="C264" s="21" t="s">
        <v>476</v>
      </c>
      <c r="D264" s="5">
        <v>68.440814000000003</v>
      </c>
      <c r="E264" s="4">
        <v>0.99932923430747045</v>
      </c>
      <c r="BS264" s="4">
        <v>61.026565900000001</v>
      </c>
      <c r="CQ264" s="30">
        <v>208.92839846707903</v>
      </c>
      <c r="CS264" s="233" t="s">
        <v>2177</v>
      </c>
      <c r="CU264" s="230" t="s">
        <v>1729</v>
      </c>
      <c r="CV264" s="230" t="s">
        <v>1368</v>
      </c>
    </row>
    <row r="265" spans="1:100" s="231" customFormat="1" ht="15.6" x14ac:dyDescent="0.25">
      <c r="A265" s="231" t="s">
        <v>1782</v>
      </c>
      <c r="B265" s="232" t="s">
        <v>798</v>
      </c>
      <c r="C265" s="21" t="s">
        <v>1783</v>
      </c>
      <c r="D265" s="5">
        <v>15.6792378560367</v>
      </c>
      <c r="E265" s="4">
        <v>0.92111539620782734</v>
      </c>
      <c r="BS265" s="21"/>
      <c r="BU265" s="5">
        <v>103.66</v>
      </c>
      <c r="CQ265" s="30">
        <v>60.647110642647398</v>
      </c>
      <c r="CR265" s="233"/>
      <c r="CS265" s="233" t="s">
        <v>2177</v>
      </c>
      <c r="CU265" s="231" t="s">
        <v>1730</v>
      </c>
      <c r="CV265" s="231" t="s">
        <v>1369</v>
      </c>
    </row>
    <row r="266" spans="1:100" ht="15.6" x14ac:dyDescent="0.25">
      <c r="A266" s="2" t="s">
        <v>483</v>
      </c>
      <c r="B266" s="213" t="s">
        <v>798</v>
      </c>
      <c r="C266" s="21" t="s">
        <v>1308</v>
      </c>
      <c r="D266" s="4">
        <v>5.0226193185296006</v>
      </c>
      <c r="E266" s="5">
        <v>20.85382603319054</v>
      </c>
      <c r="BS266" s="5">
        <v>104.740829499558</v>
      </c>
      <c r="BT266" s="3">
        <v>1.5861E-2</v>
      </c>
      <c r="CP266" s="4">
        <v>1.3557478540000001</v>
      </c>
      <c r="CQ266" s="4">
        <v>1.7029206480000001</v>
      </c>
      <c r="CS266" s="233" t="s">
        <v>2177</v>
      </c>
      <c r="CU266" s="230" t="s">
        <v>1730</v>
      </c>
      <c r="CV266" s="230" t="s">
        <v>1368</v>
      </c>
    </row>
    <row r="267" spans="1:100" ht="15.6" x14ac:dyDescent="0.25">
      <c r="A267" s="2" t="s">
        <v>488</v>
      </c>
      <c r="B267" s="213" t="s">
        <v>798</v>
      </c>
      <c r="C267" s="21" t="s">
        <v>1309</v>
      </c>
      <c r="D267" s="4">
        <v>2.8936913552000001</v>
      </c>
      <c r="E267" s="5">
        <v>18.859779165948144</v>
      </c>
      <c r="F267" s="5">
        <v>7.8110567558294681</v>
      </c>
      <c r="G267" s="4">
        <v>3.621872771920728</v>
      </c>
      <c r="BS267" s="4">
        <v>38.26902610593892</v>
      </c>
      <c r="BT267" s="4">
        <v>12.396432942430152</v>
      </c>
      <c r="BU267" s="4">
        <v>83.902710185930204</v>
      </c>
      <c r="CQ267" s="18" t="s">
        <v>35</v>
      </c>
      <c r="CU267" s="230" t="s">
        <v>1730</v>
      </c>
      <c r="CV267" s="230" t="s">
        <v>1731</v>
      </c>
    </row>
    <row r="268" spans="1:100" ht="15.6" x14ac:dyDescent="0.25">
      <c r="A268" s="2" t="s">
        <v>489</v>
      </c>
      <c r="B268" s="213" t="s">
        <v>798</v>
      </c>
      <c r="C268" s="21" t="s">
        <v>1310</v>
      </c>
      <c r="D268" s="5">
        <v>44.169709695052603</v>
      </c>
      <c r="E268" s="4">
        <v>3.3442688000310801</v>
      </c>
      <c r="F268" s="5">
        <v>2.2785484273065482</v>
      </c>
      <c r="G268" s="4">
        <v>0.81319691736968813</v>
      </c>
      <c r="Z268" s="233" t="s">
        <v>1953</v>
      </c>
      <c r="AA268" s="233" t="s">
        <v>1952</v>
      </c>
      <c r="AB268" s="233" t="s">
        <v>1951</v>
      </c>
      <c r="AC268" s="233" t="s">
        <v>1950</v>
      </c>
      <c r="BS268" s="4">
        <v>92.828075980259499</v>
      </c>
      <c r="BT268" s="4">
        <v>50.321411280124501</v>
      </c>
      <c r="BU268" s="5">
        <v>314.46091652093702</v>
      </c>
      <c r="CQ268" s="30">
        <v>87.494209368</v>
      </c>
      <c r="CS268" s="233" t="s">
        <v>2177</v>
      </c>
      <c r="CU268" s="230" t="s">
        <v>1730</v>
      </c>
      <c r="CV268" s="230" t="s">
        <v>1741</v>
      </c>
    </row>
    <row r="269" spans="1:100" x14ac:dyDescent="0.25">
      <c r="A269" s="2" t="s">
        <v>484</v>
      </c>
      <c r="B269" s="213" t="s">
        <v>798</v>
      </c>
      <c r="C269" s="2" t="s">
        <v>487</v>
      </c>
      <c r="D269" s="3">
        <v>0.83863100000000002</v>
      </c>
      <c r="E269" s="4">
        <v>2.5826645330306177</v>
      </c>
      <c r="G269" s="4">
        <v>1.4786387099928335</v>
      </c>
      <c r="Z269" s="4">
        <v>74.765353607211296</v>
      </c>
      <c r="BS269" s="3">
        <v>1.3622377452400001</v>
      </c>
      <c r="BU269" s="4">
        <v>11.3018243664</v>
      </c>
      <c r="CQ269" s="4">
        <v>1.9416629999999999</v>
      </c>
      <c r="CS269" s="233" t="s">
        <v>2177</v>
      </c>
      <c r="CU269" s="230" t="s">
        <v>1738</v>
      </c>
      <c r="CV269" s="230" t="s">
        <v>1733</v>
      </c>
    </row>
    <row r="270" spans="1:100" x14ac:dyDescent="0.25">
      <c r="A270" s="2" t="s">
        <v>485</v>
      </c>
      <c r="B270" s="213" t="s">
        <v>798</v>
      </c>
      <c r="C270" s="2" t="s">
        <v>486</v>
      </c>
      <c r="D270" s="3">
        <v>0.53785516</v>
      </c>
      <c r="E270" s="4">
        <v>0.30895878176570801</v>
      </c>
      <c r="G270" s="4">
        <v>1.9333353230635548</v>
      </c>
      <c r="BS270" s="3">
        <v>0.16617507500000001</v>
      </c>
      <c r="BU270" s="4">
        <v>10.3985437952</v>
      </c>
      <c r="CQ270" s="18" t="s">
        <v>35</v>
      </c>
      <c r="CU270" s="230" t="s">
        <v>1738</v>
      </c>
      <c r="CV270" s="230" t="s">
        <v>1733</v>
      </c>
    </row>
    <row r="271" spans="1:100" x14ac:dyDescent="0.25">
      <c r="A271" s="2" t="s">
        <v>609</v>
      </c>
      <c r="B271" s="216" t="s">
        <v>797</v>
      </c>
      <c r="C271" s="2" t="s">
        <v>610</v>
      </c>
      <c r="D271" s="2">
        <v>2.14</v>
      </c>
      <c r="E271" s="2">
        <v>16.100000000000001</v>
      </c>
      <c r="BS271" s="2">
        <v>34.58</v>
      </c>
      <c r="BT271" s="2">
        <v>1.73</v>
      </c>
      <c r="CQ271" s="18" t="s">
        <v>35</v>
      </c>
      <c r="CU271" s="230" t="s">
        <v>1738</v>
      </c>
      <c r="CV271" s="230" t="s">
        <v>1368</v>
      </c>
    </row>
    <row r="272" spans="1:100" x14ac:dyDescent="0.25">
      <c r="A272" s="2" t="s">
        <v>611</v>
      </c>
      <c r="B272" s="216" t="s">
        <v>797</v>
      </c>
      <c r="C272" s="21" t="s">
        <v>1311</v>
      </c>
      <c r="D272" s="2">
        <v>3.16</v>
      </c>
      <c r="E272" s="2">
        <v>3.5</v>
      </c>
      <c r="F272" s="5">
        <v>14</v>
      </c>
      <c r="G272" s="5">
        <v>4</v>
      </c>
      <c r="P272" s="2">
        <v>0.2</v>
      </c>
      <c r="Q272" s="2" t="s">
        <v>612</v>
      </c>
      <c r="Z272" s="5">
        <v>391.04696799999999</v>
      </c>
      <c r="AA272" s="4">
        <v>25.071922649022287</v>
      </c>
      <c r="AB272" s="4">
        <v>15.11377740179794</v>
      </c>
      <c r="AC272" s="5">
        <v>85.07363201923215</v>
      </c>
      <c r="BS272" s="2">
        <v>7.4809999999999999</v>
      </c>
      <c r="BT272" s="4">
        <v>44.162999999999997</v>
      </c>
      <c r="BU272" s="5">
        <v>118.884</v>
      </c>
      <c r="CL272" s="2">
        <v>7.35</v>
      </c>
      <c r="CM272" s="2" t="s">
        <v>613</v>
      </c>
      <c r="CQ272" s="18" t="s">
        <v>35</v>
      </c>
      <c r="CU272" s="230" t="s">
        <v>1738</v>
      </c>
      <c r="CV272" s="230" t="s">
        <v>1733</v>
      </c>
    </row>
    <row r="273" spans="1:100" ht="15.6" x14ac:dyDescent="0.25">
      <c r="A273" s="2" t="s">
        <v>614</v>
      </c>
      <c r="B273" s="216" t="s">
        <v>797</v>
      </c>
      <c r="C273" s="21" t="s">
        <v>1313</v>
      </c>
      <c r="D273" s="4">
        <v>5.5704351519999999</v>
      </c>
      <c r="E273" s="4">
        <v>5.3466114797333981</v>
      </c>
      <c r="F273" s="5">
        <v>6.164005488889539</v>
      </c>
      <c r="G273" s="4">
        <v>1.9547514761907905</v>
      </c>
      <c r="Z273" s="233" t="s">
        <v>1954</v>
      </c>
      <c r="AA273" s="233" t="s">
        <v>1955</v>
      </c>
      <c r="AB273" s="233" t="s">
        <v>1956</v>
      </c>
      <c r="AC273" s="233" t="s">
        <v>1957</v>
      </c>
      <c r="BS273" s="4">
        <v>21.070708216</v>
      </c>
      <c r="BT273" s="2">
        <v>5.5</v>
      </c>
      <c r="BU273" s="5">
        <v>109.1224699484</v>
      </c>
      <c r="CL273" s="2">
        <v>12</v>
      </c>
      <c r="CM273" s="2" t="s">
        <v>613</v>
      </c>
      <c r="CQ273" s="18" t="s">
        <v>35</v>
      </c>
      <c r="CU273" s="230" t="s">
        <v>1738</v>
      </c>
      <c r="CV273" s="230" t="s">
        <v>1733</v>
      </c>
    </row>
    <row r="274" spans="1:100" ht="15.6" x14ac:dyDescent="0.25">
      <c r="A274" s="2" t="s">
        <v>615</v>
      </c>
      <c r="B274" s="216" t="s">
        <v>797</v>
      </c>
      <c r="C274" s="21" t="s">
        <v>1314</v>
      </c>
      <c r="D274" s="2">
        <v>0.45</v>
      </c>
      <c r="E274" s="5">
        <v>57</v>
      </c>
      <c r="F274" s="5">
        <v>7</v>
      </c>
      <c r="G274" s="2">
        <v>0.4</v>
      </c>
      <c r="BS274" s="2">
        <v>26.13</v>
      </c>
      <c r="BT274" s="2">
        <v>2.7519999999999998</v>
      </c>
      <c r="BU274" s="4">
        <v>1.429</v>
      </c>
      <c r="CL274" s="4">
        <v>2.2930000000000001</v>
      </c>
      <c r="CM274" s="2" t="s">
        <v>613</v>
      </c>
      <c r="CQ274" s="18" t="s">
        <v>35</v>
      </c>
      <c r="CU274" s="230" t="s">
        <v>1738</v>
      </c>
      <c r="CV274" s="230" t="s">
        <v>1731</v>
      </c>
    </row>
    <row r="275" spans="1:100" x14ac:dyDescent="0.25">
      <c r="A275" s="2" t="s">
        <v>616</v>
      </c>
      <c r="B275" s="216" t="s">
        <v>797</v>
      </c>
      <c r="C275" s="2" t="s">
        <v>617</v>
      </c>
      <c r="D275" s="4">
        <v>2.1428488150019001</v>
      </c>
      <c r="E275" s="5">
        <v>12.927512528361349</v>
      </c>
      <c r="BS275" s="4">
        <v>26.417233599999999</v>
      </c>
      <c r="CQ275" s="18" t="s">
        <v>35</v>
      </c>
      <c r="CU275" s="230" t="s">
        <v>1730</v>
      </c>
      <c r="CV275" s="230" t="s">
        <v>1731</v>
      </c>
    </row>
    <row r="276" spans="1:100" ht="15.6" x14ac:dyDescent="0.25">
      <c r="A276" s="2" t="s">
        <v>618</v>
      </c>
      <c r="B276" s="216" t="s">
        <v>797</v>
      </c>
      <c r="C276" s="21" t="s">
        <v>1317</v>
      </c>
      <c r="D276" s="48">
        <v>0.32586237600000001</v>
      </c>
      <c r="E276" s="5">
        <v>17.254207316953561</v>
      </c>
      <c r="F276" s="5">
        <v>7.6511610626918944</v>
      </c>
      <c r="G276" s="4">
        <v>1.7704611440861311</v>
      </c>
      <c r="Z276" s="233" t="s">
        <v>1958</v>
      </c>
      <c r="AA276" s="233" t="s">
        <v>1959</v>
      </c>
      <c r="AB276" s="233" t="s">
        <v>1960</v>
      </c>
      <c r="AC276" s="233" t="s">
        <v>1961</v>
      </c>
      <c r="BS276" s="3">
        <v>3.0083821419999999</v>
      </c>
      <c r="BT276" s="3">
        <v>0.85781459999999998</v>
      </c>
      <c r="BU276" s="4">
        <v>5.18278768449788</v>
      </c>
      <c r="CL276" s="2">
        <v>4.7000000000000002E-3</v>
      </c>
      <c r="CM276" s="2" t="s">
        <v>613</v>
      </c>
      <c r="CQ276" s="18" t="s">
        <v>35</v>
      </c>
      <c r="CU276" s="230" t="s">
        <v>1738</v>
      </c>
      <c r="CV276" s="230" t="s">
        <v>1731</v>
      </c>
    </row>
    <row r="277" spans="1:100" ht="15.6" x14ac:dyDescent="0.25">
      <c r="A277" s="2" t="s">
        <v>619</v>
      </c>
      <c r="B277" s="216" t="s">
        <v>797</v>
      </c>
      <c r="C277" s="21" t="s">
        <v>1316</v>
      </c>
      <c r="D277" s="4">
        <v>2.7500131360000002</v>
      </c>
      <c r="E277" s="4">
        <v>1.3482361189346697</v>
      </c>
      <c r="F277" s="5">
        <v>1.9974500558167516</v>
      </c>
      <c r="G277" s="4">
        <v>5.0888717537665515</v>
      </c>
      <c r="Z277" s="233" t="s">
        <v>1965</v>
      </c>
      <c r="AA277" s="233" t="s">
        <v>1964</v>
      </c>
      <c r="AB277" s="233" t="s">
        <v>1963</v>
      </c>
      <c r="AC277" s="233" t="s">
        <v>1962</v>
      </c>
      <c r="BS277" s="3">
        <v>3.3369571699999998</v>
      </c>
      <c r="BT277" s="5">
        <v>1.3732534730000001</v>
      </c>
      <c r="BU277" s="5">
        <v>118.582951606926</v>
      </c>
      <c r="CQ277" s="18" t="s">
        <v>35</v>
      </c>
      <c r="CR277" s="233" t="s">
        <v>1370</v>
      </c>
      <c r="CU277" s="230" t="s">
        <v>1738</v>
      </c>
      <c r="CV277" s="230" t="s">
        <v>1731</v>
      </c>
    </row>
    <row r="278" spans="1:100" ht="15.6" x14ac:dyDescent="0.25">
      <c r="A278" s="2" t="s">
        <v>620</v>
      </c>
      <c r="B278" s="216" t="s">
        <v>797</v>
      </c>
      <c r="C278" s="21" t="s">
        <v>1315</v>
      </c>
      <c r="D278" s="3">
        <v>0.31245352799999998</v>
      </c>
      <c r="E278" s="4">
        <v>3.8858250265603429</v>
      </c>
      <c r="F278" s="5">
        <v>15.801718565602869</v>
      </c>
      <c r="G278" s="4">
        <v>3.3177384641213878</v>
      </c>
      <c r="Z278" s="233" t="s">
        <v>1966</v>
      </c>
      <c r="AA278" s="233" t="s">
        <v>1967</v>
      </c>
      <c r="AB278" s="233" t="s">
        <v>1968</v>
      </c>
      <c r="AC278" s="233" t="s">
        <v>1969</v>
      </c>
      <c r="BS278" s="3">
        <v>0.84824628000000002</v>
      </c>
      <c r="BT278" s="3">
        <v>3.4561118999999998</v>
      </c>
      <c r="BU278" s="4">
        <v>9.1307919999999996</v>
      </c>
      <c r="CQ278" s="18" t="s">
        <v>35</v>
      </c>
      <c r="CU278" s="230" t="s">
        <v>1738</v>
      </c>
      <c r="CV278" s="230" t="s">
        <v>1731</v>
      </c>
    </row>
    <row r="279" spans="1:100" x14ac:dyDescent="0.25">
      <c r="A279" s="2" t="s">
        <v>621</v>
      </c>
      <c r="B279" s="216" t="s">
        <v>797</v>
      </c>
      <c r="C279" s="2" t="s">
        <v>623</v>
      </c>
      <c r="D279" s="3">
        <v>4.7905872000000002E-2</v>
      </c>
      <c r="F279" s="5">
        <v>71.816567705938027</v>
      </c>
      <c r="G279" s="5">
        <v>4.8012694560700195</v>
      </c>
      <c r="Z279" s="4">
        <v>8.4076800000000009</v>
      </c>
      <c r="AA279" s="4">
        <v>27.392681453147596</v>
      </c>
      <c r="AC279" s="15">
        <v>408.45329508259113</v>
      </c>
      <c r="BT279" s="3">
        <v>3.4407174000000005</v>
      </c>
      <c r="BU279" s="3">
        <v>2.3030889999999999</v>
      </c>
      <c r="CL279" s="3">
        <v>3.9632868284496053E-2</v>
      </c>
      <c r="CM279" s="2" t="s">
        <v>613</v>
      </c>
      <c r="CQ279" s="18" t="s">
        <v>35</v>
      </c>
      <c r="CU279" s="230" t="s">
        <v>1738</v>
      </c>
      <c r="CV279" s="230" t="s">
        <v>1750</v>
      </c>
    </row>
    <row r="280" spans="1:100" ht="15.6" x14ac:dyDescent="0.25">
      <c r="A280" s="2" t="s">
        <v>624</v>
      </c>
      <c r="B280" s="216" t="s">
        <v>797</v>
      </c>
      <c r="C280" s="2" t="s">
        <v>627</v>
      </c>
      <c r="D280" s="233" t="s">
        <v>1802</v>
      </c>
      <c r="G280" s="233" t="s">
        <v>1803</v>
      </c>
      <c r="Z280" s="233" t="s">
        <v>1970</v>
      </c>
      <c r="AA280" s="233" t="s">
        <v>1971</v>
      </c>
      <c r="BU280" s="4">
        <v>15.8368</v>
      </c>
      <c r="CQ280" s="18" t="s">
        <v>35</v>
      </c>
      <c r="CU280" s="230" t="s">
        <v>1738</v>
      </c>
      <c r="CV280" s="230" t="s">
        <v>1369</v>
      </c>
    </row>
    <row r="281" spans="1:100" x14ac:dyDescent="0.25">
      <c r="A281" s="2" t="s">
        <v>628</v>
      </c>
      <c r="B281" s="216" t="s">
        <v>797</v>
      </c>
      <c r="C281" s="2">
        <v>1949</v>
      </c>
      <c r="D281" s="7">
        <v>2.4499999999999999E-3</v>
      </c>
      <c r="G281" s="2">
        <v>22.5</v>
      </c>
      <c r="R281" s="7">
        <v>2.4499999999999999E-3</v>
      </c>
      <c r="S281" s="2">
        <v>22.5</v>
      </c>
      <c r="BU281" s="7">
        <v>5.5124999999999998E-4</v>
      </c>
      <c r="CQ281" s="18" t="s">
        <v>35</v>
      </c>
      <c r="CU281" s="230" t="s">
        <v>1738</v>
      </c>
      <c r="CV281" s="230" t="s">
        <v>1369</v>
      </c>
    </row>
    <row r="282" spans="1:100" ht="15.6" x14ac:dyDescent="0.25">
      <c r="A282" s="2" t="s">
        <v>638</v>
      </c>
      <c r="B282" s="216" t="s">
        <v>797</v>
      </c>
      <c r="C282" s="2" t="s">
        <v>629</v>
      </c>
      <c r="D282" s="5">
        <v>11.588031000000001</v>
      </c>
      <c r="E282" s="4">
        <v>2.4349835058259681</v>
      </c>
      <c r="F282" s="233" t="s">
        <v>1804</v>
      </c>
      <c r="BS282" s="4">
        <v>22.821684657400002</v>
      </c>
      <c r="BT282" s="4">
        <v>4.9889718625734742</v>
      </c>
      <c r="CQ282" s="4">
        <v>24.687612000000001</v>
      </c>
      <c r="CU282" s="230" t="s">
        <v>1734</v>
      </c>
      <c r="CV282" s="230" t="s">
        <v>1368</v>
      </c>
    </row>
    <row r="283" spans="1:100" x14ac:dyDescent="0.25">
      <c r="A283" s="2" t="s">
        <v>639</v>
      </c>
      <c r="B283" s="216" t="s">
        <v>797</v>
      </c>
      <c r="C283" s="2" t="s">
        <v>116</v>
      </c>
      <c r="D283" s="4">
        <v>1.5212319999999999</v>
      </c>
      <c r="E283" s="4">
        <v>0.76452666315460105</v>
      </c>
      <c r="F283" s="233"/>
      <c r="BS283" s="3">
        <v>0.62273899745200001</v>
      </c>
      <c r="BT283" s="4"/>
      <c r="CQ283" s="18" t="s">
        <v>35</v>
      </c>
      <c r="CU283" s="230" t="s">
        <v>1734</v>
      </c>
      <c r="CV283" s="230" t="s">
        <v>1368</v>
      </c>
    </row>
    <row r="284" spans="1:100" x14ac:dyDescent="0.25">
      <c r="A284" s="2" t="s">
        <v>630</v>
      </c>
      <c r="B284" s="216" t="s">
        <v>797</v>
      </c>
      <c r="C284" s="2" t="s">
        <v>631</v>
      </c>
      <c r="D284" s="3">
        <v>0.47626400000000002</v>
      </c>
      <c r="E284" s="4">
        <v>4.184801942265536</v>
      </c>
      <c r="F284" s="15">
        <v>53.121797994389667</v>
      </c>
      <c r="BS284" s="3">
        <v>1.820844538</v>
      </c>
      <c r="BT284" s="4">
        <v>17.901700399999999</v>
      </c>
      <c r="CQ284" s="4">
        <v>0.80600000000000005</v>
      </c>
      <c r="CS284" s="233" t="s">
        <v>2177</v>
      </c>
      <c r="CU284" s="230" t="s">
        <v>1738</v>
      </c>
      <c r="CV284" s="230" t="s">
        <v>1368</v>
      </c>
    </row>
    <row r="285" spans="1:100" x14ac:dyDescent="0.25">
      <c r="A285" s="2" t="s">
        <v>632</v>
      </c>
      <c r="B285" s="216" t="s">
        <v>797</v>
      </c>
      <c r="C285" s="2" t="s">
        <v>633</v>
      </c>
      <c r="D285" s="3">
        <v>0.13614299999999999</v>
      </c>
      <c r="E285" s="4">
        <v>0.1955590812601456</v>
      </c>
      <c r="BS285" s="3">
        <v>2.6624000000000002E-2</v>
      </c>
      <c r="CQ285" s="18" t="s">
        <v>35</v>
      </c>
      <c r="CU285" s="230" t="s">
        <v>1738</v>
      </c>
      <c r="CV285" s="230" t="s">
        <v>1368</v>
      </c>
    </row>
    <row r="286" spans="1:100" x14ac:dyDescent="0.25">
      <c r="A286" s="2" t="s">
        <v>634</v>
      </c>
      <c r="B286" s="216" t="s">
        <v>797</v>
      </c>
      <c r="C286" s="2">
        <v>1989</v>
      </c>
      <c r="D286" s="3">
        <v>0.8049712</v>
      </c>
      <c r="E286" s="4">
        <v>0.14811750532192952</v>
      </c>
      <c r="BS286" s="3">
        <v>0.1183666</v>
      </c>
      <c r="CQ286" s="18" t="s">
        <v>35</v>
      </c>
      <c r="CU286" s="230" t="s">
        <v>1738</v>
      </c>
      <c r="CV286" s="230" t="s">
        <v>1368</v>
      </c>
    </row>
    <row r="287" spans="1:100" ht="15.6" x14ac:dyDescent="0.25">
      <c r="A287" s="2" t="s">
        <v>635</v>
      </c>
      <c r="B287" s="216" t="s">
        <v>797</v>
      </c>
      <c r="C287" s="2" t="s">
        <v>637</v>
      </c>
      <c r="D287" s="3">
        <v>0.83000219999999991</v>
      </c>
      <c r="E287" s="4">
        <v>0.21872411904450376</v>
      </c>
      <c r="BS287" s="3">
        <v>0.18154150000000002</v>
      </c>
      <c r="CQ287" s="18" t="s">
        <v>35</v>
      </c>
      <c r="CU287" s="230" t="s">
        <v>1738</v>
      </c>
      <c r="CV287" s="230" t="s">
        <v>1368</v>
      </c>
    </row>
    <row r="288" spans="1:100" x14ac:dyDescent="0.25">
      <c r="A288" s="2" t="s">
        <v>640</v>
      </c>
      <c r="B288" s="216" t="s">
        <v>797</v>
      </c>
      <c r="C288" s="2" t="s">
        <v>310</v>
      </c>
      <c r="D288" s="3">
        <v>4.5236999999999999E-2</v>
      </c>
      <c r="E288" s="4">
        <v>2.1680000000000001</v>
      </c>
      <c r="BS288" s="3">
        <v>7.3555361999999999E-2</v>
      </c>
      <c r="CQ288" s="18" t="s">
        <v>35</v>
      </c>
      <c r="CU288" s="230" t="s">
        <v>1730</v>
      </c>
      <c r="CV288" s="230" t="s">
        <v>1368</v>
      </c>
    </row>
    <row r="289" spans="1:100" x14ac:dyDescent="0.25">
      <c r="A289" s="2" t="s">
        <v>641</v>
      </c>
      <c r="B289" s="216" t="s">
        <v>797</v>
      </c>
      <c r="C289" s="2" t="s">
        <v>100</v>
      </c>
      <c r="D289" s="5">
        <v>10.242744</v>
      </c>
      <c r="E289" s="4">
        <v>2.1885844652565756</v>
      </c>
      <c r="BS289" s="4">
        <v>19.969129299999999</v>
      </c>
      <c r="CQ289" s="4">
        <v>33.309324859999997</v>
      </c>
      <c r="CU289" s="230" t="s">
        <v>1730</v>
      </c>
      <c r="CV289" s="230" t="s">
        <v>1368</v>
      </c>
    </row>
    <row r="290" spans="1:100" x14ac:dyDescent="0.25">
      <c r="A290" s="2" t="s">
        <v>642</v>
      </c>
      <c r="B290" s="216" t="s">
        <v>797</v>
      </c>
      <c r="C290" s="2" t="s">
        <v>636</v>
      </c>
      <c r="D290" s="4">
        <v>1.4540519999999999</v>
      </c>
      <c r="E290" s="4">
        <v>1.6508688066176449</v>
      </c>
      <c r="BS290" s="3">
        <v>1.5561507000000001</v>
      </c>
      <c r="CQ290" s="18" t="s">
        <v>35</v>
      </c>
      <c r="CU290" s="230" t="s">
        <v>1730</v>
      </c>
      <c r="CV290" s="230" t="s">
        <v>1368</v>
      </c>
    </row>
    <row r="291" spans="1:100" ht="15.6" x14ac:dyDescent="0.25">
      <c r="A291" s="2" t="s">
        <v>607</v>
      </c>
      <c r="B291" s="216" t="s">
        <v>797</v>
      </c>
      <c r="C291" s="2" t="s">
        <v>448</v>
      </c>
      <c r="D291" s="5">
        <v>72.861050480000003</v>
      </c>
      <c r="E291" s="4">
        <v>5.0777636071766405</v>
      </c>
      <c r="BS291" s="5">
        <v>355.2003876</v>
      </c>
      <c r="CQ291" s="5">
        <v>160.2896939</v>
      </c>
      <c r="CU291" s="230" t="s">
        <v>1729</v>
      </c>
      <c r="CV291" s="230" t="s">
        <v>1368</v>
      </c>
    </row>
    <row r="292" spans="1:100" ht="15.6" x14ac:dyDescent="0.25">
      <c r="A292" s="2" t="s">
        <v>644</v>
      </c>
      <c r="B292" s="216" t="s">
        <v>797</v>
      </c>
      <c r="C292" s="2" t="s">
        <v>643</v>
      </c>
      <c r="D292" s="3">
        <v>9.3457999999999999E-2</v>
      </c>
      <c r="E292" s="5">
        <v>16.200925549444673</v>
      </c>
      <c r="BS292" s="3">
        <v>1.4402838999999998</v>
      </c>
      <c r="CQ292" s="18" t="s">
        <v>35</v>
      </c>
      <c r="CU292" s="230" t="s">
        <v>1730</v>
      </c>
      <c r="CV292" s="230" t="s">
        <v>1368</v>
      </c>
    </row>
    <row r="293" spans="1:100" x14ac:dyDescent="0.25">
      <c r="A293" s="2" t="s">
        <v>645</v>
      </c>
      <c r="B293" s="216" t="s">
        <v>797</v>
      </c>
      <c r="C293" s="2" t="s">
        <v>183</v>
      </c>
      <c r="D293" s="3">
        <v>0.30994500000000003</v>
      </c>
      <c r="E293" s="2">
        <v>8.3000000000000007</v>
      </c>
      <c r="BS293" s="3">
        <v>2.443916325</v>
      </c>
      <c r="CQ293" s="18" t="s">
        <v>35</v>
      </c>
      <c r="CU293" s="230" t="s">
        <v>1730</v>
      </c>
      <c r="CV293" s="230" t="s">
        <v>1368</v>
      </c>
    </row>
    <row r="294" spans="1:100" x14ac:dyDescent="0.25">
      <c r="A294" s="2" t="s">
        <v>646</v>
      </c>
      <c r="B294" s="216" t="s">
        <v>797</v>
      </c>
      <c r="C294" s="2">
        <v>1987</v>
      </c>
      <c r="D294" s="2">
        <v>0.5</v>
      </c>
      <c r="E294" s="2">
        <v>0.04</v>
      </c>
      <c r="BS294" s="3">
        <v>0.02</v>
      </c>
      <c r="CQ294" s="18" t="s">
        <v>35</v>
      </c>
      <c r="CU294" s="230" t="s">
        <v>1730</v>
      </c>
      <c r="CV294" s="230" t="s">
        <v>1368</v>
      </c>
    </row>
    <row r="295" spans="1:100" ht="15.6" x14ac:dyDescent="0.25">
      <c r="A295" s="2" t="s">
        <v>647</v>
      </c>
      <c r="B295" s="216" t="s">
        <v>797</v>
      </c>
      <c r="C295" s="2" t="s">
        <v>648</v>
      </c>
      <c r="D295" s="5">
        <v>20.611590594026001</v>
      </c>
      <c r="E295" s="4">
        <v>1.4694000180614386</v>
      </c>
      <c r="BS295" s="4">
        <v>28.395173646</v>
      </c>
      <c r="CQ295" s="4">
        <v>99.325358331726306</v>
      </c>
      <c r="CU295" s="230" t="s">
        <v>1730</v>
      </c>
      <c r="CV295" s="230" t="s">
        <v>1368</v>
      </c>
    </row>
    <row r="296" spans="1:100" x14ac:dyDescent="0.25">
      <c r="A296" s="2" t="s">
        <v>649</v>
      </c>
      <c r="B296" s="216" t="s">
        <v>797</v>
      </c>
      <c r="C296" s="2" t="s">
        <v>470</v>
      </c>
      <c r="D296" s="4">
        <v>4.9124302000000002</v>
      </c>
      <c r="E296" s="4">
        <v>1.0431287166176935</v>
      </c>
      <c r="BS296" s="3">
        <v>3.5287304000000002</v>
      </c>
      <c r="CQ296" s="4">
        <v>21.473309389022798</v>
      </c>
      <c r="CU296" s="230" t="s">
        <v>1730</v>
      </c>
      <c r="CV296" s="230" t="s">
        <v>1368</v>
      </c>
    </row>
    <row r="297" spans="1:100" ht="15.6" x14ac:dyDescent="0.25">
      <c r="A297" s="2" t="s">
        <v>650</v>
      </c>
      <c r="B297" s="216" t="s">
        <v>797</v>
      </c>
      <c r="C297" s="2" t="s">
        <v>651</v>
      </c>
      <c r="D297" s="5">
        <v>20.090859999999999</v>
      </c>
      <c r="E297" s="4">
        <v>1.0716147193300833</v>
      </c>
      <c r="BS297" s="4">
        <v>11.8283041</v>
      </c>
      <c r="CQ297" s="4">
        <v>40.948787370014998</v>
      </c>
      <c r="CU297" s="230" t="s">
        <v>1730</v>
      </c>
      <c r="CV297" s="230" t="s">
        <v>1368</v>
      </c>
    </row>
    <row r="298" spans="1:100" ht="15.6" x14ac:dyDescent="0.25">
      <c r="A298" s="2" t="s">
        <v>653</v>
      </c>
      <c r="B298" s="216" t="s">
        <v>797</v>
      </c>
      <c r="C298" s="2" t="s">
        <v>652</v>
      </c>
      <c r="D298" s="4">
        <v>1.929751</v>
      </c>
      <c r="E298" s="4">
        <v>2.265872513686825</v>
      </c>
      <c r="BS298" s="3">
        <v>3.7201537999999998</v>
      </c>
      <c r="CQ298" s="18" t="s">
        <v>35</v>
      </c>
      <c r="CU298" s="230" t="s">
        <v>1734</v>
      </c>
      <c r="CV298" s="230" t="s">
        <v>1368</v>
      </c>
    </row>
    <row r="299" spans="1:100" x14ac:dyDescent="0.25">
      <c r="A299" s="2" t="s">
        <v>655</v>
      </c>
      <c r="B299" s="216" t="s">
        <v>797</v>
      </c>
      <c r="C299" s="2" t="s">
        <v>656</v>
      </c>
      <c r="D299" s="4">
        <v>6.1293689078771001</v>
      </c>
      <c r="E299" s="4">
        <v>1.5778472239674282</v>
      </c>
      <c r="BS299" s="3">
        <v>8.9637052651999998</v>
      </c>
      <c r="CQ299" s="4">
        <v>31.347570263972901</v>
      </c>
      <c r="CU299" s="230" t="s">
        <v>1730</v>
      </c>
      <c r="CV299" s="230" t="s">
        <v>1368</v>
      </c>
    </row>
    <row r="300" spans="1:100" x14ac:dyDescent="0.25">
      <c r="A300" s="2" t="s">
        <v>657</v>
      </c>
      <c r="B300" s="216" t="s">
        <v>797</v>
      </c>
      <c r="C300" s="2" t="s">
        <v>196</v>
      </c>
      <c r="D300" s="5">
        <v>15.208161</v>
      </c>
      <c r="E300" s="4">
        <v>2.5323991936959285</v>
      </c>
      <c r="BS300" s="4">
        <v>34.851469799999997</v>
      </c>
      <c r="CQ300" s="5">
        <v>211.9083675</v>
      </c>
      <c r="CU300" s="230" t="s">
        <v>1730</v>
      </c>
      <c r="CV300" s="230" t="s">
        <v>1368</v>
      </c>
    </row>
    <row r="301" spans="1:100" x14ac:dyDescent="0.25">
      <c r="A301" s="2" t="s">
        <v>658</v>
      </c>
      <c r="B301" s="216" t="s">
        <v>797</v>
      </c>
      <c r="C301" s="2" t="s">
        <v>659</v>
      </c>
      <c r="D301" s="4">
        <v>4.9236909999999998</v>
      </c>
      <c r="E301" s="4">
        <v>3.9337411263216961</v>
      </c>
      <c r="BS301" s="4">
        <v>18.625714327050002</v>
      </c>
      <c r="CQ301" s="4">
        <v>25.07468175</v>
      </c>
      <c r="CU301" s="230" t="s">
        <v>1730</v>
      </c>
      <c r="CV301" s="230" t="s">
        <v>1368</v>
      </c>
    </row>
    <row r="302" spans="1:100" x14ac:dyDescent="0.25">
      <c r="A302" s="2" t="s">
        <v>660</v>
      </c>
      <c r="B302" s="216" t="s">
        <v>797</v>
      </c>
      <c r="C302" s="2" t="s">
        <v>264</v>
      </c>
      <c r="D302" s="3">
        <v>0.14926400000000001</v>
      </c>
      <c r="E302" s="4">
        <v>5.94</v>
      </c>
      <c r="BS302" s="3">
        <v>0.87972295839999992</v>
      </c>
      <c r="CQ302" s="18" t="s">
        <v>35</v>
      </c>
      <c r="CU302" s="230" t="s">
        <v>1730</v>
      </c>
      <c r="CV302" s="230" t="s">
        <v>1368</v>
      </c>
    </row>
    <row r="303" spans="1:100" x14ac:dyDescent="0.25">
      <c r="A303" s="2" t="s">
        <v>661</v>
      </c>
      <c r="B303" s="216" t="s">
        <v>797</v>
      </c>
      <c r="C303" s="2" t="s">
        <v>662</v>
      </c>
      <c r="D303" s="4">
        <v>4.0366629999999999</v>
      </c>
      <c r="E303" s="4">
        <v>1.9646263647858526</v>
      </c>
      <c r="BS303" s="3">
        <v>7.1374810999999996</v>
      </c>
      <c r="CQ303" s="18" t="s">
        <v>35</v>
      </c>
      <c r="CU303" s="230" t="s">
        <v>1734</v>
      </c>
      <c r="CV303" s="230" t="s">
        <v>1368</v>
      </c>
    </row>
    <row r="304" spans="1:100" x14ac:dyDescent="0.25">
      <c r="A304" s="2" t="s">
        <v>663</v>
      </c>
      <c r="B304" s="216" t="s">
        <v>797</v>
      </c>
      <c r="C304" s="2" t="s">
        <v>243</v>
      </c>
      <c r="D304" s="3">
        <v>2.6211999999999999E-2</v>
      </c>
      <c r="E304" s="4">
        <v>6.5780146497787264</v>
      </c>
      <c r="BS304" s="3">
        <v>0.1602065</v>
      </c>
      <c r="CQ304" s="18" t="s">
        <v>35</v>
      </c>
      <c r="CU304" s="230" t="s">
        <v>1730</v>
      </c>
      <c r="CV304" s="230" t="s">
        <v>1368</v>
      </c>
    </row>
    <row r="305" spans="1:100" ht="15.6" x14ac:dyDescent="0.25">
      <c r="A305" s="2" t="s">
        <v>664</v>
      </c>
      <c r="B305" s="216" t="s">
        <v>797</v>
      </c>
      <c r="C305" s="2" t="s">
        <v>665</v>
      </c>
      <c r="D305" s="4">
        <v>1.0668534587054397</v>
      </c>
      <c r="E305" s="4">
        <v>4.2788027198987226</v>
      </c>
      <c r="BS305" s="3">
        <v>3.1902934999999997</v>
      </c>
      <c r="CQ305" s="18" t="s">
        <v>35</v>
      </c>
      <c r="CU305" s="230" t="s">
        <v>1730</v>
      </c>
      <c r="CV305" s="230" t="s">
        <v>1368</v>
      </c>
    </row>
    <row r="306" spans="1:100" x14ac:dyDescent="0.25">
      <c r="A306" s="2" t="s">
        <v>666</v>
      </c>
      <c r="B306" s="216" t="s">
        <v>797</v>
      </c>
      <c r="C306" s="2" t="s">
        <v>668</v>
      </c>
      <c r="D306" s="3">
        <v>0.31817855849440491</v>
      </c>
      <c r="E306" s="5">
        <v>11.594825462166273</v>
      </c>
      <c r="BS306" s="3">
        <v>3.623025600000001</v>
      </c>
      <c r="CQ306" s="18" t="s">
        <v>35</v>
      </c>
      <c r="CU306" s="230" t="s">
        <v>1730</v>
      </c>
      <c r="CV306" s="230" t="s">
        <v>1368</v>
      </c>
    </row>
    <row r="307" spans="1:100" x14ac:dyDescent="0.25">
      <c r="A307" s="2" t="s">
        <v>667</v>
      </c>
      <c r="B307" s="216" t="s">
        <v>797</v>
      </c>
      <c r="C307" s="2">
        <v>1986</v>
      </c>
      <c r="D307" s="7">
        <v>1.111E-3</v>
      </c>
      <c r="E307" s="2">
        <v>38.5</v>
      </c>
      <c r="BS307" s="3">
        <v>4.1487400000000001E-2</v>
      </c>
      <c r="CQ307" s="18" t="s">
        <v>35</v>
      </c>
      <c r="CU307" s="230" t="s">
        <v>1738</v>
      </c>
      <c r="CV307" s="230" t="s">
        <v>1368</v>
      </c>
    </row>
    <row r="308" spans="1:100" x14ac:dyDescent="0.25">
      <c r="A308" s="2" t="s">
        <v>602</v>
      </c>
      <c r="B308" s="216" t="s">
        <v>797</v>
      </c>
      <c r="C308" s="2">
        <v>1990</v>
      </c>
      <c r="D308" s="3">
        <v>8.1981999999999999E-2</v>
      </c>
      <c r="E308" s="2">
        <v>4.2</v>
      </c>
      <c r="BS308" s="3">
        <v>0.1879062</v>
      </c>
      <c r="CQ308" s="4">
        <v>1.42682</v>
      </c>
      <c r="CU308" s="230" t="s">
        <v>1738</v>
      </c>
      <c r="CV308" s="230" t="s">
        <v>1368</v>
      </c>
    </row>
    <row r="309" spans="1:100" ht="15.6" x14ac:dyDescent="0.25">
      <c r="A309" s="2" t="s">
        <v>676</v>
      </c>
      <c r="B309" s="217" t="s">
        <v>796</v>
      </c>
      <c r="C309" s="21" t="s">
        <v>1318</v>
      </c>
      <c r="D309" s="5">
        <v>42.403332539570258</v>
      </c>
      <c r="E309" s="3">
        <v>9.5896354283129929E-4</v>
      </c>
      <c r="F309" s="5">
        <v>20.018157133429074</v>
      </c>
      <c r="G309" s="4">
        <v>3.4479405765607596</v>
      </c>
      <c r="H309" s="4">
        <v>0.29500574641385513</v>
      </c>
      <c r="I309" s="4">
        <v>0.9457781883326789</v>
      </c>
      <c r="Z309" s="233" t="s">
        <v>1972</v>
      </c>
      <c r="AA309" s="233" t="s">
        <v>1973</v>
      </c>
      <c r="AB309" s="233" t="s">
        <v>1974</v>
      </c>
      <c r="AF309" s="234" t="s">
        <v>2017</v>
      </c>
      <c r="AG309" s="234" t="s">
        <v>2018</v>
      </c>
      <c r="AH309" s="234" t="s">
        <v>2019</v>
      </c>
      <c r="AI309" s="234" t="s">
        <v>2020</v>
      </c>
      <c r="AL309" s="234" t="s">
        <v>2021</v>
      </c>
      <c r="AM309" s="234" t="s">
        <v>2022</v>
      </c>
      <c r="AN309" s="234" t="s">
        <v>2023</v>
      </c>
      <c r="AO309" s="234" t="s">
        <v>2024</v>
      </c>
      <c r="BK309" s="234" t="s">
        <v>2138</v>
      </c>
      <c r="BM309" s="234" t="s">
        <v>2137</v>
      </c>
      <c r="BN309" s="234" t="s">
        <v>2136</v>
      </c>
      <c r="BO309" s="234" t="s">
        <v>2135</v>
      </c>
      <c r="BS309" s="3">
        <v>4.0663249999999998E-2</v>
      </c>
      <c r="BT309" s="5">
        <v>631.21967857561742</v>
      </c>
      <c r="BU309" s="6">
        <v>1418.8538448254671</v>
      </c>
      <c r="BV309" s="5">
        <v>82.349520620800007</v>
      </c>
      <c r="BW309" s="5">
        <v>305.29798161391602</v>
      </c>
      <c r="CQ309" s="4">
        <v>0.13532854880000003</v>
      </c>
      <c r="CS309" s="233" t="s">
        <v>2177</v>
      </c>
      <c r="CU309" s="230" t="s">
        <v>1729</v>
      </c>
      <c r="CV309" s="230" t="s">
        <v>1750</v>
      </c>
    </row>
    <row r="310" spans="1:100" x14ac:dyDescent="0.25">
      <c r="A310" s="2" t="s">
        <v>677</v>
      </c>
      <c r="B310" s="213" t="s">
        <v>798</v>
      </c>
      <c r="C310" s="2" t="s">
        <v>198</v>
      </c>
      <c r="D310" s="3">
        <v>0.73521550000000002</v>
      </c>
      <c r="E310" s="4">
        <v>1.4099557340670865</v>
      </c>
      <c r="BS310" s="3">
        <v>0.87105460700000015</v>
      </c>
      <c r="CQ310" s="4">
        <v>6.2126049999999999</v>
      </c>
      <c r="CU310" s="230" t="s">
        <v>1734</v>
      </c>
      <c r="CV310" s="230" t="s">
        <v>1368</v>
      </c>
    </row>
    <row r="311" spans="1:100" x14ac:dyDescent="0.25">
      <c r="A311" s="2" t="s">
        <v>1319</v>
      </c>
      <c r="B311" s="213" t="s">
        <v>798</v>
      </c>
      <c r="C311" s="21" t="s">
        <v>144</v>
      </c>
      <c r="D311" s="48">
        <v>0.54268400000000006</v>
      </c>
      <c r="E311" s="3">
        <v>2.6811182935188803E-3</v>
      </c>
      <c r="F311" s="15">
        <v>352.06397779303921</v>
      </c>
      <c r="BK311" s="5">
        <v>41.156999999999996</v>
      </c>
      <c r="BL311" s="4">
        <v>0.90142624583910391</v>
      </c>
      <c r="BO311" s="6">
        <v>3087.5687367883957</v>
      </c>
      <c r="BT311" s="5">
        <v>127.84039084999999</v>
      </c>
      <c r="BU311" s="17">
        <v>0.371</v>
      </c>
      <c r="CQ311" s="4">
        <v>4.0159527346675299</v>
      </c>
      <c r="CS311" s="233" t="s">
        <v>2177</v>
      </c>
      <c r="CU311" s="230" t="s">
        <v>1730</v>
      </c>
      <c r="CV311" s="230" t="s">
        <v>1368</v>
      </c>
    </row>
    <row r="312" spans="1:100" ht="15.6" x14ac:dyDescent="0.25">
      <c r="A312" s="2" t="s">
        <v>678</v>
      </c>
      <c r="B312" s="213" t="s">
        <v>798</v>
      </c>
      <c r="C312" s="21" t="s">
        <v>312</v>
      </c>
      <c r="D312" s="4">
        <v>6.5789350000000004</v>
      </c>
      <c r="E312" s="4">
        <v>4.4853154895131198</v>
      </c>
      <c r="F312" s="233" t="s">
        <v>1806</v>
      </c>
      <c r="G312" s="233" t="s">
        <v>1805</v>
      </c>
      <c r="BK312" s="5">
        <v>469.16109142857101</v>
      </c>
      <c r="BL312" s="4">
        <v>2.7674929224127234</v>
      </c>
      <c r="BO312" s="15">
        <v>180.99845010896104</v>
      </c>
      <c r="BP312" s="5">
        <v>50.827184447413877</v>
      </c>
      <c r="BS312" s="4">
        <v>25.700848029590009</v>
      </c>
      <c r="BT312" s="4">
        <v>84.917430400000001</v>
      </c>
      <c r="BU312" s="4">
        <v>12.984</v>
      </c>
      <c r="CQ312" s="30">
        <v>38.781488265332499</v>
      </c>
      <c r="CS312" s="233" t="s">
        <v>2177</v>
      </c>
      <c r="CU312" s="230" t="s">
        <v>1729</v>
      </c>
      <c r="CV312" s="230" t="s">
        <v>1741</v>
      </c>
    </row>
    <row r="313" spans="1:100" x14ac:dyDescent="0.25">
      <c r="A313" s="2" t="s">
        <v>679</v>
      </c>
      <c r="B313" s="213" t="s">
        <v>798</v>
      </c>
      <c r="C313" s="2" t="s">
        <v>680</v>
      </c>
      <c r="D313" s="4">
        <v>3.4962089999999999</v>
      </c>
      <c r="E313" s="4">
        <v>1.1420412910097766</v>
      </c>
      <c r="R313" s="5">
        <v>11.032999999999999</v>
      </c>
      <c r="S313" s="5">
        <v>67.257228315054832</v>
      </c>
      <c r="Z313" s="5">
        <v>110.67517021276601</v>
      </c>
      <c r="AA313" s="4">
        <v>25.210393845666434</v>
      </c>
      <c r="BS313" s="3">
        <v>6.0874468085106402E-3</v>
      </c>
      <c r="BU313" s="4">
        <v>35.294943000000004</v>
      </c>
      <c r="CQ313" s="30">
        <v>36.023029999999999</v>
      </c>
      <c r="CS313" s="233" t="s">
        <v>2177</v>
      </c>
      <c r="CU313" s="230" t="s">
        <v>1730</v>
      </c>
      <c r="CV313" s="230" t="s">
        <v>1369</v>
      </c>
    </row>
    <row r="314" spans="1:100" x14ac:dyDescent="0.25">
      <c r="A314" s="2" t="s">
        <v>681</v>
      </c>
      <c r="B314" s="213" t="s">
        <v>798</v>
      </c>
      <c r="C314" s="2" t="s">
        <v>177</v>
      </c>
      <c r="D314" s="27">
        <v>1.248572</v>
      </c>
      <c r="E314" s="27">
        <v>1.7722769051364278</v>
      </c>
      <c r="BS314" s="25">
        <v>1.5489707239999999</v>
      </c>
      <c r="CQ314" s="18" t="s">
        <v>35</v>
      </c>
      <c r="CU314" s="230" t="s">
        <v>1730</v>
      </c>
      <c r="CV314" s="230" t="s">
        <v>1368</v>
      </c>
    </row>
    <row r="315" spans="1:100" x14ac:dyDescent="0.25">
      <c r="A315" s="2" t="s">
        <v>682</v>
      </c>
      <c r="B315" s="213" t="s">
        <v>798</v>
      </c>
      <c r="C315" s="2" t="s">
        <v>177</v>
      </c>
      <c r="D315" s="29">
        <v>0.29562900000000003</v>
      </c>
      <c r="E315" s="27">
        <v>2.5389640055610236</v>
      </c>
      <c r="BS315" s="25">
        <v>0.52541397299999992</v>
      </c>
      <c r="CQ315" s="18" t="s">
        <v>35</v>
      </c>
      <c r="CU315" s="230" t="s">
        <v>1730</v>
      </c>
      <c r="CV315" s="230" t="s">
        <v>1368</v>
      </c>
    </row>
    <row r="316" spans="1:100" x14ac:dyDescent="0.25">
      <c r="A316" s="2" t="s">
        <v>683</v>
      </c>
      <c r="B316" s="213" t="s">
        <v>798</v>
      </c>
      <c r="C316" s="2" t="s">
        <v>177</v>
      </c>
      <c r="D316" s="28">
        <v>0.95</v>
      </c>
      <c r="E316" s="27">
        <v>1.9</v>
      </c>
      <c r="BS316" s="25">
        <v>1.2634999999999998</v>
      </c>
      <c r="CQ316" s="18" t="s">
        <v>35</v>
      </c>
      <c r="CU316" s="230" t="s">
        <v>1730</v>
      </c>
      <c r="CV316" s="230" t="s">
        <v>1368</v>
      </c>
    </row>
    <row r="317" spans="1:100" x14ac:dyDescent="0.25">
      <c r="A317" s="2" t="s">
        <v>688</v>
      </c>
      <c r="B317" s="44" t="s">
        <v>792</v>
      </c>
      <c r="C317" s="2" t="s">
        <v>177</v>
      </c>
      <c r="D317" s="3">
        <v>0.87360899999999997</v>
      </c>
      <c r="E317" s="4">
        <v>2.9149888451240775</v>
      </c>
      <c r="BS317" s="3">
        <v>2.3930066999999999</v>
      </c>
      <c r="CQ317" s="18" t="s">
        <v>35</v>
      </c>
      <c r="CU317" s="230" t="s">
        <v>1730</v>
      </c>
      <c r="CV317" s="230" t="s">
        <v>1368</v>
      </c>
    </row>
    <row r="318" spans="1:100" ht="15.6" x14ac:dyDescent="0.25">
      <c r="A318" s="28" t="s">
        <v>689</v>
      </c>
      <c r="B318" s="213" t="s">
        <v>798</v>
      </c>
      <c r="C318" s="28" t="s">
        <v>310</v>
      </c>
      <c r="D318" s="29">
        <v>0.17472499999999999</v>
      </c>
      <c r="E318" s="27">
        <v>2.3021120618114179</v>
      </c>
      <c r="F318" s="233" t="s">
        <v>1809</v>
      </c>
      <c r="BS318" s="3">
        <v>0.39901050999999993</v>
      </c>
      <c r="BT318" s="3">
        <v>0.19350420000000002</v>
      </c>
      <c r="CQ318" s="18" t="s">
        <v>35</v>
      </c>
      <c r="CU318" s="230" t="s">
        <v>1738</v>
      </c>
      <c r="CV318" s="230" t="s">
        <v>1742</v>
      </c>
    </row>
    <row r="319" spans="1:100" ht="15.6" x14ac:dyDescent="0.25">
      <c r="A319" s="2" t="s">
        <v>690</v>
      </c>
      <c r="B319" s="213" t="s">
        <v>798</v>
      </c>
      <c r="C319" s="21" t="s">
        <v>214</v>
      </c>
      <c r="D319" s="233" t="s">
        <v>1808</v>
      </c>
      <c r="E319" s="233" t="s">
        <v>1807</v>
      </c>
      <c r="BS319" s="4">
        <v>0.94239603199999999</v>
      </c>
      <c r="CQ319" s="4">
        <v>5.4543900000000001</v>
      </c>
      <c r="CR319" s="233" t="s">
        <v>1368</v>
      </c>
      <c r="CS319" s="233" t="s">
        <v>2177</v>
      </c>
      <c r="CU319" s="230" t="s">
        <v>1729</v>
      </c>
      <c r="CV319" s="230" t="s">
        <v>1368</v>
      </c>
    </row>
    <row r="320" spans="1:100" x14ac:dyDescent="0.25">
      <c r="A320" s="2" t="s">
        <v>691</v>
      </c>
      <c r="B320" s="213" t="s">
        <v>798</v>
      </c>
      <c r="C320" s="2" t="s">
        <v>153</v>
      </c>
      <c r="D320" s="29">
        <v>0.10648211111111111</v>
      </c>
      <c r="E320" s="4">
        <v>4.8655371398019946</v>
      </c>
      <c r="BS320" s="3">
        <v>0.44328057484035516</v>
      </c>
      <c r="CQ320" s="18" t="s">
        <v>35</v>
      </c>
      <c r="CU320" s="230" t="s">
        <v>1738</v>
      </c>
      <c r="CV320" s="230" t="s">
        <v>1368</v>
      </c>
    </row>
    <row r="321" spans="1:100" ht="15.6" x14ac:dyDescent="0.25">
      <c r="A321" s="2" t="s">
        <v>695</v>
      </c>
      <c r="B321" s="217" t="s">
        <v>796</v>
      </c>
      <c r="C321" s="2" t="s">
        <v>696</v>
      </c>
      <c r="D321" s="4">
        <v>4.2371053011199997</v>
      </c>
      <c r="E321" s="4">
        <v>1.559262910913171</v>
      </c>
      <c r="F321" s="5">
        <v>54.348131863782115</v>
      </c>
      <c r="G321" s="4">
        <v>0.71486156935357481</v>
      </c>
      <c r="H321" s="4">
        <v>5.926578173867167</v>
      </c>
      <c r="I321" s="4">
        <v>10.102763496113468</v>
      </c>
      <c r="R321" s="30">
        <v>449.04301324438597</v>
      </c>
      <c r="S321" s="233" t="s">
        <v>1856</v>
      </c>
      <c r="T321" s="234" t="s">
        <v>1975</v>
      </c>
      <c r="U321" s="234" t="s">
        <v>1976</v>
      </c>
      <c r="V321" s="233"/>
      <c r="W321" s="233"/>
      <c r="X321" s="31">
        <v>48.451003283526276</v>
      </c>
      <c r="Y321" s="31" t="s">
        <v>697</v>
      </c>
      <c r="Z321" s="30">
        <v>77.0381274229008</v>
      </c>
      <c r="AA321" s="31">
        <v>20.384031907300358</v>
      </c>
      <c r="AB321" s="31">
        <v>15.852822180845749</v>
      </c>
      <c r="AC321" s="33">
        <v>595.31489122107223</v>
      </c>
      <c r="AF321" s="30">
        <v>359.51839477280998</v>
      </c>
      <c r="AG321" s="31">
        <v>56.654173900352184</v>
      </c>
      <c r="AH321" s="30">
        <v>11.387537930626097</v>
      </c>
      <c r="AI321" s="33">
        <v>304.62034140018051</v>
      </c>
      <c r="AJ321" s="4">
        <v>1.0620553793416332</v>
      </c>
      <c r="AK321" s="4">
        <v>2.9367004548832134</v>
      </c>
      <c r="AL321" s="30">
        <v>584.30492553780698</v>
      </c>
      <c r="AM321" s="30">
        <v>56.942375640649558</v>
      </c>
      <c r="AN321" s="31">
        <v>2.2935924918749184</v>
      </c>
      <c r="AO321" s="33">
        <v>26.755688269688449</v>
      </c>
      <c r="AP321" s="4">
        <v>0.29363162633354079</v>
      </c>
      <c r="AQ321" s="4">
        <v>0.68126596279561402</v>
      </c>
      <c r="BK321" s="31">
        <v>3.3854324490760002</v>
      </c>
      <c r="BL321" s="30">
        <v>0.38785621268505688</v>
      </c>
      <c r="BM321" s="30">
        <v>7.7677103572845789</v>
      </c>
      <c r="BN321" s="30">
        <v>8.5685775201283079</v>
      </c>
      <c r="BO321" s="33">
        <v>102.88580308453906</v>
      </c>
      <c r="BP321" s="30">
        <v>78.482650368016934</v>
      </c>
      <c r="BS321" s="3">
        <v>3.3896182225568801</v>
      </c>
      <c r="BT321" s="5">
        <v>204.453148680422</v>
      </c>
      <c r="BU321" s="4">
        <v>24.955952902224201</v>
      </c>
      <c r="BV321" s="5">
        <v>223.53706477614301</v>
      </c>
      <c r="BW321" s="5">
        <v>378.94262947205499</v>
      </c>
      <c r="CQ321" s="4">
        <v>1.2290552711360001</v>
      </c>
      <c r="CS321" s="233" t="s">
        <v>2177</v>
      </c>
      <c r="CU321" s="230" t="s">
        <v>1734</v>
      </c>
      <c r="CV321" s="230" t="s">
        <v>1736</v>
      </c>
    </row>
    <row r="322" spans="1:100" ht="15.6" x14ac:dyDescent="0.25">
      <c r="A322" s="2" t="s">
        <v>708</v>
      </c>
      <c r="B322" s="217" t="s">
        <v>796</v>
      </c>
      <c r="C322" s="21" t="s">
        <v>1320</v>
      </c>
      <c r="D322" s="5">
        <v>33.081910236799999</v>
      </c>
      <c r="F322" s="15">
        <v>92.659932642155425</v>
      </c>
      <c r="H322" s="4">
        <v>5.1504032724224365</v>
      </c>
      <c r="I322" s="4">
        <v>8.0167725243974211</v>
      </c>
      <c r="AF322" s="234" t="s">
        <v>2031</v>
      </c>
      <c r="AG322" s="234" t="s">
        <v>2030</v>
      </c>
      <c r="AH322" s="234" t="s">
        <v>1996</v>
      </c>
      <c r="AI322" s="234" t="s">
        <v>2029</v>
      </c>
      <c r="AL322" s="234" t="s">
        <v>2028</v>
      </c>
      <c r="AM322" s="234" t="s">
        <v>2027</v>
      </c>
      <c r="AN322" s="234" t="s">
        <v>2026</v>
      </c>
      <c r="AO322" s="234" t="s">
        <v>2025</v>
      </c>
      <c r="BT322" s="6">
        <v>1886.4348623603084</v>
      </c>
      <c r="BU322" s="4">
        <v>3.125</v>
      </c>
      <c r="BV322" s="6">
        <v>1343.2700879313202</v>
      </c>
      <c r="BW322" s="6">
        <v>2206.4453190846461</v>
      </c>
      <c r="CQ322" s="18" t="s">
        <v>35</v>
      </c>
      <c r="CU322" s="230" t="s">
        <v>1729</v>
      </c>
      <c r="CV322" s="230" t="s">
        <v>1743</v>
      </c>
    </row>
    <row r="323" spans="1:100" x14ac:dyDescent="0.25">
      <c r="A323" s="2" t="s">
        <v>709</v>
      </c>
      <c r="B323" s="217" t="s">
        <v>796</v>
      </c>
      <c r="C323" s="2" t="s">
        <v>636</v>
      </c>
      <c r="D323" s="3">
        <v>0.11558599999999999</v>
      </c>
      <c r="E323" s="5">
        <v>9.3364062256674689</v>
      </c>
      <c r="F323" s="6">
        <v>3088.056572595297</v>
      </c>
      <c r="G323" s="5">
        <v>0.97546813627948015</v>
      </c>
      <c r="H323" s="5">
        <v>13.812993788175039</v>
      </c>
      <c r="BK323" s="31">
        <v>17.481999999999999</v>
      </c>
      <c r="BL323" s="30">
        <v>4.1502574076192653</v>
      </c>
      <c r="BM323" s="30">
        <v>17.918870838576822</v>
      </c>
      <c r="BO323" s="34">
        <v>15849.37169660222</v>
      </c>
      <c r="BP323" s="30">
        <v>36.882055828852536</v>
      </c>
      <c r="BS323" s="3">
        <v>0.64477209999999996</v>
      </c>
      <c r="BT323" s="5">
        <v>277.07871599999999</v>
      </c>
      <c r="BU323" s="4">
        <v>0.72554799999999997</v>
      </c>
      <c r="BV323" s="4">
        <v>3.1325769999999999</v>
      </c>
      <c r="CQ323" s="18" t="s">
        <v>35</v>
      </c>
      <c r="CU323" s="230" t="s">
        <v>1729</v>
      </c>
      <c r="CV323" s="230" t="s">
        <v>1746</v>
      </c>
    </row>
    <row r="324" spans="1:100" ht="15.6" x14ac:dyDescent="0.25">
      <c r="A324" s="2" t="s">
        <v>716</v>
      </c>
      <c r="B324" s="45" t="s">
        <v>794</v>
      </c>
      <c r="C324" s="124" t="s">
        <v>1321</v>
      </c>
      <c r="D324" s="5">
        <v>155.10815745665701</v>
      </c>
      <c r="E324" s="4">
        <v>0.40557144590654393</v>
      </c>
      <c r="F324" s="5">
        <v>6.3331586748498054</v>
      </c>
      <c r="G324" s="4">
        <v>1.2425179604472227</v>
      </c>
      <c r="Z324" s="234" t="s">
        <v>1981</v>
      </c>
      <c r="AA324" s="234" t="s">
        <v>1982</v>
      </c>
      <c r="AB324" s="234" t="s">
        <v>1983</v>
      </c>
      <c r="AC324" s="234" t="s">
        <v>1984</v>
      </c>
      <c r="BK324" s="6">
        <v>3394.8684853333302</v>
      </c>
      <c r="BQ324" s="6">
        <v>3394.8684853333302</v>
      </c>
      <c r="BR324" s="2" t="s">
        <v>766</v>
      </c>
      <c r="BS324" s="4">
        <v>50.669423765186004</v>
      </c>
      <c r="BT324" s="5">
        <v>753.51564877266696</v>
      </c>
      <c r="BU324" s="6">
        <v>2146.1754944838999</v>
      </c>
      <c r="CQ324" s="4">
        <v>49.229501163757703</v>
      </c>
      <c r="CU324" s="230" t="s">
        <v>1730</v>
      </c>
      <c r="CV324" s="230" t="s">
        <v>1732</v>
      </c>
    </row>
    <row r="325" spans="1:100" ht="15.6" x14ac:dyDescent="0.25">
      <c r="A325" s="2" t="s">
        <v>768</v>
      </c>
      <c r="B325" s="45" t="s">
        <v>794</v>
      </c>
      <c r="C325" s="21" t="s">
        <v>922</v>
      </c>
      <c r="D325" s="233" t="s">
        <v>1811</v>
      </c>
      <c r="E325" s="233" t="s">
        <v>1810</v>
      </c>
      <c r="F325" s="233" t="s">
        <v>1812</v>
      </c>
      <c r="G325" s="233" t="s">
        <v>1813</v>
      </c>
      <c r="H325" s="233" t="s">
        <v>1814</v>
      </c>
      <c r="I325" s="233" t="s">
        <v>1815</v>
      </c>
      <c r="R325" s="233" t="s">
        <v>1992</v>
      </c>
      <c r="S325" s="233"/>
      <c r="T325" s="233" t="s">
        <v>1991</v>
      </c>
      <c r="U325" s="233" t="s">
        <v>1990</v>
      </c>
      <c r="V325" s="233" t="s">
        <v>1989</v>
      </c>
      <c r="W325" s="233" t="s">
        <v>1988</v>
      </c>
      <c r="Z325" s="5">
        <v>947.49372000000005</v>
      </c>
      <c r="AA325" s="5">
        <v>13.479318708527842</v>
      </c>
      <c r="AB325" s="30">
        <v>52.834432687685485</v>
      </c>
      <c r="AC325" s="6">
        <v>2607.6883922202305</v>
      </c>
      <c r="AD325" s="5">
        <v>21.387730531092334</v>
      </c>
      <c r="AE325" s="5">
        <v>12.496398307704801</v>
      </c>
      <c r="AF325" s="6">
        <v>1886.8505886303701</v>
      </c>
      <c r="AG325" s="31">
        <v>62.846515509117822</v>
      </c>
      <c r="AH325" s="30">
        <v>11.761344793022047</v>
      </c>
      <c r="AI325" s="33">
        <v>934.74449422977841</v>
      </c>
      <c r="AK325" s="5">
        <v>5.1692183764314201</v>
      </c>
      <c r="AL325" s="6">
        <v>8834.5663239999994</v>
      </c>
      <c r="AM325" s="4">
        <v>53.759868941135196</v>
      </c>
      <c r="AN325" s="5">
        <v>3.4554192400602668</v>
      </c>
      <c r="AO325" s="15">
        <v>82.695235010857886</v>
      </c>
      <c r="AQ325" s="5">
        <v>0.88518865380508482</v>
      </c>
      <c r="BK325" s="5">
        <v>29.337</v>
      </c>
      <c r="BL325" s="4">
        <v>2.0520162252445715</v>
      </c>
      <c r="BM325" s="5">
        <v>52.08098987626547</v>
      </c>
      <c r="BN325" s="5">
        <v>12.189385417731874</v>
      </c>
      <c r="BO325" s="6">
        <v>1224.9037052186659</v>
      </c>
      <c r="BP325" s="5">
        <v>11.14633398097965</v>
      </c>
      <c r="BQ325" s="6"/>
      <c r="BR325" s="2" t="s">
        <v>1322</v>
      </c>
      <c r="BS325" s="4">
        <v>73.212140087611203</v>
      </c>
      <c r="BT325" s="6">
        <v>4955.2154767055499</v>
      </c>
      <c r="BU325" s="5">
        <v>140.42111928439999</v>
      </c>
      <c r="BV325" s="6">
        <v>1549.36152131932</v>
      </c>
      <c r="BW325" s="6">
        <v>4884.48439354518</v>
      </c>
      <c r="CL325" s="4">
        <v>3.0749477663999998</v>
      </c>
      <c r="CM325" s="2" t="s">
        <v>923</v>
      </c>
      <c r="CQ325" s="18" t="s">
        <v>35</v>
      </c>
      <c r="CR325" s="233" t="s">
        <v>1710</v>
      </c>
      <c r="CU325" s="230" t="s">
        <v>1729</v>
      </c>
      <c r="CV325" s="230" t="s">
        <v>1746</v>
      </c>
    </row>
    <row r="326" spans="1:100" ht="15.6" x14ac:dyDescent="0.25">
      <c r="A326" s="2" t="s">
        <v>924</v>
      </c>
      <c r="B326" s="45" t="s">
        <v>794</v>
      </c>
      <c r="C326" s="2" t="s">
        <v>925</v>
      </c>
      <c r="D326" s="3">
        <v>0.68608583813486002</v>
      </c>
      <c r="F326" s="233" t="s">
        <v>1816</v>
      </c>
      <c r="G326" s="2">
        <v>0.5</v>
      </c>
      <c r="H326" s="233" t="s">
        <v>1817</v>
      </c>
      <c r="I326" s="2">
        <v>2.5</v>
      </c>
      <c r="AF326" s="30">
        <v>133.46663415101</v>
      </c>
      <c r="AG326" s="31">
        <v>61.040768842391614</v>
      </c>
      <c r="AI326" s="6">
        <v>2027.2198537661152</v>
      </c>
      <c r="AL326" s="31">
        <v>1.3197840000000001</v>
      </c>
      <c r="AM326" s="5">
        <v>42.000000000000007</v>
      </c>
      <c r="AN326" s="5">
        <v>8</v>
      </c>
      <c r="AO326" s="6">
        <v>581.59448818897636</v>
      </c>
      <c r="BS326" s="3">
        <v>4.1549394740000002E-2</v>
      </c>
      <c r="BT326" s="5">
        <v>270.56621056626602</v>
      </c>
      <c r="BV326" s="5">
        <v>81.469059633838498</v>
      </c>
      <c r="CQ326" s="18" t="s">
        <v>35</v>
      </c>
      <c r="CR326" s="233" t="s">
        <v>1368</v>
      </c>
      <c r="CU326" s="230" t="s">
        <v>1738</v>
      </c>
      <c r="CV326" s="230" t="s">
        <v>1746</v>
      </c>
    </row>
    <row r="327" spans="1:100" ht="15.6" x14ac:dyDescent="0.25">
      <c r="A327" s="2" t="s">
        <v>926</v>
      </c>
      <c r="B327" s="45" t="s">
        <v>794</v>
      </c>
      <c r="C327" s="2" t="s">
        <v>927</v>
      </c>
      <c r="D327" s="3">
        <v>0.36706893680153602</v>
      </c>
      <c r="F327" s="233" t="s">
        <v>1826</v>
      </c>
      <c r="H327" s="233" t="s">
        <v>1818</v>
      </c>
      <c r="R327" s="30">
        <v>32.095600941721898</v>
      </c>
      <c r="U327" s="6">
        <v>2971.731932529387</v>
      </c>
      <c r="V327" s="5">
        <v>65.046784081911269</v>
      </c>
      <c r="AF327" s="30">
        <v>33.387551444138602</v>
      </c>
      <c r="AG327" s="31">
        <v>63.629744423782149</v>
      </c>
      <c r="AI327" s="6">
        <v>2318.7476147534317</v>
      </c>
      <c r="BT327" s="5">
        <v>172.79682748578901</v>
      </c>
      <c r="BV327" s="5">
        <v>42.121569897617903</v>
      </c>
      <c r="CQ327" s="18" t="s">
        <v>35</v>
      </c>
      <c r="CU327" s="230" t="s">
        <v>1738</v>
      </c>
      <c r="CV327" s="230" t="s">
        <v>1751</v>
      </c>
    </row>
    <row r="328" spans="1:100" ht="15.6" x14ac:dyDescent="0.25">
      <c r="A328" s="2" t="s">
        <v>928</v>
      </c>
      <c r="B328" s="45" t="s">
        <v>794</v>
      </c>
      <c r="C328" s="2" t="s">
        <v>929</v>
      </c>
      <c r="D328" s="3">
        <v>0.57065007656767597</v>
      </c>
      <c r="F328" s="233" t="s">
        <v>1825</v>
      </c>
      <c r="H328" s="233" t="s">
        <v>1819</v>
      </c>
      <c r="R328" s="234" t="s">
        <v>1978</v>
      </c>
      <c r="U328" s="234" t="s">
        <v>1979</v>
      </c>
      <c r="V328" s="234" t="s">
        <v>1980</v>
      </c>
      <c r="AF328" s="234" t="s">
        <v>2032</v>
      </c>
      <c r="AG328" s="234" t="s">
        <v>2033</v>
      </c>
      <c r="AI328" s="234" t="s">
        <v>2034</v>
      </c>
      <c r="AL328" s="31">
        <v>0.661416</v>
      </c>
      <c r="AM328" s="234" t="s">
        <v>2035</v>
      </c>
      <c r="BS328" s="7">
        <v>2.7266341874999998E-3</v>
      </c>
      <c r="BT328" s="5">
        <v>273.83447068296198</v>
      </c>
      <c r="BV328" s="5">
        <v>43.609761360619402</v>
      </c>
      <c r="CQ328" s="18" t="s">
        <v>35</v>
      </c>
      <c r="CR328" s="233" t="s">
        <v>1368</v>
      </c>
      <c r="CU328" s="230" t="s">
        <v>1738</v>
      </c>
      <c r="CV328" s="230" t="s">
        <v>1751</v>
      </c>
    </row>
    <row r="329" spans="1:100" ht="15.6" x14ac:dyDescent="0.25">
      <c r="A329" s="2" t="s">
        <v>930</v>
      </c>
      <c r="B329" s="45" t="s">
        <v>794</v>
      </c>
      <c r="C329" s="2" t="s">
        <v>932</v>
      </c>
      <c r="D329" s="3">
        <v>0.13122039894458601</v>
      </c>
      <c r="F329" s="233" t="s">
        <v>1824</v>
      </c>
      <c r="H329" s="233" t="s">
        <v>1820</v>
      </c>
      <c r="R329" s="234" t="s">
        <v>1977</v>
      </c>
      <c r="U329" s="15">
        <v>443.84842519685043</v>
      </c>
      <c r="V329" s="2">
        <v>39</v>
      </c>
      <c r="AF329" s="30">
        <v>20.0396797942857</v>
      </c>
      <c r="AG329" s="30">
        <v>74.26088512773282</v>
      </c>
      <c r="AI329" s="6">
        <v>955.00575325845136</v>
      </c>
      <c r="BT329" s="5">
        <v>19.138009496999999</v>
      </c>
      <c r="BV329" s="5">
        <v>14.881643592</v>
      </c>
      <c r="CQ329" s="18" t="s">
        <v>35</v>
      </c>
      <c r="CU329" s="230" t="s">
        <v>1738</v>
      </c>
      <c r="CV329" s="230" t="s">
        <v>1751</v>
      </c>
    </row>
    <row r="330" spans="1:100" ht="15.6" x14ac:dyDescent="0.25">
      <c r="A330" s="2" t="s">
        <v>934</v>
      </c>
      <c r="B330" s="45" t="s">
        <v>794</v>
      </c>
      <c r="C330" s="2" t="s">
        <v>935</v>
      </c>
      <c r="D330" s="233" t="s">
        <v>1827</v>
      </c>
      <c r="F330" s="233" t="s">
        <v>1823</v>
      </c>
      <c r="H330" s="233" t="s">
        <v>1821</v>
      </c>
      <c r="AF330" s="234" t="s">
        <v>2040</v>
      </c>
      <c r="AG330" s="234" t="s">
        <v>2039</v>
      </c>
      <c r="AI330" s="234" t="s">
        <v>2038</v>
      </c>
      <c r="BS330" s="7">
        <v>1.68859631875E-3</v>
      </c>
      <c r="BT330" s="50">
        <v>715.43069410884095</v>
      </c>
      <c r="BU330" s="7">
        <v>2.032E-3</v>
      </c>
      <c r="BV330" s="50">
        <v>201.63990790611001</v>
      </c>
      <c r="CQ330" s="18" t="s">
        <v>35</v>
      </c>
      <c r="CR330" s="233" t="s">
        <v>2179</v>
      </c>
      <c r="CU330" s="230" t="s">
        <v>1738</v>
      </c>
      <c r="CV330" s="230" t="s">
        <v>1751</v>
      </c>
    </row>
    <row r="331" spans="1:100" ht="15.6" x14ac:dyDescent="0.25">
      <c r="A331" s="2" t="s">
        <v>931</v>
      </c>
      <c r="B331" s="45" t="s">
        <v>794</v>
      </c>
      <c r="C331" s="2" t="s">
        <v>933</v>
      </c>
      <c r="D331" s="3">
        <v>8.2128176724388893E-2</v>
      </c>
      <c r="F331" s="233" t="s">
        <v>1812</v>
      </c>
      <c r="H331" s="233" t="s">
        <v>1822</v>
      </c>
      <c r="AF331" s="31">
        <v>8.3803556591381199</v>
      </c>
      <c r="AG331" s="234" t="s">
        <v>2041</v>
      </c>
      <c r="AI331" s="234" t="s">
        <v>2037</v>
      </c>
      <c r="AK331" s="234" t="s">
        <v>2036</v>
      </c>
      <c r="BS331" s="3">
        <v>5.6201157673617101E-2</v>
      </c>
      <c r="BT331" s="5">
        <v>11.3320996956</v>
      </c>
      <c r="BV331" s="4">
        <v>4.7435952879999999</v>
      </c>
      <c r="CQ331" s="18" t="s">
        <v>35</v>
      </c>
      <c r="CU331" s="230" t="s">
        <v>1738</v>
      </c>
      <c r="CV331" s="230" t="s">
        <v>1751</v>
      </c>
    </row>
    <row r="332" spans="1:100" x14ac:dyDescent="0.25">
      <c r="A332" s="2" t="s">
        <v>769</v>
      </c>
      <c r="B332" s="45" t="s">
        <v>794</v>
      </c>
      <c r="C332" s="2" t="s">
        <v>770</v>
      </c>
      <c r="D332" s="4">
        <v>2.3450880000000001</v>
      </c>
      <c r="E332" s="5">
        <v>3.6481380656077729</v>
      </c>
      <c r="F332" s="15">
        <v>203.72646229054092</v>
      </c>
      <c r="G332" s="4">
        <v>0.44704634538234811</v>
      </c>
      <c r="H332" s="5">
        <v>7.6326093477089136</v>
      </c>
      <c r="I332" s="5">
        <v>13.701533307065663</v>
      </c>
      <c r="CQ332" s="18" t="s">
        <v>35</v>
      </c>
      <c r="CU332" s="230" t="s">
        <v>1730</v>
      </c>
      <c r="CV332" s="230" t="s">
        <v>1746</v>
      </c>
    </row>
    <row r="333" spans="1:100" x14ac:dyDescent="0.25">
      <c r="A333" s="2" t="s">
        <v>769</v>
      </c>
      <c r="B333" s="45" t="s">
        <v>794</v>
      </c>
      <c r="C333" s="2" t="s">
        <v>771</v>
      </c>
      <c r="D333" s="3">
        <v>0.16455844</v>
      </c>
      <c r="E333" s="5">
        <v>4.4782328758099554</v>
      </c>
      <c r="F333" s="15">
        <v>230.68187398956869</v>
      </c>
      <c r="G333" s="4">
        <v>0.37777377325647954</v>
      </c>
      <c r="H333" s="5">
        <v>8.7928181137351569</v>
      </c>
      <c r="I333" s="5">
        <v>15.786035793727745</v>
      </c>
      <c r="CQ333" s="4">
        <v>2.6196663999999998</v>
      </c>
      <c r="CS333" s="233" t="s">
        <v>2177</v>
      </c>
      <c r="CU333" s="230" t="s">
        <v>1730</v>
      </c>
      <c r="CV333" s="230" t="s">
        <v>1746</v>
      </c>
    </row>
    <row r="334" spans="1:100" ht="15.6" x14ac:dyDescent="0.25">
      <c r="A334" s="2" t="s">
        <v>717</v>
      </c>
      <c r="B334" s="216" t="s">
        <v>797</v>
      </c>
      <c r="C334" s="21" t="s">
        <v>41</v>
      </c>
      <c r="D334" s="5">
        <v>59.104019700189426</v>
      </c>
      <c r="F334" s="233" t="s">
        <v>1828</v>
      </c>
      <c r="H334" s="5">
        <v>4.7188978707403653</v>
      </c>
      <c r="I334" s="5">
        <v>10.829848917558889</v>
      </c>
      <c r="BK334" s="234" t="s">
        <v>2139</v>
      </c>
      <c r="BM334" s="234" t="s">
        <v>2140</v>
      </c>
      <c r="BN334" s="234" t="s">
        <v>2141</v>
      </c>
      <c r="BO334" s="234" t="s">
        <v>2142</v>
      </c>
      <c r="BT334" s="6">
        <v>1190.8235010585713</v>
      </c>
      <c r="BV334" s="6">
        <v>1051.9748571428599</v>
      </c>
      <c r="BW334" s="6">
        <v>4810.3079047619103</v>
      </c>
      <c r="CQ334" s="30">
        <v>408.09863860000007</v>
      </c>
      <c r="CS334" s="233" t="s">
        <v>2177</v>
      </c>
      <c r="CU334" s="230" t="s">
        <v>1729</v>
      </c>
      <c r="CV334" s="230" t="s">
        <v>1743</v>
      </c>
    </row>
    <row r="335" spans="1:100" ht="15.6" x14ac:dyDescent="0.25">
      <c r="A335" s="2" t="s">
        <v>718</v>
      </c>
      <c r="B335" s="213" t="s">
        <v>798</v>
      </c>
      <c r="C335" s="21" t="s">
        <v>41</v>
      </c>
      <c r="D335" s="30">
        <v>64.216058000000004</v>
      </c>
      <c r="F335" s="15">
        <v>376.85975822433699</v>
      </c>
      <c r="H335" s="4">
        <v>8.6234825373429178</v>
      </c>
      <c r="I335" s="4">
        <v>3.4627199567089249</v>
      </c>
      <c r="AF335" s="235" t="s">
        <v>2042</v>
      </c>
      <c r="AG335" s="235" t="s">
        <v>2043</v>
      </c>
      <c r="AI335" s="235" t="s">
        <v>2044</v>
      </c>
      <c r="AL335" s="235" t="s">
        <v>2045</v>
      </c>
      <c r="AM335" s="235" t="s">
        <v>2046</v>
      </c>
      <c r="BT335" s="6">
        <v>20681.717700000001</v>
      </c>
      <c r="BV335" s="6">
        <v>4739.4530000000004</v>
      </c>
      <c r="BW335" s="6">
        <v>1440.278</v>
      </c>
      <c r="CQ335" s="18" t="s">
        <v>35</v>
      </c>
      <c r="CU335" s="230" t="s">
        <v>1729</v>
      </c>
      <c r="CV335" s="230" t="s">
        <v>1743</v>
      </c>
    </row>
    <row r="336" spans="1:100" ht="15.6" x14ac:dyDescent="0.25">
      <c r="A336" s="2" t="s">
        <v>719</v>
      </c>
      <c r="B336" s="213" t="s">
        <v>798</v>
      </c>
      <c r="C336" s="21" t="s">
        <v>1323</v>
      </c>
      <c r="D336" s="30">
        <v>87.465075807861297</v>
      </c>
      <c r="F336" s="5">
        <v>39.416439660374905</v>
      </c>
      <c r="H336" s="5">
        <v>1.603420529783941</v>
      </c>
      <c r="I336" s="5">
        <v>11.104661874786093</v>
      </c>
      <c r="AF336" s="234" t="s">
        <v>2047</v>
      </c>
      <c r="AG336" s="234" t="s">
        <v>2048</v>
      </c>
      <c r="AI336" s="234" t="s">
        <v>2049</v>
      </c>
      <c r="AL336" s="234" t="s">
        <v>2050</v>
      </c>
      <c r="AM336" s="234" t="s">
        <v>2051</v>
      </c>
      <c r="AO336" s="234" t="s">
        <v>2052</v>
      </c>
      <c r="BT336" s="6">
        <v>1981.46580509264</v>
      </c>
      <c r="BV336" s="5">
        <v>819.54218358507705</v>
      </c>
      <c r="BW336" s="6">
        <v>7544.50312059718</v>
      </c>
      <c r="CQ336" s="18" t="s">
        <v>35</v>
      </c>
      <c r="CU336" s="230" t="s">
        <v>1730</v>
      </c>
      <c r="CV336" s="230" t="s">
        <v>1743</v>
      </c>
    </row>
    <row r="337" spans="1:100" ht="15.6" x14ac:dyDescent="0.25">
      <c r="A337" s="2" t="s">
        <v>720</v>
      </c>
      <c r="B337" s="213" t="s">
        <v>798</v>
      </c>
      <c r="C337" s="2" t="s">
        <v>214</v>
      </c>
      <c r="D337" s="5">
        <v>26.8996666666667</v>
      </c>
      <c r="F337" s="5">
        <v>13.666038872124503</v>
      </c>
      <c r="H337" s="5">
        <v>0.4074569298064899</v>
      </c>
      <c r="I337" s="4">
        <v>2.9641133099542749</v>
      </c>
      <c r="AL337" s="30">
        <v>743.14654195318496</v>
      </c>
      <c r="AM337" s="30">
        <v>48.231537087954244</v>
      </c>
      <c r="AN337" s="234" t="s">
        <v>2053</v>
      </c>
      <c r="AO337" s="33">
        <v>149.54974136872957</v>
      </c>
      <c r="BT337" s="5">
        <v>109.77211516437001</v>
      </c>
      <c r="BV337" s="4">
        <v>38.165594574862901</v>
      </c>
      <c r="BW337" s="5">
        <v>358.43099999999998</v>
      </c>
      <c r="CQ337" s="18" t="s">
        <v>35</v>
      </c>
      <c r="CU337" s="230" t="s">
        <v>1729</v>
      </c>
      <c r="CV337" s="230" t="s">
        <v>1743</v>
      </c>
    </row>
    <row r="338" spans="1:100" ht="15.6" x14ac:dyDescent="0.25">
      <c r="A338" s="2" t="s">
        <v>721</v>
      </c>
      <c r="B338" s="216" t="s">
        <v>797</v>
      </c>
      <c r="C338" s="124" t="s">
        <v>1324</v>
      </c>
      <c r="D338" s="4">
        <v>4.7214600000000004</v>
      </c>
      <c r="F338" s="5">
        <v>79.554677667576556</v>
      </c>
      <c r="H338" s="5">
        <v>5.8264660467831932</v>
      </c>
      <c r="I338" s="5">
        <v>12.791273505537385</v>
      </c>
      <c r="P338" s="2">
        <v>0.73</v>
      </c>
      <c r="Q338" s="2" t="s">
        <v>423</v>
      </c>
      <c r="AF338" s="30">
        <v>308.20124958181299</v>
      </c>
      <c r="AG338" s="31">
        <v>52.313289381132464</v>
      </c>
      <c r="AI338" s="234" t="s">
        <v>2063</v>
      </c>
      <c r="AL338" s="30">
        <v>803.36546946441797</v>
      </c>
      <c r="AM338" s="31">
        <v>54.673722971043652</v>
      </c>
      <c r="AO338" s="234" t="s">
        <v>2054</v>
      </c>
      <c r="BT338" s="5">
        <v>290.3194148</v>
      </c>
      <c r="BV338" s="5">
        <v>161.23021156999999</v>
      </c>
      <c r="BW338" s="5">
        <v>439.22981121999999</v>
      </c>
      <c r="CQ338" s="18" t="s">
        <v>35</v>
      </c>
      <c r="CU338" s="230" t="s">
        <v>1734</v>
      </c>
      <c r="CV338" s="230" t="s">
        <v>1743</v>
      </c>
    </row>
    <row r="339" spans="1:100" x14ac:dyDescent="0.25">
      <c r="A339" s="2" t="s">
        <v>722</v>
      </c>
      <c r="B339" s="216" t="s">
        <v>797</v>
      </c>
      <c r="C339" s="2" t="s">
        <v>723</v>
      </c>
      <c r="D339" s="3">
        <v>8.2725768000000005E-2</v>
      </c>
      <c r="F339" s="15">
        <v>281.55207347243964</v>
      </c>
      <c r="H339" s="5">
        <v>5.3134765361138738</v>
      </c>
      <c r="I339" s="5">
        <v>7.3134261817913844</v>
      </c>
      <c r="AF339" s="31">
        <v>7.3629519999999999</v>
      </c>
      <c r="AG339" s="31">
        <v>58.120601628259955</v>
      </c>
      <c r="AH339" s="30">
        <v>6.0409134814405947</v>
      </c>
      <c r="AI339" s="34">
        <v>2331.6324213440475</v>
      </c>
      <c r="AL339" s="31">
        <v>11.977341195876299</v>
      </c>
      <c r="AM339" s="31">
        <v>48.945086427180968</v>
      </c>
      <c r="AN339" s="30">
        <v>1.8238872380206137</v>
      </c>
      <c r="AO339" s="33">
        <v>179.07242224496727</v>
      </c>
      <c r="BT339" s="4">
        <v>19.3125091</v>
      </c>
      <c r="BV339" s="4">
        <v>4.4978451975257698</v>
      </c>
      <c r="BW339" s="4">
        <v>6.3071095599999998</v>
      </c>
      <c r="CQ339" s="18" t="s">
        <v>35</v>
      </c>
      <c r="CU339" s="230" t="s">
        <v>1738</v>
      </c>
      <c r="CV339" s="230" t="s">
        <v>1743</v>
      </c>
    </row>
    <row r="340" spans="1:100" ht="15.6" x14ac:dyDescent="0.25">
      <c r="A340" s="2" t="s">
        <v>724</v>
      </c>
      <c r="B340" s="213" t="s">
        <v>798</v>
      </c>
      <c r="C340" s="21" t="s">
        <v>1233</v>
      </c>
      <c r="D340" s="5">
        <v>265.40906863374602</v>
      </c>
      <c r="F340" s="15">
        <v>117.89483785170323</v>
      </c>
      <c r="H340" s="5">
        <v>5.1061884822895367</v>
      </c>
      <c r="I340" s="5">
        <v>6.7258385062761903</v>
      </c>
      <c r="AF340" s="234" t="s">
        <v>2062</v>
      </c>
      <c r="AG340" s="234" t="s">
        <v>2061</v>
      </c>
      <c r="AH340" s="234" t="s">
        <v>2060</v>
      </c>
      <c r="AI340" s="234" t="s">
        <v>2059</v>
      </c>
      <c r="AL340" s="234" t="s">
        <v>2058</v>
      </c>
      <c r="AM340" s="234" t="s">
        <v>2057</v>
      </c>
      <c r="AN340" s="234" t="s">
        <v>2056</v>
      </c>
      <c r="AO340" s="234" t="s">
        <v>2055</v>
      </c>
      <c r="BT340" s="6">
        <v>21437.71490694</v>
      </c>
      <c r="BV340" s="6">
        <v>9646.2421215150007</v>
      </c>
      <c r="BW340" s="6">
        <v>12240.835868800001</v>
      </c>
      <c r="CQ340" s="18" t="s">
        <v>35</v>
      </c>
      <c r="CU340" s="230" t="s">
        <v>1729</v>
      </c>
      <c r="CV340" s="230" t="s">
        <v>1743</v>
      </c>
    </row>
    <row r="341" spans="1:100" ht="15.6" x14ac:dyDescent="0.25">
      <c r="A341" s="2" t="s">
        <v>725</v>
      </c>
      <c r="B341" s="213" t="s">
        <v>798</v>
      </c>
      <c r="C341" s="21" t="s">
        <v>1325</v>
      </c>
      <c r="D341" s="5">
        <v>315.41248914400001</v>
      </c>
      <c r="G341" s="4">
        <v>3.0522004052002583</v>
      </c>
      <c r="Z341" s="234" t="s">
        <v>1987</v>
      </c>
      <c r="AA341" s="234" t="s">
        <v>1986</v>
      </c>
      <c r="AC341" s="234" t="s">
        <v>1985</v>
      </c>
      <c r="BT341" s="6">
        <v>1301.8639431460992</v>
      </c>
      <c r="BU341" s="6">
        <v>8975.9075221222101</v>
      </c>
      <c r="CQ341" s="30">
        <v>13.126887311846</v>
      </c>
      <c r="CR341" s="233" t="s">
        <v>1370</v>
      </c>
      <c r="CS341" s="233" t="s">
        <v>2177</v>
      </c>
      <c r="CU341" s="230" t="s">
        <v>1729</v>
      </c>
      <c r="CV341" s="230" t="s">
        <v>1750</v>
      </c>
    </row>
    <row r="342" spans="1:100" ht="15.6" x14ac:dyDescent="0.25">
      <c r="A342" s="2" t="s">
        <v>726</v>
      </c>
      <c r="B342" s="216" t="s">
        <v>797</v>
      </c>
      <c r="C342" s="2">
        <v>2008</v>
      </c>
      <c r="D342" s="233" t="s">
        <v>1830</v>
      </c>
      <c r="G342" s="233" t="s">
        <v>1829</v>
      </c>
      <c r="BU342" s="233">
        <v>0.4</v>
      </c>
      <c r="CQ342" s="18" t="s">
        <v>35</v>
      </c>
      <c r="CR342" s="233" t="s">
        <v>1369</v>
      </c>
      <c r="CU342" s="230" t="s">
        <v>1730</v>
      </c>
      <c r="CV342" s="230" t="s">
        <v>1369</v>
      </c>
    </row>
    <row r="343" spans="1:100" ht="15.6" x14ac:dyDescent="0.25">
      <c r="A343" s="2" t="s">
        <v>727</v>
      </c>
      <c r="B343" s="44" t="s">
        <v>792</v>
      </c>
      <c r="C343" s="21" t="s">
        <v>1064</v>
      </c>
      <c r="D343" s="233" t="s">
        <v>1831</v>
      </c>
      <c r="J343" s="233" t="s">
        <v>1832</v>
      </c>
      <c r="AR343" s="234" t="s">
        <v>2076</v>
      </c>
      <c r="AS343" s="4">
        <v>19.91057400636582</v>
      </c>
      <c r="BX343" s="6">
        <v>1077.3505048597301</v>
      </c>
      <c r="CQ343" s="18" t="s">
        <v>35</v>
      </c>
      <c r="CU343" s="230" t="s">
        <v>1729</v>
      </c>
      <c r="CV343" s="230" t="s">
        <v>1373</v>
      </c>
    </row>
    <row r="344" spans="1:100" ht="15.6" x14ac:dyDescent="0.25">
      <c r="A344" s="21" t="s">
        <v>728</v>
      </c>
      <c r="B344" s="44" t="s">
        <v>792</v>
      </c>
      <c r="C344" s="21" t="s">
        <v>1326</v>
      </c>
      <c r="D344" s="233" t="s">
        <v>1835</v>
      </c>
      <c r="G344" s="4">
        <v>0.23882518881141479</v>
      </c>
      <c r="J344" s="4">
        <v>3.096217203916495</v>
      </c>
      <c r="K344" s="3">
        <v>5.2673859936780358E-2</v>
      </c>
      <c r="AR344" s="234" t="s">
        <v>2077</v>
      </c>
      <c r="AS344" s="147">
        <v>11.530690694280276</v>
      </c>
      <c r="AT344" s="234" t="s">
        <v>2081</v>
      </c>
      <c r="AU344" s="234" t="s">
        <v>2082</v>
      </c>
      <c r="AV344" s="234" t="s">
        <v>2083</v>
      </c>
      <c r="AW344" s="234" t="s">
        <v>2084</v>
      </c>
      <c r="AX344" s="234" t="s">
        <v>2085</v>
      </c>
      <c r="BS344" s="3">
        <v>9.4285999999999995E-2</v>
      </c>
      <c r="BT344" s="4">
        <v>8.788748</v>
      </c>
      <c r="BU344" s="5">
        <v>99.032433633758103</v>
      </c>
      <c r="BX344" s="6">
        <v>1523.2693554974601</v>
      </c>
      <c r="BY344" s="5">
        <v>19.977588480000001</v>
      </c>
      <c r="CF344" s="5">
        <v>28.253326582702019</v>
      </c>
      <c r="CG344" s="5"/>
      <c r="CQ344" s="18" t="s">
        <v>35</v>
      </c>
      <c r="CU344" s="230" t="s">
        <v>1730</v>
      </c>
      <c r="CV344" s="230" t="s">
        <v>1752</v>
      </c>
    </row>
    <row r="345" spans="1:100" ht="15.6" x14ac:dyDescent="0.25">
      <c r="A345" s="21" t="s">
        <v>729</v>
      </c>
      <c r="B345" s="44" t="s">
        <v>792</v>
      </c>
      <c r="C345" s="21" t="s">
        <v>1327</v>
      </c>
      <c r="D345" s="233" t="s">
        <v>1834</v>
      </c>
      <c r="J345" s="233" t="s">
        <v>1833</v>
      </c>
      <c r="AR345" s="234" t="s">
        <v>2078</v>
      </c>
      <c r="AS345" s="147">
        <v>11.764102244816701</v>
      </c>
      <c r="AT345" s="234" t="s">
        <v>2087</v>
      </c>
      <c r="AU345" s="234" t="s">
        <v>2086</v>
      </c>
      <c r="BX345" s="6">
        <v>1119.5776283687001</v>
      </c>
      <c r="CQ345" s="18" t="s">
        <v>35</v>
      </c>
      <c r="CU345" s="230" t="s">
        <v>1729</v>
      </c>
      <c r="CV345" s="230" t="s">
        <v>1373</v>
      </c>
    </row>
    <row r="346" spans="1:100" ht="15.6" x14ac:dyDescent="0.25">
      <c r="A346" s="2" t="s">
        <v>730</v>
      </c>
      <c r="B346" s="44" t="s">
        <v>792</v>
      </c>
      <c r="C346" s="2" t="s">
        <v>438</v>
      </c>
      <c r="D346" s="4">
        <v>9.2097370000000005</v>
      </c>
      <c r="G346" s="4">
        <v>0.64714564704725008</v>
      </c>
      <c r="J346" s="4">
        <v>1.2762491404477672</v>
      </c>
      <c r="K346" s="3">
        <v>6.3465977367214738E-2</v>
      </c>
      <c r="AR346" s="6">
        <v>1306.83</v>
      </c>
      <c r="AS346" s="4">
        <v>7.6890309757198745</v>
      </c>
      <c r="AT346" s="4">
        <v>4.3338126611724554</v>
      </c>
      <c r="AU346" s="4">
        <v>0.40280987580634053</v>
      </c>
      <c r="BU346" s="5">
        <v>56.488999999999997</v>
      </c>
      <c r="BX346" s="5">
        <v>100.593</v>
      </c>
      <c r="BY346" s="4">
        <v>5.2869999999999999</v>
      </c>
      <c r="CQ346" s="30">
        <v>10.7827875</v>
      </c>
      <c r="CS346" s="233" t="s">
        <v>2177</v>
      </c>
      <c r="CU346" s="230" t="s">
        <v>1729</v>
      </c>
      <c r="CV346" s="230" t="s">
        <v>1753</v>
      </c>
    </row>
    <row r="347" spans="1:100" x14ac:dyDescent="0.25">
      <c r="A347" s="2" t="s">
        <v>731</v>
      </c>
      <c r="B347" s="44" t="s">
        <v>792</v>
      </c>
      <c r="C347" s="2" t="s">
        <v>218</v>
      </c>
      <c r="D347" s="4">
        <v>3.8056999999999999</v>
      </c>
      <c r="J347" s="4">
        <v>1.9549125059278252</v>
      </c>
      <c r="AR347" s="5">
        <v>421.86399999999998</v>
      </c>
      <c r="AS347" s="4">
        <v>12.667629814347755</v>
      </c>
      <c r="BX347" s="5">
        <v>55.151000000000003</v>
      </c>
      <c r="CQ347" s="18" t="s">
        <v>35</v>
      </c>
      <c r="CU347" s="230" t="s">
        <v>1730</v>
      </c>
      <c r="CV347" s="230" t="s">
        <v>1373</v>
      </c>
    </row>
    <row r="348" spans="1:100" ht="15.6" x14ac:dyDescent="0.25">
      <c r="A348" s="2" t="s">
        <v>745</v>
      </c>
      <c r="B348" s="44" t="s">
        <v>792</v>
      </c>
      <c r="C348" s="2" t="s">
        <v>433</v>
      </c>
      <c r="D348" s="4">
        <v>7.4410819999999998</v>
      </c>
      <c r="J348" s="4">
        <v>4.336692163854666</v>
      </c>
      <c r="AR348" s="6">
        <v>1945.7263343253301</v>
      </c>
      <c r="AS348" s="4">
        <v>14.74906414226577</v>
      </c>
      <c r="BX348" s="5">
        <v>287.87099508259996</v>
      </c>
      <c r="CQ348" s="18" t="s">
        <v>35</v>
      </c>
      <c r="CU348" s="230" t="s">
        <v>1729</v>
      </c>
      <c r="CV348" s="230" t="s">
        <v>1373</v>
      </c>
    </row>
    <row r="349" spans="1:100" ht="15.6" x14ac:dyDescent="0.25">
      <c r="A349" s="2" t="s">
        <v>732</v>
      </c>
      <c r="B349" s="44" t="s">
        <v>792</v>
      </c>
      <c r="C349" s="2" t="s">
        <v>764</v>
      </c>
      <c r="D349" s="4">
        <v>5.7144000000000004</v>
      </c>
      <c r="J349" s="4">
        <v>1.8345171881562368</v>
      </c>
      <c r="AR349" s="234" t="s">
        <v>2079</v>
      </c>
      <c r="AS349" s="4">
        <v>14.25590864581166</v>
      </c>
      <c r="BX349" s="5">
        <v>78.923734800000005</v>
      </c>
      <c r="CQ349" s="18" t="s">
        <v>35</v>
      </c>
      <c r="CU349" s="230" t="s">
        <v>1730</v>
      </c>
      <c r="CV349" s="230" t="s">
        <v>1373</v>
      </c>
    </row>
    <row r="350" spans="1:100" ht="15.6" x14ac:dyDescent="0.25">
      <c r="A350" s="2" t="s">
        <v>733</v>
      </c>
      <c r="B350" s="44" t="s">
        <v>792</v>
      </c>
      <c r="C350" s="124" t="s">
        <v>1328</v>
      </c>
      <c r="D350" s="4">
        <v>9.1926260000000006</v>
      </c>
      <c r="J350" s="4">
        <v>2.0079220932081863</v>
      </c>
      <c r="AR350" s="234" t="s">
        <v>2080</v>
      </c>
      <c r="AS350" s="4">
        <v>19.324032551336455</v>
      </c>
      <c r="BX350" s="5">
        <v>151.16585682710999</v>
      </c>
      <c r="CQ350" s="18" t="s">
        <v>35</v>
      </c>
      <c r="CU350" s="230" t="s">
        <v>1730</v>
      </c>
      <c r="CV350" s="230" t="s">
        <v>1373</v>
      </c>
    </row>
    <row r="351" spans="1:100" x14ac:dyDescent="0.25">
      <c r="A351" s="2" t="s">
        <v>759</v>
      </c>
      <c r="B351" s="213" t="s">
        <v>798</v>
      </c>
      <c r="C351" s="2" t="s">
        <v>761</v>
      </c>
      <c r="D351" s="5">
        <v>31.2585799168052</v>
      </c>
      <c r="J351" s="4">
        <v>1.406613273455009</v>
      </c>
      <c r="K351" s="4">
        <v>0.11185414192229381</v>
      </c>
      <c r="BX351" s="5">
        <v>327.38471469016997</v>
      </c>
      <c r="BY351" s="5">
        <v>14.630675551579101</v>
      </c>
      <c r="CQ351" s="18" t="s">
        <v>35</v>
      </c>
      <c r="CU351" s="230" t="s">
        <v>1734</v>
      </c>
      <c r="CV351" s="230" t="s">
        <v>1754</v>
      </c>
    </row>
    <row r="352" spans="1:100" ht="15.6" x14ac:dyDescent="0.25">
      <c r="A352" s="2" t="s">
        <v>760</v>
      </c>
      <c r="B352" s="44" t="s">
        <v>792</v>
      </c>
      <c r="C352" s="229" t="s">
        <v>1727</v>
      </c>
      <c r="D352" s="30">
        <v>18.765999999999998</v>
      </c>
      <c r="J352" s="31">
        <v>1.3268496216561867</v>
      </c>
      <c r="BX352" s="5">
        <v>181.227</v>
      </c>
      <c r="CQ352" s="18" t="s">
        <v>35</v>
      </c>
      <c r="CU352" s="230" t="s">
        <v>1729</v>
      </c>
      <c r="CV352" s="230" t="s">
        <v>1373</v>
      </c>
    </row>
    <row r="353" spans="1:100" ht="15.6" x14ac:dyDescent="0.25">
      <c r="A353" s="2" t="s">
        <v>734</v>
      </c>
      <c r="B353" s="45" t="s">
        <v>794</v>
      </c>
      <c r="C353" s="2" t="s">
        <v>756</v>
      </c>
      <c r="D353" s="3">
        <v>0.44127499999999997</v>
      </c>
      <c r="J353" s="4">
        <v>0.95496096538439745</v>
      </c>
      <c r="AR353" s="233" t="s">
        <v>2088</v>
      </c>
      <c r="AS353" s="233" t="s">
        <v>2089</v>
      </c>
      <c r="BX353" s="4">
        <v>2.8622999999999998</v>
      </c>
      <c r="CQ353" s="18" t="s">
        <v>35</v>
      </c>
      <c r="CU353" s="230" t="s">
        <v>1730</v>
      </c>
      <c r="CV353" s="230" t="s">
        <v>1373</v>
      </c>
    </row>
    <row r="354" spans="1:100" ht="15.6" x14ac:dyDescent="0.25">
      <c r="A354" s="2" t="s">
        <v>736</v>
      </c>
      <c r="B354" s="44" t="s">
        <v>792</v>
      </c>
      <c r="C354" s="2" t="s">
        <v>758</v>
      </c>
      <c r="D354" s="4">
        <v>7.7496683433333304</v>
      </c>
      <c r="G354" s="233" t="s">
        <v>1836</v>
      </c>
      <c r="J354" s="4">
        <v>1.4288606263830417</v>
      </c>
      <c r="AR354" s="5">
        <v>897.54700000000003</v>
      </c>
      <c r="AS354" s="4">
        <v>10.285560522178782</v>
      </c>
      <c r="AT354" s="234" t="s">
        <v>2090</v>
      </c>
      <c r="BU354" s="4">
        <v>3.021550054</v>
      </c>
      <c r="BX354" s="5">
        <v>92.496500999999995</v>
      </c>
      <c r="CQ354" s="18" t="s">
        <v>35</v>
      </c>
      <c r="CU354" s="230" t="s">
        <v>1730</v>
      </c>
      <c r="CV354" s="230" t="s">
        <v>1753</v>
      </c>
    </row>
    <row r="355" spans="1:100" ht="15.6" x14ac:dyDescent="0.25">
      <c r="A355" s="2" t="s">
        <v>737</v>
      </c>
      <c r="B355" s="44" t="s">
        <v>792</v>
      </c>
      <c r="C355" s="21" t="s">
        <v>1329</v>
      </c>
      <c r="D355" s="233" t="s">
        <v>1837</v>
      </c>
      <c r="J355" s="233" t="s">
        <v>1838</v>
      </c>
      <c r="K355" s="233" t="s">
        <v>1839</v>
      </c>
      <c r="BX355" s="5">
        <v>740.11099999999999</v>
      </c>
      <c r="BY355" s="5">
        <v>52.918142857142897</v>
      </c>
      <c r="CQ355" s="18" t="s">
        <v>35</v>
      </c>
      <c r="CU355" s="230" t="s">
        <v>1729</v>
      </c>
      <c r="CV355" s="230" t="s">
        <v>1754</v>
      </c>
    </row>
    <row r="356" spans="1:100" ht="15.6" x14ac:dyDescent="0.25">
      <c r="A356" s="2" t="s">
        <v>738</v>
      </c>
      <c r="B356" s="44" t="s">
        <v>792</v>
      </c>
      <c r="C356" s="2" t="s">
        <v>739</v>
      </c>
      <c r="D356" s="4">
        <v>2.899324</v>
      </c>
      <c r="J356" s="4">
        <v>0.9102018332549241</v>
      </c>
      <c r="K356" s="4">
        <v>0.13757813545502329</v>
      </c>
      <c r="BX356" s="5">
        <v>18.653030600000001</v>
      </c>
      <c r="BY356" s="4">
        <v>2.8525999999999998</v>
      </c>
      <c r="CQ356" s="18" t="s">
        <v>35</v>
      </c>
      <c r="CU356" s="230" t="s">
        <v>1730</v>
      </c>
      <c r="CV356" s="230" t="s">
        <v>1754</v>
      </c>
    </row>
    <row r="357" spans="1:100" x14ac:dyDescent="0.25">
      <c r="A357" s="2" t="s">
        <v>740</v>
      </c>
      <c r="B357" s="44" t="s">
        <v>792</v>
      </c>
      <c r="C357" s="2" t="s">
        <v>741</v>
      </c>
      <c r="D357" s="3">
        <v>0.19992099999999999</v>
      </c>
      <c r="J357" s="4">
        <v>3.5373227424832807</v>
      </c>
      <c r="BX357" s="4">
        <v>5.4459999999999997</v>
      </c>
      <c r="CQ357" s="18" t="s">
        <v>35</v>
      </c>
      <c r="CU357" s="230" t="s">
        <v>1730</v>
      </c>
      <c r="CV357" s="230" t="s">
        <v>1753</v>
      </c>
    </row>
    <row r="358" spans="1:100" ht="15.6" x14ac:dyDescent="0.25">
      <c r="A358" s="2" t="s">
        <v>742</v>
      </c>
      <c r="B358" s="44" t="s">
        <v>792</v>
      </c>
      <c r="C358" s="2" t="s">
        <v>743</v>
      </c>
      <c r="D358" s="4">
        <v>1.516966</v>
      </c>
      <c r="J358" s="4">
        <v>2.2193721486396751</v>
      </c>
      <c r="AR358" s="5">
        <v>233.20063171133697</v>
      </c>
      <c r="AS358" s="5">
        <v>10.843717838338366</v>
      </c>
      <c r="AT358" s="4">
        <v>6.4081655617243172</v>
      </c>
      <c r="AU358" s="4">
        <v>0.59584090488284114</v>
      </c>
      <c r="AV358" s="234" t="s">
        <v>2091</v>
      </c>
      <c r="BU358" s="5">
        <v>14.943882571049453</v>
      </c>
      <c r="BX358" s="5">
        <v>25.287618500000001</v>
      </c>
      <c r="BY358" s="4">
        <v>1.3895047541813321</v>
      </c>
      <c r="CF358" s="4">
        <v>0.95612259001648159</v>
      </c>
      <c r="CG358" s="233"/>
      <c r="CQ358" s="18" t="s">
        <v>35</v>
      </c>
      <c r="CR358" s="233" t="s">
        <v>1396</v>
      </c>
      <c r="CU358" s="230" t="s">
        <v>1730</v>
      </c>
      <c r="CV358" s="230" t="s">
        <v>1753</v>
      </c>
    </row>
    <row r="359" spans="1:100" ht="15.6" x14ac:dyDescent="0.25">
      <c r="A359" s="2" t="s">
        <v>746</v>
      </c>
      <c r="B359" s="44" t="s">
        <v>792</v>
      </c>
      <c r="C359" s="2" t="s">
        <v>744</v>
      </c>
      <c r="D359" s="3">
        <v>0.82346799999999998</v>
      </c>
      <c r="G359" s="4">
        <v>0.14575347190176183</v>
      </c>
      <c r="J359" s="4">
        <v>2.1384398300844722</v>
      </c>
      <c r="K359" s="233" t="s">
        <v>1840</v>
      </c>
      <c r="AR359" s="5">
        <v>141.26690564436078</v>
      </c>
      <c r="AS359" s="4">
        <v>13.182634612867233</v>
      </c>
      <c r="AT359" s="234" t="s">
        <v>2093</v>
      </c>
      <c r="AU359" s="234" t="s">
        <v>2092</v>
      </c>
      <c r="BU359" s="4">
        <v>1.1990000000000001</v>
      </c>
      <c r="BX359" s="5">
        <v>18.622699999999998</v>
      </c>
      <c r="BY359" s="4">
        <v>0.18727309999999997</v>
      </c>
      <c r="CQ359" s="18" t="s">
        <v>35</v>
      </c>
      <c r="CU359" s="230" t="s">
        <v>1738</v>
      </c>
      <c r="CV359" s="230" t="s">
        <v>1753</v>
      </c>
    </row>
    <row r="360" spans="1:100" ht="15.6" x14ac:dyDescent="0.25">
      <c r="A360" s="2" t="s">
        <v>747</v>
      </c>
      <c r="B360" s="44" t="s">
        <v>792</v>
      </c>
      <c r="C360" s="2" t="s">
        <v>748</v>
      </c>
      <c r="D360" s="3">
        <v>0.178427</v>
      </c>
      <c r="G360" s="4">
        <v>0.47602313372059885</v>
      </c>
      <c r="J360" s="4">
        <v>1.5612235015680682</v>
      </c>
      <c r="AR360" s="5">
        <v>22.534773520000002</v>
      </c>
      <c r="AS360" s="4">
        <v>9.5730067938486201</v>
      </c>
      <c r="AT360" s="234" t="s">
        <v>2095</v>
      </c>
      <c r="AU360" s="234" t="s">
        <v>2094</v>
      </c>
      <c r="BU360" s="4">
        <v>0.74399999999999999</v>
      </c>
      <c r="BX360" s="4">
        <v>1.9485996480000001</v>
      </c>
      <c r="CQ360" s="18" t="s">
        <v>35</v>
      </c>
      <c r="CU360" s="230" t="s">
        <v>1738</v>
      </c>
      <c r="CV360" s="230" t="s">
        <v>1753</v>
      </c>
    </row>
    <row r="361" spans="1:100" x14ac:dyDescent="0.25">
      <c r="A361" s="2" t="s">
        <v>750</v>
      </c>
      <c r="B361" s="44" t="s">
        <v>792</v>
      </c>
      <c r="C361" s="2" t="s">
        <v>751</v>
      </c>
      <c r="D361" s="3">
        <v>0.496118</v>
      </c>
      <c r="J361" s="4">
        <v>2.7309983511987066</v>
      </c>
      <c r="BX361" s="5">
        <v>10.041</v>
      </c>
      <c r="CQ361" s="18" t="s">
        <v>35</v>
      </c>
      <c r="CU361" s="230" t="s">
        <v>1730</v>
      </c>
      <c r="CV361" s="230" t="s">
        <v>1753</v>
      </c>
    </row>
    <row r="362" spans="1:100" ht="15.6" x14ac:dyDescent="0.25">
      <c r="A362" s="2" t="s">
        <v>752</v>
      </c>
      <c r="B362" s="44" t="s">
        <v>792</v>
      </c>
      <c r="C362" s="2" t="s">
        <v>753</v>
      </c>
      <c r="D362" s="4">
        <v>1.06027840444444</v>
      </c>
      <c r="J362" s="4">
        <v>3.1477142613960249</v>
      </c>
      <c r="AR362" s="234" t="s">
        <v>2097</v>
      </c>
      <c r="AS362" s="234" t="s">
        <v>2096</v>
      </c>
      <c r="BX362" s="5">
        <v>33.552286199999998</v>
      </c>
      <c r="CQ362" s="18" t="s">
        <v>35</v>
      </c>
      <c r="CU362" s="230" t="s">
        <v>1738</v>
      </c>
      <c r="CV362" s="230" t="s">
        <v>1753</v>
      </c>
    </row>
    <row r="363" spans="1:100" ht="15.6" x14ac:dyDescent="0.25">
      <c r="A363" s="2" t="s">
        <v>754</v>
      </c>
      <c r="B363" s="44" t="s">
        <v>792</v>
      </c>
      <c r="C363" s="2" t="s">
        <v>325</v>
      </c>
      <c r="D363" s="4">
        <v>4.4804019136765998</v>
      </c>
      <c r="G363" s="4">
        <v>0.14494934278342628</v>
      </c>
      <c r="J363" s="4">
        <v>4.0137759137816182</v>
      </c>
      <c r="K363" s="3">
        <v>8.6348657099177009E-2</v>
      </c>
      <c r="AR363" s="234" t="s">
        <v>2098</v>
      </c>
      <c r="AS363" s="4">
        <v>19.627657630072491</v>
      </c>
      <c r="BU363" s="4">
        <v>3.6995454545454498</v>
      </c>
      <c r="BX363" s="5">
        <v>155.84273651401799</v>
      </c>
      <c r="BY363" s="4">
        <v>1.65290909090909</v>
      </c>
      <c r="CQ363" s="18" t="s">
        <v>35</v>
      </c>
      <c r="CU363" s="230" t="s">
        <v>1730</v>
      </c>
      <c r="CV363" s="230" t="s">
        <v>1753</v>
      </c>
    </row>
    <row r="364" spans="1:100" x14ac:dyDescent="0.25">
      <c r="A364" s="2" t="s">
        <v>73</v>
      </c>
      <c r="B364" s="44" t="s">
        <v>792</v>
      </c>
      <c r="C364" s="2" t="s">
        <v>755</v>
      </c>
      <c r="D364" s="4">
        <v>1.2328520000000001</v>
      </c>
      <c r="J364" s="4">
        <v>1.7868247624207934</v>
      </c>
      <c r="K364" s="4">
        <v>0.13889118726335359</v>
      </c>
      <c r="BX364" s="5">
        <v>17.150044999999999</v>
      </c>
      <c r="BY364" s="4">
        <v>1.0209999999999999</v>
      </c>
      <c r="CQ364" s="18" t="s">
        <v>35</v>
      </c>
      <c r="CU364" s="230" t="s">
        <v>1730</v>
      </c>
      <c r="CV364" s="230" t="s">
        <v>1754</v>
      </c>
    </row>
    <row r="365" spans="1:100" ht="15.6" x14ac:dyDescent="0.25">
      <c r="A365" s="2" t="s">
        <v>757</v>
      </c>
      <c r="B365" s="44" t="s">
        <v>792</v>
      </c>
      <c r="C365" s="2" t="s">
        <v>104</v>
      </c>
      <c r="D365" s="4">
        <v>7.4047260000000001</v>
      </c>
      <c r="G365" s="4">
        <v>0.85203003259755905</v>
      </c>
      <c r="J365" s="4">
        <v>2.0247182560836872</v>
      </c>
      <c r="K365" s="3">
        <v>7.3344546635293648E-2</v>
      </c>
      <c r="Z365" s="5">
        <v>185.04437037036999</v>
      </c>
      <c r="AA365" s="233" t="s">
        <v>1997</v>
      </c>
      <c r="AR365" s="5">
        <v>968.75</v>
      </c>
      <c r="AS365" s="5">
        <v>13.397411096774194</v>
      </c>
      <c r="AT365" s="233" t="s">
        <v>2102</v>
      </c>
      <c r="AU365" s="4">
        <v>0.48350967741935486</v>
      </c>
      <c r="BU365" s="5">
        <v>57.797015000000002</v>
      </c>
      <c r="BX365" s="5">
        <v>129.78742</v>
      </c>
      <c r="BY365" s="4">
        <v>4.6840000000000002</v>
      </c>
      <c r="CQ365" s="18" t="s">
        <v>35</v>
      </c>
      <c r="CU365" s="230" t="s">
        <v>1729</v>
      </c>
      <c r="CV365" s="230" t="s">
        <v>1753</v>
      </c>
    </row>
    <row r="366" spans="1:100" ht="15.6" x14ac:dyDescent="0.25">
      <c r="A366" s="2" t="s">
        <v>762</v>
      </c>
      <c r="B366" s="44" t="s">
        <v>792</v>
      </c>
      <c r="C366" s="2" t="s">
        <v>763</v>
      </c>
      <c r="D366" s="3">
        <v>0.60067199999999998</v>
      </c>
      <c r="G366" s="233" t="s">
        <v>1843</v>
      </c>
      <c r="J366" s="4">
        <v>2.3660950581502562</v>
      </c>
      <c r="AR366" s="234" t="s">
        <v>2099</v>
      </c>
      <c r="AS366" s="234" t="s">
        <v>2100</v>
      </c>
      <c r="AT366" s="233" t="s">
        <v>2101</v>
      </c>
      <c r="BU366" s="4">
        <v>0.94229799999999997</v>
      </c>
      <c r="BX366" s="5">
        <v>12.57826</v>
      </c>
      <c r="CQ366" s="18" t="s">
        <v>35</v>
      </c>
      <c r="CR366" s="233" t="s">
        <v>1369</v>
      </c>
      <c r="CU366" s="230" t="s">
        <v>1738</v>
      </c>
      <c r="CV366" s="230" t="s">
        <v>1753</v>
      </c>
    </row>
    <row r="367" spans="1:100" ht="15.6" x14ac:dyDescent="0.25">
      <c r="A367" s="2" t="s">
        <v>937</v>
      </c>
      <c r="B367" s="45" t="s">
        <v>794</v>
      </c>
      <c r="C367" s="21" t="s">
        <v>936</v>
      </c>
      <c r="D367" s="233" t="s">
        <v>1844</v>
      </c>
      <c r="G367" s="233" t="s">
        <v>1842</v>
      </c>
      <c r="J367" s="233" t="s">
        <v>1841</v>
      </c>
      <c r="R367" s="234" t="s">
        <v>1995</v>
      </c>
      <c r="S367" s="234" t="s">
        <v>1994</v>
      </c>
      <c r="X367" s="234" t="s">
        <v>1993</v>
      </c>
      <c r="Y367" s="2" t="s">
        <v>6</v>
      </c>
      <c r="BU367" s="4">
        <v>0.41437110220224699</v>
      </c>
      <c r="BX367" s="4">
        <v>0.86579455999999999</v>
      </c>
      <c r="CQ367" s="18" t="s">
        <v>35</v>
      </c>
      <c r="CR367" s="233" t="s">
        <v>2180</v>
      </c>
      <c r="CU367" s="230" t="s">
        <v>1738</v>
      </c>
      <c r="CV367" s="230" t="s">
        <v>1373</v>
      </c>
    </row>
    <row r="368" spans="1:100" ht="15.6" x14ac:dyDescent="0.25">
      <c r="A368" s="2" t="s">
        <v>765</v>
      </c>
      <c r="B368" s="45" t="s">
        <v>794</v>
      </c>
      <c r="C368" s="2" t="s">
        <v>773</v>
      </c>
      <c r="D368" s="5">
        <v>15.062818</v>
      </c>
      <c r="E368" s="5">
        <v>2.1073948252057129</v>
      </c>
      <c r="F368" s="15">
        <v>148.93064332318161</v>
      </c>
      <c r="G368" s="233" t="s">
        <v>1845</v>
      </c>
      <c r="H368" s="5">
        <v>6.1597892359849258</v>
      </c>
      <c r="I368" s="5">
        <v>12.04254688930053</v>
      </c>
      <c r="Z368" s="5">
        <v>102.254</v>
      </c>
      <c r="AA368" s="5">
        <v>12.089278561229879</v>
      </c>
      <c r="AB368" s="234" t="s">
        <v>1996</v>
      </c>
      <c r="AC368" s="6">
        <v>4506.354263461576</v>
      </c>
      <c r="AF368" s="5">
        <v>668.08699999999999</v>
      </c>
      <c r="AG368" s="5">
        <v>57.618155225292512</v>
      </c>
      <c r="AH368" s="5">
        <v>6.8951964339973681</v>
      </c>
      <c r="AI368" s="15">
        <v>519.6908112266816</v>
      </c>
      <c r="AK368" s="234" t="s">
        <v>2070</v>
      </c>
      <c r="AL368" s="6">
        <v>2379.83</v>
      </c>
      <c r="AM368" s="5">
        <v>50.37159160948471</v>
      </c>
      <c r="AN368" s="234" t="s">
        <v>2069</v>
      </c>
      <c r="BK368" s="5">
        <v>968.75</v>
      </c>
      <c r="BM368" s="5">
        <v>15.864151837989771</v>
      </c>
      <c r="BN368" s="5">
        <v>32.60821511896583</v>
      </c>
      <c r="BO368" s="15">
        <v>298.90806934564455</v>
      </c>
      <c r="BP368" s="234" t="s">
        <v>2143</v>
      </c>
      <c r="BS368" s="5">
        <v>4.0731952900000001</v>
      </c>
      <c r="BT368" s="6">
        <v>1010.927806856</v>
      </c>
      <c r="BU368" s="5">
        <v>12.3617709</v>
      </c>
      <c r="BV368" s="5">
        <v>572.6420554</v>
      </c>
      <c r="BW368" s="6">
        <v>1466.2097263000001</v>
      </c>
      <c r="CQ368" s="18" t="s">
        <v>35</v>
      </c>
      <c r="CR368" s="233" t="s">
        <v>1368</v>
      </c>
      <c r="CU368" s="230" t="s">
        <v>1730</v>
      </c>
      <c r="CV368" s="230" t="s">
        <v>1736</v>
      </c>
    </row>
    <row r="369" spans="1:100" x14ac:dyDescent="0.25">
      <c r="A369" s="2" t="s">
        <v>774</v>
      </c>
      <c r="B369" s="45" t="s">
        <v>794</v>
      </c>
      <c r="C369" s="2" t="s">
        <v>772</v>
      </c>
      <c r="D369" s="3">
        <v>0.54210599999999998</v>
      </c>
      <c r="E369" s="5">
        <v>1.8497740663265116</v>
      </c>
      <c r="F369" s="15">
        <v>93.301974152656499</v>
      </c>
      <c r="G369" s="4">
        <v>0.31161592013370076</v>
      </c>
      <c r="H369" s="5">
        <v>4.1958591124245066</v>
      </c>
      <c r="I369" s="5">
        <v>7.5082976392070924</v>
      </c>
      <c r="Z369" s="4">
        <v>3.6829999999999998</v>
      </c>
      <c r="AA369" s="5">
        <v>16.711648112951398</v>
      </c>
      <c r="AB369" s="5">
        <v>12.492859082269888</v>
      </c>
      <c r="AC369" s="6">
        <v>4087.8737442302472</v>
      </c>
      <c r="AD369" s="5">
        <v>9.4618517512897089</v>
      </c>
      <c r="AF369" s="5">
        <v>25.248999999999999</v>
      </c>
      <c r="AG369" s="5">
        <v>55.476850568339337</v>
      </c>
      <c r="AI369" s="15">
        <v>638.11042021466199</v>
      </c>
      <c r="AK369" s="5">
        <v>2.2603112994574039</v>
      </c>
      <c r="AL369" s="5">
        <v>58.790999999999997</v>
      </c>
      <c r="AM369" s="5">
        <v>50.906057049548401</v>
      </c>
      <c r="AO369" s="15">
        <v>117.194485550509</v>
      </c>
      <c r="AQ369" s="5">
        <v>1.4019254647820245</v>
      </c>
      <c r="BS369" s="3">
        <v>0.18550240000000001</v>
      </c>
      <c r="BT369" s="5">
        <v>38.057270000000003</v>
      </c>
      <c r="BU369" s="4">
        <v>0.61548999999999998</v>
      </c>
      <c r="BV369" s="5">
        <v>14.355829999999999</v>
      </c>
      <c r="BW369" s="5">
        <v>29.928180000000001</v>
      </c>
      <c r="CQ369" s="18" t="s">
        <v>35</v>
      </c>
      <c r="CU369" s="230" t="s">
        <v>1730</v>
      </c>
      <c r="CV369" s="230" t="s">
        <v>1736</v>
      </c>
    </row>
    <row r="370" spans="1:100" ht="15.6" x14ac:dyDescent="0.25">
      <c r="A370" s="2" t="s">
        <v>767</v>
      </c>
      <c r="B370" s="44" t="s">
        <v>792</v>
      </c>
      <c r="C370" s="2" t="s">
        <v>776</v>
      </c>
      <c r="D370" s="4">
        <v>5.6769579999999999</v>
      </c>
      <c r="F370" s="233" t="s">
        <v>1846</v>
      </c>
      <c r="H370" s="5">
        <v>7.1528761264405025</v>
      </c>
      <c r="AF370" s="2">
        <v>463.9</v>
      </c>
      <c r="AG370" s="5">
        <v>65.186462599698217</v>
      </c>
      <c r="BV370" s="5">
        <v>302.91500000000002</v>
      </c>
      <c r="CQ370" s="18" t="s">
        <v>35</v>
      </c>
      <c r="CU370" s="230" t="s">
        <v>1730</v>
      </c>
      <c r="CV370" s="230" t="s">
        <v>1371</v>
      </c>
    </row>
    <row r="371" spans="1:100" ht="15.6" x14ac:dyDescent="0.25">
      <c r="A371" s="2" t="s">
        <v>775</v>
      </c>
      <c r="B371" s="44" t="s">
        <v>792</v>
      </c>
      <c r="C371" s="2" t="s">
        <v>777</v>
      </c>
      <c r="D371" s="5">
        <v>20.1114936118598</v>
      </c>
      <c r="H371" s="4">
        <v>2.8644841787074133</v>
      </c>
      <c r="I371" s="4">
        <v>7.9922466583024159</v>
      </c>
      <c r="AF371" s="234" t="s">
        <v>2064</v>
      </c>
      <c r="AG371" s="5">
        <v>76.639286920452065</v>
      </c>
      <c r="AL371" s="234" t="s">
        <v>2068</v>
      </c>
      <c r="AM371" s="5">
        <v>60.053478424557291</v>
      </c>
      <c r="BV371" s="5">
        <v>541.92017429999999</v>
      </c>
      <c r="BW371" s="6">
        <v>1540.4750286999999</v>
      </c>
      <c r="CQ371" s="18" t="s">
        <v>35</v>
      </c>
      <c r="CU371" s="230" t="s">
        <v>1730</v>
      </c>
      <c r="CV371" s="230" t="s">
        <v>1755</v>
      </c>
    </row>
    <row r="372" spans="1:100" ht="15.6" x14ac:dyDescent="0.25">
      <c r="A372" s="2" t="s">
        <v>778</v>
      </c>
      <c r="B372" s="216" t="s">
        <v>797</v>
      </c>
      <c r="C372" s="2" t="s">
        <v>779</v>
      </c>
      <c r="D372" s="3" t="s">
        <v>1847</v>
      </c>
      <c r="F372" s="3" t="s">
        <v>1848</v>
      </c>
      <c r="G372" s="3" t="s">
        <v>1849</v>
      </c>
      <c r="H372" s="3" t="s">
        <v>1850</v>
      </c>
      <c r="I372" s="3" t="s">
        <v>1851</v>
      </c>
      <c r="AF372" s="234" t="s">
        <v>2065</v>
      </c>
      <c r="AG372" s="233" t="s">
        <v>2066</v>
      </c>
      <c r="AL372" s="234" t="s">
        <v>2067</v>
      </c>
      <c r="AM372" s="233" t="s">
        <v>2066</v>
      </c>
      <c r="BT372" s="4">
        <v>2.2530000000000001</v>
      </c>
      <c r="BV372" s="4">
        <v>1.351</v>
      </c>
      <c r="BW372" s="4">
        <v>0.55000000000000004</v>
      </c>
      <c r="CQ372" s="18" t="s">
        <v>35</v>
      </c>
      <c r="CR372" s="233" t="s">
        <v>1372</v>
      </c>
      <c r="CU372" s="230" t="s">
        <v>1738</v>
      </c>
      <c r="CV372" s="230" t="s">
        <v>1756</v>
      </c>
    </row>
    <row r="373" spans="1:100" ht="15.6" x14ac:dyDescent="0.25">
      <c r="A373" s="2" t="s">
        <v>780</v>
      </c>
      <c r="B373" s="216" t="s">
        <v>797</v>
      </c>
      <c r="C373" s="2" t="s">
        <v>781</v>
      </c>
      <c r="D373" s="3" t="s">
        <v>1852</v>
      </c>
      <c r="G373" s="3" t="s">
        <v>1853</v>
      </c>
      <c r="R373" s="233" t="s">
        <v>1852</v>
      </c>
      <c r="S373" s="233" t="s">
        <v>1853</v>
      </c>
      <c r="BU373" s="233">
        <v>1.2</v>
      </c>
      <c r="CQ373" s="18" t="s">
        <v>35</v>
      </c>
      <c r="CR373" s="233" t="s">
        <v>1369</v>
      </c>
      <c r="CU373" s="230" t="s">
        <v>1738</v>
      </c>
      <c r="CV373" s="230" t="s">
        <v>1369</v>
      </c>
    </row>
    <row r="374" spans="1:100" x14ac:dyDescent="0.25">
      <c r="A374" s="2" t="s">
        <v>782</v>
      </c>
      <c r="B374" s="213" t="s">
        <v>798</v>
      </c>
      <c r="C374" s="2" t="s">
        <v>783</v>
      </c>
      <c r="D374" s="3">
        <v>9.9295711999999994E-2</v>
      </c>
      <c r="E374" s="4">
        <v>2.1871918391573715E-2</v>
      </c>
      <c r="F374" s="15">
        <v>304.57485717006591</v>
      </c>
      <c r="G374" s="4">
        <v>4.9287848401751724</v>
      </c>
      <c r="BS374" s="3">
        <v>2.1717877094972068E-3</v>
      </c>
      <c r="BT374" s="4">
        <v>30.242977300000003</v>
      </c>
      <c r="BU374" s="4">
        <v>4.8940720000000004</v>
      </c>
      <c r="CQ374" s="18" t="s">
        <v>35</v>
      </c>
      <c r="CU374" s="230" t="s">
        <v>1738</v>
      </c>
      <c r="CV374" s="230" t="s">
        <v>1369</v>
      </c>
    </row>
    <row r="375" spans="1:100" x14ac:dyDescent="0.25">
      <c r="A375" s="2" t="s">
        <v>784</v>
      </c>
      <c r="B375" s="213" t="s">
        <v>798</v>
      </c>
      <c r="C375" s="2" t="s">
        <v>785</v>
      </c>
      <c r="D375" s="3">
        <v>0.24452884800000002</v>
      </c>
      <c r="E375" s="4">
        <v>4.1499721430479468</v>
      </c>
      <c r="F375" s="5">
        <v>16.565990589296074</v>
      </c>
      <c r="G375" s="4">
        <v>2.6177443230508608</v>
      </c>
      <c r="Z375" s="5">
        <v>18.835623999999999</v>
      </c>
      <c r="AA375" s="5">
        <v>11.172123631263821</v>
      </c>
      <c r="AB375" s="5">
        <v>12.885408574730523</v>
      </c>
      <c r="BS375" s="4">
        <v>1.5297714934</v>
      </c>
      <c r="BT375" s="4">
        <v>5.5192322836000001</v>
      </c>
      <c r="BU375" s="4">
        <v>9.8788301279999988</v>
      </c>
      <c r="CQ375" s="18" t="s">
        <v>35</v>
      </c>
      <c r="CU375" s="230" t="s">
        <v>1738</v>
      </c>
      <c r="CV375" s="230" t="s">
        <v>1732</v>
      </c>
    </row>
    <row r="376" spans="1:100" x14ac:dyDescent="0.25">
      <c r="A376" s="2" t="s">
        <v>786</v>
      </c>
      <c r="B376" s="213" t="s">
        <v>798</v>
      </c>
      <c r="C376" s="2" t="s">
        <v>787</v>
      </c>
      <c r="D376" s="3">
        <v>7.9701135999999992E-2</v>
      </c>
      <c r="E376" s="4">
        <v>7.9407274696812358E-2</v>
      </c>
      <c r="F376" s="4">
        <v>0.53926709400980188</v>
      </c>
      <c r="G376" s="5">
        <v>10.018190857405095</v>
      </c>
      <c r="BS376" s="3">
        <v>6.3288500000000004E-3</v>
      </c>
      <c r="BT376" s="3">
        <v>4.2980200000000003E-2</v>
      </c>
      <c r="BU376" s="4">
        <v>7.9846119199999999</v>
      </c>
      <c r="CQ376" s="18" t="s">
        <v>35</v>
      </c>
      <c r="CU376" s="230" t="s">
        <v>1738</v>
      </c>
      <c r="CV376" s="230" t="s">
        <v>1757</v>
      </c>
    </row>
    <row r="377" spans="1:100" x14ac:dyDescent="0.25">
      <c r="A377" s="2" t="s">
        <v>788</v>
      </c>
      <c r="B377" s="213" t="s">
        <v>798</v>
      </c>
      <c r="C377" s="2" t="s">
        <v>789</v>
      </c>
      <c r="D377" s="3">
        <v>4.4895566799999995E-2</v>
      </c>
      <c r="F377" s="5">
        <v>1.9105182563370604</v>
      </c>
      <c r="G377" s="4">
        <v>8.845504095517958</v>
      </c>
      <c r="BT377" s="3">
        <v>8.5773800000000011E-2</v>
      </c>
      <c r="BU377" s="4">
        <v>3.9712391999999999</v>
      </c>
      <c r="CQ377" s="18" t="s">
        <v>35</v>
      </c>
      <c r="CU377" s="230" t="s">
        <v>1738</v>
      </c>
      <c r="CV377" s="230" t="s">
        <v>1750</v>
      </c>
    </row>
    <row r="378" spans="1:100" ht="15.6" x14ac:dyDescent="0.25">
      <c r="A378" s="2" t="s">
        <v>790</v>
      </c>
      <c r="B378" s="213" t="s">
        <v>798</v>
      </c>
      <c r="C378" s="2" t="s">
        <v>791</v>
      </c>
      <c r="D378" s="3">
        <v>2.0145526384000006E-2</v>
      </c>
      <c r="E378" s="5">
        <v>2.5952043395859477</v>
      </c>
      <c r="F378" s="5">
        <v>28.39320070108921</v>
      </c>
      <c r="G378" s="4">
        <v>5.8392520700490609</v>
      </c>
      <c r="BK378" s="4">
        <v>0.37246122338461501</v>
      </c>
      <c r="BL378" s="5">
        <v>60.374576543034252</v>
      </c>
      <c r="BS378" s="3">
        <v>5.2281757495000011E-2</v>
      </c>
      <c r="BT378" s="3">
        <v>0.57266991085000007</v>
      </c>
      <c r="BU378" s="4">
        <v>1.4012199528054663</v>
      </c>
      <c r="CQ378" s="18" t="s">
        <v>35</v>
      </c>
      <c r="CU378" s="230" t="s">
        <v>1738</v>
      </c>
      <c r="CV378" s="230" t="s">
        <v>1757</v>
      </c>
    </row>
    <row r="379" spans="1:100" ht="15.6" x14ac:dyDescent="0.25">
      <c r="A379" s="2" t="s">
        <v>544</v>
      </c>
      <c r="B379" s="213" t="s">
        <v>798</v>
      </c>
      <c r="C379" s="2" t="s">
        <v>799</v>
      </c>
      <c r="D379" s="3">
        <v>0.14618609646571401</v>
      </c>
      <c r="E379" s="5">
        <v>5.0925992244850962</v>
      </c>
      <c r="F379" s="15">
        <v>164.40957769685298</v>
      </c>
      <c r="G379" s="5">
        <v>12.511447731207211</v>
      </c>
      <c r="BK379" s="4">
        <v>0.17565813653333301</v>
      </c>
      <c r="BL379" s="5">
        <v>59.337840453647715</v>
      </c>
      <c r="BS379" s="3">
        <v>0.74446720149180001</v>
      </c>
      <c r="BT379" s="4">
        <v>24.034394385079501</v>
      </c>
      <c r="BU379" s="4">
        <v>18.3942287944</v>
      </c>
      <c r="CQ379" s="18" t="s">
        <v>35</v>
      </c>
      <c r="CU379" s="230" t="s">
        <v>1738</v>
      </c>
      <c r="CV379" s="230" t="s">
        <v>1732</v>
      </c>
    </row>
    <row r="380" spans="1:100" ht="15.6" x14ac:dyDescent="0.25">
      <c r="A380" s="2" t="s">
        <v>800</v>
      </c>
      <c r="B380" s="213" t="s">
        <v>798</v>
      </c>
      <c r="C380" s="2" t="s">
        <v>827</v>
      </c>
      <c r="D380" s="7">
        <v>8.8694242256000012E-3</v>
      </c>
      <c r="E380" s="4">
        <v>0.7342469961140905</v>
      </c>
      <c r="F380" s="5">
        <v>12.569668446810326</v>
      </c>
      <c r="G380" s="4">
        <v>8.6664955237972645</v>
      </c>
      <c r="BS380" s="7">
        <v>6.5123480949083445E-3</v>
      </c>
      <c r="BT380" s="3">
        <v>0.11148572182989945</v>
      </c>
      <c r="BU380" s="3">
        <v>0.76866825349821444</v>
      </c>
      <c r="CQ380" s="18" t="s">
        <v>35</v>
      </c>
      <c r="CU380" s="230" t="s">
        <v>1738</v>
      </c>
      <c r="CV380" s="230" t="s">
        <v>1732</v>
      </c>
    </row>
    <row r="381" spans="1:100" ht="15.6" x14ac:dyDescent="0.25">
      <c r="A381" s="2" t="s">
        <v>801</v>
      </c>
      <c r="B381" s="213" t="s">
        <v>798</v>
      </c>
      <c r="C381" s="2" t="s">
        <v>828</v>
      </c>
      <c r="D381" s="3">
        <v>1.3713525424799998E-2</v>
      </c>
      <c r="G381" s="4">
        <v>9.4233586942057013</v>
      </c>
      <c r="BU381" s="4">
        <v>1.2922746904</v>
      </c>
      <c r="CQ381" s="18" t="s">
        <v>35</v>
      </c>
      <c r="CU381" s="230" t="s">
        <v>1738</v>
      </c>
      <c r="CV381" s="230" t="s">
        <v>1369</v>
      </c>
    </row>
    <row r="382" spans="1:100" ht="15.6" x14ac:dyDescent="0.25">
      <c r="A382" s="2" t="s">
        <v>802</v>
      </c>
      <c r="B382" s="213" t="s">
        <v>798</v>
      </c>
      <c r="C382" s="2" t="s">
        <v>829</v>
      </c>
      <c r="D382" s="7">
        <v>5.5253670543999999E-3</v>
      </c>
      <c r="E382" s="3">
        <v>5.8507456032729492E-2</v>
      </c>
      <c r="F382" s="4">
        <v>0.26309921597740071</v>
      </c>
      <c r="G382" s="5">
        <v>13.263823813107432</v>
      </c>
      <c r="BS382" s="23">
        <v>3.2327517000000006E-4</v>
      </c>
      <c r="BT382" s="7">
        <v>1.4537197400000001E-3</v>
      </c>
      <c r="BU382" s="3">
        <v>0.73287495112309986</v>
      </c>
      <c r="CQ382" s="18" t="s">
        <v>35</v>
      </c>
      <c r="CU382" s="230" t="s">
        <v>1738</v>
      </c>
      <c r="CV382" s="230" t="s">
        <v>1732</v>
      </c>
    </row>
    <row r="383" spans="1:100" ht="15.6" x14ac:dyDescent="0.25">
      <c r="A383" s="2" t="s">
        <v>803</v>
      </c>
      <c r="B383" s="213" t="s">
        <v>798</v>
      </c>
      <c r="C383" s="2" t="s">
        <v>830</v>
      </c>
      <c r="D383" s="3">
        <v>0.18223911654720001</v>
      </c>
      <c r="E383" s="4">
        <v>0.99107216773797358</v>
      </c>
      <c r="F383" s="5">
        <v>23.651694991121566</v>
      </c>
      <c r="G383" s="4">
        <v>9.6725080331217459</v>
      </c>
      <c r="BS383" s="3">
        <v>0.18061211628308674</v>
      </c>
      <c r="BT383" s="4">
        <v>4.3102640000258301</v>
      </c>
      <c r="BU383" s="5">
        <v>17.627093187518021</v>
      </c>
      <c r="CQ383" s="18" t="s">
        <v>35</v>
      </c>
      <c r="CU383" s="230" t="s">
        <v>1738</v>
      </c>
      <c r="CV383" s="230" t="s">
        <v>1732</v>
      </c>
    </row>
    <row r="384" spans="1:100" ht="15.6" x14ac:dyDescent="0.25">
      <c r="A384" s="2" t="s">
        <v>804</v>
      </c>
      <c r="B384" s="213" t="s">
        <v>798</v>
      </c>
      <c r="C384" s="2" t="s">
        <v>831</v>
      </c>
      <c r="D384" s="3">
        <v>2.0923660159199997E-2</v>
      </c>
      <c r="E384" s="4">
        <v>0.42308429178475382</v>
      </c>
      <c r="F384" s="5">
        <v>1.4216550117748294</v>
      </c>
      <c r="G384" s="4">
        <v>6.2229018699361642</v>
      </c>
      <c r="BS384" s="7">
        <v>8.8524719400000004E-3</v>
      </c>
      <c r="BT384" s="3">
        <v>2.9746226330000004E-2</v>
      </c>
      <c r="BU384" s="4">
        <v>1.3020588393059449</v>
      </c>
      <c r="CQ384" s="18" t="s">
        <v>35</v>
      </c>
      <c r="CU384" s="230" t="s">
        <v>1738</v>
      </c>
      <c r="CV384" s="230" t="s">
        <v>1732</v>
      </c>
    </row>
    <row r="385" spans="1:100" ht="15.6" x14ac:dyDescent="0.25">
      <c r="A385" s="2" t="s">
        <v>805</v>
      </c>
      <c r="B385" s="213" t="s">
        <v>798</v>
      </c>
      <c r="C385" s="2" t="s">
        <v>832</v>
      </c>
      <c r="D385" s="3">
        <v>0.30717970178079995</v>
      </c>
      <c r="E385" s="4">
        <v>1.2078884658521802</v>
      </c>
      <c r="F385" s="5">
        <v>19.80800989141375</v>
      </c>
      <c r="G385" s="4">
        <v>9.3566007255041033</v>
      </c>
      <c r="BS385" s="3">
        <v>0.37103881872494071</v>
      </c>
      <c r="BT385" s="4">
        <v>6.0846185713156116</v>
      </c>
      <c r="BU385" s="5">
        <v>28.741578205423668</v>
      </c>
      <c r="CQ385" s="18" t="s">
        <v>35</v>
      </c>
      <c r="CU385" s="230" t="s">
        <v>1738</v>
      </c>
      <c r="CV385" s="230" t="s">
        <v>1732</v>
      </c>
    </row>
    <row r="386" spans="1:100" ht="15.6" x14ac:dyDescent="0.25">
      <c r="A386" s="2" t="s">
        <v>806</v>
      </c>
      <c r="B386" s="213" t="s">
        <v>798</v>
      </c>
      <c r="C386" s="2" t="s">
        <v>834</v>
      </c>
      <c r="D386" s="3">
        <v>3.39607426448E-2</v>
      </c>
      <c r="E386" s="3">
        <v>4.7406390297977122E-2</v>
      </c>
      <c r="F386" s="4">
        <v>0.58673706275360971</v>
      </c>
      <c r="G386" s="4">
        <v>7.5093492462061509</v>
      </c>
      <c r="BS386" s="7">
        <v>1.6099562206285446E-3</v>
      </c>
      <c r="BT386" s="3">
        <v>1.9926026388341206E-2</v>
      </c>
      <c r="BU386" s="4">
        <v>2.5502307718032999</v>
      </c>
      <c r="CQ386" s="18" t="s">
        <v>35</v>
      </c>
      <c r="CU386" s="230" t="s">
        <v>1738</v>
      </c>
      <c r="CV386" s="230" t="s">
        <v>1732</v>
      </c>
    </row>
    <row r="387" spans="1:100" ht="15.6" x14ac:dyDescent="0.25">
      <c r="A387" s="2" t="s">
        <v>807</v>
      </c>
      <c r="B387" s="213" t="s">
        <v>798</v>
      </c>
      <c r="C387" s="2" t="s">
        <v>835</v>
      </c>
      <c r="D387" s="3">
        <v>1.8117696860800003E-2</v>
      </c>
      <c r="E387" s="7">
        <v>3.4969632446539569E-3</v>
      </c>
      <c r="F387" s="3">
        <v>2.2331848971124384E-2</v>
      </c>
      <c r="G387" s="4">
        <v>8.8583206857404786</v>
      </c>
      <c r="BS387" s="23">
        <v>6.3356919999999991E-5</v>
      </c>
      <c r="BT387" s="23">
        <v>4.0460167000000002E-4</v>
      </c>
      <c r="BU387" s="4">
        <v>1.6049236887999998</v>
      </c>
      <c r="CQ387" s="18" t="s">
        <v>35</v>
      </c>
      <c r="CU387" s="230" t="s">
        <v>1738</v>
      </c>
      <c r="CV387" s="230" t="s">
        <v>1732</v>
      </c>
    </row>
    <row r="388" spans="1:100" ht="15.6" x14ac:dyDescent="0.25">
      <c r="A388" s="2" t="s">
        <v>808</v>
      </c>
      <c r="B388" s="213" t="s">
        <v>798</v>
      </c>
      <c r="C388" s="2" t="s">
        <v>836</v>
      </c>
      <c r="D388" s="7">
        <v>6.8076214871999989E-3</v>
      </c>
      <c r="G388" s="4">
        <v>6.5192968327406282</v>
      </c>
      <c r="BU388" s="3">
        <v>0.44380905199999998</v>
      </c>
      <c r="CQ388" s="18" t="s">
        <v>35</v>
      </c>
      <c r="CU388" s="230" t="s">
        <v>1738</v>
      </c>
      <c r="CV388" s="230" t="s">
        <v>1369</v>
      </c>
    </row>
    <row r="389" spans="1:100" ht="15.6" x14ac:dyDescent="0.25">
      <c r="A389" s="2" t="s">
        <v>809</v>
      </c>
      <c r="B389" s="213" t="s">
        <v>798</v>
      </c>
      <c r="C389" s="2" t="s">
        <v>837</v>
      </c>
      <c r="D389" s="3">
        <v>1.0820458947999999E-2</v>
      </c>
      <c r="E389" s="3">
        <v>1.6037951886696628E-2</v>
      </c>
      <c r="F389" s="4">
        <v>0.26537349421123652</v>
      </c>
      <c r="G389" s="4">
        <v>9.3152575213670126</v>
      </c>
      <c r="BS389" s="23">
        <v>1.7353799999999999E-4</v>
      </c>
      <c r="BT389" s="7">
        <v>2.8714630000000003E-3</v>
      </c>
      <c r="BU389" s="4">
        <v>1.007953616</v>
      </c>
      <c r="CQ389" s="18" t="s">
        <v>35</v>
      </c>
      <c r="CU389" s="230" t="s">
        <v>1738</v>
      </c>
      <c r="CV389" s="230" t="s">
        <v>1732</v>
      </c>
    </row>
    <row r="390" spans="1:100" ht="15.6" x14ac:dyDescent="0.25">
      <c r="A390" s="2" t="s">
        <v>810</v>
      </c>
      <c r="B390" s="213" t="s">
        <v>798</v>
      </c>
      <c r="C390" s="2" t="s">
        <v>838</v>
      </c>
      <c r="D390" s="7">
        <v>6.5516116872000006E-3</v>
      </c>
      <c r="E390" s="3">
        <v>4.5170529973110225E-2</v>
      </c>
      <c r="F390" s="4">
        <v>0.29523038448670713</v>
      </c>
      <c r="G390" s="4">
        <v>7.6321493960851567</v>
      </c>
      <c r="BS390" s="23">
        <v>2.959397720888469E-4</v>
      </c>
      <c r="BT390" s="7">
        <v>1.93423483741966E-3</v>
      </c>
      <c r="BU390" s="3">
        <v>0.50002879181847937</v>
      </c>
      <c r="CQ390" s="18" t="s">
        <v>35</v>
      </c>
      <c r="CU390" s="230" t="s">
        <v>1738</v>
      </c>
      <c r="CV390" s="230" t="s">
        <v>1732</v>
      </c>
    </row>
    <row r="391" spans="1:100" ht="15.6" x14ac:dyDescent="0.25">
      <c r="A391" s="2" t="s">
        <v>811</v>
      </c>
      <c r="B391" s="213" t="s">
        <v>798</v>
      </c>
      <c r="C391" s="2" t="s">
        <v>839</v>
      </c>
      <c r="D391" s="3">
        <v>8.2464283331199983E-2</v>
      </c>
      <c r="E391" s="3">
        <v>5.1950908829088267E-2</v>
      </c>
      <c r="F391" s="4">
        <v>0.59414951583256248</v>
      </c>
      <c r="G391" s="4">
        <v>7.2441095601031229</v>
      </c>
      <c r="BS391" s="7">
        <v>4.2840944649952736E-3</v>
      </c>
      <c r="BT391" s="3">
        <v>4.8996114014711725E-2</v>
      </c>
      <c r="BU391" s="4">
        <v>5.9738030324659848</v>
      </c>
      <c r="CQ391" s="18" t="s">
        <v>35</v>
      </c>
      <c r="CU391" s="230" t="s">
        <v>1738</v>
      </c>
      <c r="CV391" s="230" t="s">
        <v>1732</v>
      </c>
    </row>
    <row r="392" spans="1:100" ht="15.6" x14ac:dyDescent="0.25">
      <c r="A392" s="2" t="s">
        <v>812</v>
      </c>
      <c r="B392" s="213" t="s">
        <v>798</v>
      </c>
      <c r="C392" s="2" t="s">
        <v>833</v>
      </c>
      <c r="D392" s="3">
        <v>0.2675603738952001</v>
      </c>
      <c r="E392" s="4">
        <v>4.3996637159366028</v>
      </c>
      <c r="F392" s="5">
        <v>5.2183035484388149</v>
      </c>
      <c r="G392" s="5">
        <v>10.187014622799174</v>
      </c>
      <c r="BS392" s="5">
        <v>1.1771756688491428</v>
      </c>
      <c r="BT392" s="5">
        <v>1.3962112485189386</v>
      </c>
      <c r="BU392" s="5">
        <v>27.256414413520176</v>
      </c>
      <c r="CQ392" s="18" t="s">
        <v>35</v>
      </c>
      <c r="CU392" s="230" t="s">
        <v>1738</v>
      </c>
      <c r="CV392" s="230" t="s">
        <v>1732</v>
      </c>
    </row>
    <row r="393" spans="1:100" ht="15.6" x14ac:dyDescent="0.25">
      <c r="A393" s="2" t="s">
        <v>813</v>
      </c>
      <c r="B393" s="213" t="s">
        <v>798</v>
      </c>
      <c r="C393" s="2" t="s">
        <v>840</v>
      </c>
      <c r="D393" s="3">
        <v>1.1886593416799998E-2</v>
      </c>
      <c r="E393" s="7">
        <v>8.9621926370792825E-3</v>
      </c>
      <c r="F393" s="3">
        <v>2.5239820146954056E-2</v>
      </c>
      <c r="G393" s="4">
        <v>5.5956602946723413</v>
      </c>
      <c r="BS393" s="23">
        <v>1.0652994000000001E-4</v>
      </c>
      <c r="BT393" s="23">
        <v>3.0001548000000003E-4</v>
      </c>
      <c r="BU393" s="3">
        <v>0.66513338821301382</v>
      </c>
      <c r="CQ393" s="18" t="s">
        <v>35</v>
      </c>
      <c r="CU393" s="230" t="s">
        <v>1738</v>
      </c>
      <c r="CV393" s="230" t="s">
        <v>1732</v>
      </c>
    </row>
    <row r="394" spans="1:100" ht="15.6" x14ac:dyDescent="0.25">
      <c r="A394" s="2" t="s">
        <v>814</v>
      </c>
      <c r="B394" s="213" t="s">
        <v>798</v>
      </c>
      <c r="C394" s="2" t="s">
        <v>841</v>
      </c>
      <c r="D394" s="7">
        <v>8.7653977672000009E-3</v>
      </c>
      <c r="F394" s="5">
        <v>31.853550148607795</v>
      </c>
      <c r="G394" s="4">
        <v>6.2820085822060339</v>
      </c>
      <c r="BT394" s="3">
        <v>0.27920903735000002</v>
      </c>
      <c r="BU394" s="3">
        <v>0.55064304000000008</v>
      </c>
      <c r="CQ394" s="18" t="s">
        <v>35</v>
      </c>
      <c r="CU394" s="230" t="s">
        <v>1738</v>
      </c>
      <c r="CV394" s="230" t="s">
        <v>1733</v>
      </c>
    </row>
    <row r="395" spans="1:100" ht="15.6" x14ac:dyDescent="0.25">
      <c r="A395" s="2" t="s">
        <v>815</v>
      </c>
      <c r="B395" s="213" t="s">
        <v>798</v>
      </c>
      <c r="C395" s="2" t="s">
        <v>842</v>
      </c>
      <c r="D395" s="3">
        <v>9.4538360681600014E-2</v>
      </c>
      <c r="E395" s="7">
        <v>3.0397713959019008E-3</v>
      </c>
      <c r="F395" s="5">
        <v>10.276494225760901</v>
      </c>
      <c r="G395" s="5">
        <v>13.88144341518319</v>
      </c>
      <c r="BS395" s="23">
        <v>2.8737500461538466E-4</v>
      </c>
      <c r="BT395" s="3">
        <v>0.97152291765736387</v>
      </c>
      <c r="BU395" s="5">
        <v>13.123289043658099</v>
      </c>
      <c r="CQ395" s="18" t="s">
        <v>35</v>
      </c>
      <c r="CU395" s="230" t="s">
        <v>1738</v>
      </c>
      <c r="CV395" s="230" t="s">
        <v>1732</v>
      </c>
    </row>
    <row r="396" spans="1:100" ht="15.6" x14ac:dyDescent="0.25">
      <c r="A396" s="2" t="s">
        <v>816</v>
      </c>
      <c r="B396" s="213" t="s">
        <v>798</v>
      </c>
      <c r="C396" s="2" t="s">
        <v>843</v>
      </c>
      <c r="D396" s="3">
        <v>1.3768533194400001E-2</v>
      </c>
      <c r="E396" s="4">
        <v>0.30970384352447516</v>
      </c>
      <c r="F396" s="5">
        <v>3.9539622704430255</v>
      </c>
      <c r="G396" s="5">
        <v>15.089426027941167</v>
      </c>
      <c r="BS396" s="7">
        <v>4.2641676500000001E-3</v>
      </c>
      <c r="BT396" s="3">
        <v>5.4440260769999992E-2</v>
      </c>
      <c r="BU396" s="4">
        <v>2.077592631501513</v>
      </c>
      <c r="CQ396" s="18" t="s">
        <v>35</v>
      </c>
      <c r="CU396" s="230" t="s">
        <v>1738</v>
      </c>
      <c r="CV396" s="230" t="s">
        <v>1732</v>
      </c>
    </row>
    <row r="397" spans="1:100" ht="15.6" x14ac:dyDescent="0.25">
      <c r="A397" s="2" t="s">
        <v>817</v>
      </c>
      <c r="B397" s="213" t="s">
        <v>798</v>
      </c>
      <c r="C397" s="2" t="s">
        <v>844</v>
      </c>
      <c r="D397" s="3">
        <v>2.6052698016800005E-2</v>
      </c>
      <c r="E397" s="4">
        <v>0.15608560262655949</v>
      </c>
      <c r="F397" s="5">
        <v>1.9301576323332554</v>
      </c>
      <c r="G397" s="5">
        <v>10.731460254686242</v>
      </c>
      <c r="BS397" s="7">
        <v>4.0664510700000002E-3</v>
      </c>
      <c r="BT397" s="3">
        <v>5.0285813919999998E-2</v>
      </c>
      <c r="BU397" s="4">
        <v>2.795834932946323</v>
      </c>
      <c r="CQ397" s="18" t="s">
        <v>35</v>
      </c>
      <c r="CU397" s="230" t="s">
        <v>1738</v>
      </c>
      <c r="CV397" s="230" t="s">
        <v>1732</v>
      </c>
    </row>
    <row r="398" spans="1:100" ht="15.6" x14ac:dyDescent="0.25">
      <c r="A398" s="2" t="s">
        <v>818</v>
      </c>
      <c r="B398" s="213" t="s">
        <v>798</v>
      </c>
      <c r="C398" s="2" t="s">
        <v>845</v>
      </c>
      <c r="D398" s="7">
        <v>8.1524537967999997E-3</v>
      </c>
      <c r="E398" s="3">
        <v>5.1529205864974476E-2</v>
      </c>
      <c r="F398" s="5">
        <v>2.1687532908116585</v>
      </c>
      <c r="G398" s="5">
        <v>9.9968144697722554</v>
      </c>
      <c r="BS398" s="23">
        <v>4.2008946999999997E-4</v>
      </c>
      <c r="BT398" s="3">
        <v>1.7680661E-2</v>
      </c>
      <c r="BU398" s="3">
        <v>0.8149856808</v>
      </c>
      <c r="CQ398" s="18" t="s">
        <v>35</v>
      </c>
      <c r="CU398" s="230" t="s">
        <v>1738</v>
      </c>
      <c r="CV398" s="230" t="s">
        <v>1732</v>
      </c>
    </row>
    <row r="399" spans="1:100" ht="15.6" x14ac:dyDescent="0.25">
      <c r="A399" s="2" t="s">
        <v>819</v>
      </c>
      <c r="B399" s="213" t="s">
        <v>798</v>
      </c>
      <c r="C399" s="2" t="s">
        <v>846</v>
      </c>
      <c r="D399" s="3">
        <v>2.2741030728800002E-2</v>
      </c>
      <c r="E399" s="4">
        <v>0.98495128805182552</v>
      </c>
      <c r="F399" s="3">
        <v>9.5209367252398498E-3</v>
      </c>
      <c r="G399" s="4">
        <v>5.7730875075969923</v>
      </c>
      <c r="BS399" s="3">
        <v>2.2398807507957707E-2</v>
      </c>
      <c r="BT399" s="23">
        <v>2.165159146356399E-4</v>
      </c>
      <c r="BU399" s="4">
        <v>1.3128596041031462</v>
      </c>
      <c r="CQ399" s="18" t="s">
        <v>35</v>
      </c>
      <c r="CU399" s="230" t="s">
        <v>1738</v>
      </c>
      <c r="CV399" s="230" t="s">
        <v>1732</v>
      </c>
    </row>
    <row r="400" spans="1:100" ht="15.6" x14ac:dyDescent="0.25">
      <c r="A400" s="2" t="s">
        <v>820</v>
      </c>
      <c r="B400" s="213" t="s">
        <v>798</v>
      </c>
      <c r="C400" s="2" t="s">
        <v>847</v>
      </c>
      <c r="D400" s="7">
        <v>5.7760756208000003E-3</v>
      </c>
      <c r="E400" s="4">
        <v>1.0152263509996473</v>
      </c>
      <c r="F400" s="5">
        <v>28.493497589482377</v>
      </c>
      <c r="G400" s="5">
        <v>10.216389702494265</v>
      </c>
      <c r="BS400" s="7">
        <v>5.8640241756028064E-3</v>
      </c>
      <c r="BT400" s="3">
        <v>0.16458059677793274</v>
      </c>
      <c r="BU400" s="3">
        <v>0.59010639493169292</v>
      </c>
      <c r="CQ400" s="18" t="s">
        <v>35</v>
      </c>
      <c r="CU400" s="230" t="s">
        <v>1738</v>
      </c>
      <c r="CV400" s="230" t="s">
        <v>1732</v>
      </c>
    </row>
    <row r="401" spans="1:100" ht="15.6" x14ac:dyDescent="0.25">
      <c r="A401" s="2" t="s">
        <v>821</v>
      </c>
      <c r="B401" s="213" t="s">
        <v>798</v>
      </c>
      <c r="C401" s="2" t="s">
        <v>848</v>
      </c>
      <c r="D401" s="7">
        <v>6.0036275247999996E-3</v>
      </c>
      <c r="E401" s="4">
        <v>0.74303579320547675</v>
      </c>
      <c r="F401" s="4">
        <v>0.94573228378107077</v>
      </c>
      <c r="G401" s="5">
        <v>10.877934773596351</v>
      </c>
      <c r="BS401" s="7">
        <v>4.4609101400000005E-3</v>
      </c>
      <c r="BT401" s="7">
        <v>5.6778243700000008E-3</v>
      </c>
      <c r="BU401" s="3">
        <v>0.65307068619742104</v>
      </c>
      <c r="CQ401" s="18" t="s">
        <v>35</v>
      </c>
      <c r="CU401" s="230" t="s">
        <v>1738</v>
      </c>
      <c r="CV401" s="230" t="s">
        <v>1732</v>
      </c>
    </row>
    <row r="402" spans="1:100" ht="15.6" x14ac:dyDescent="0.25">
      <c r="A402" s="2" t="s">
        <v>822</v>
      </c>
      <c r="B402" s="213" t="s">
        <v>798</v>
      </c>
      <c r="C402" s="2" t="s">
        <v>849</v>
      </c>
      <c r="D402" s="3">
        <v>0.13458534799919999</v>
      </c>
      <c r="E402" s="4">
        <v>1.9155516261739054</v>
      </c>
      <c r="F402" s="5">
        <v>6.1302187202531648</v>
      </c>
      <c r="G402" s="5">
        <v>10.785569553878837</v>
      </c>
      <c r="BS402" s="3">
        <v>0.25780518221904852</v>
      </c>
      <c r="BT402" s="3">
        <v>0.8250376197764826</v>
      </c>
      <c r="BU402" s="5">
        <v>14.515796317783595</v>
      </c>
      <c r="CQ402" s="18" t="s">
        <v>35</v>
      </c>
      <c r="CU402" s="230" t="s">
        <v>1738</v>
      </c>
      <c r="CV402" s="230" t="s">
        <v>1732</v>
      </c>
    </row>
    <row r="403" spans="1:100" ht="15.6" x14ac:dyDescent="0.25">
      <c r="A403" s="2" t="s">
        <v>823</v>
      </c>
      <c r="B403" s="213" t="s">
        <v>798</v>
      </c>
      <c r="C403" s="2" t="s">
        <v>850</v>
      </c>
      <c r="D403" s="7">
        <v>7.2837506687999992E-3</v>
      </c>
      <c r="E403" s="3">
        <v>4.4035503765101097E-2</v>
      </c>
      <c r="F403" s="4">
        <v>0.64024672617854694</v>
      </c>
      <c r="G403" s="4">
        <v>5.1413320812986152</v>
      </c>
      <c r="BS403" s="23">
        <v>3.2074362999999999E-4</v>
      </c>
      <c r="BT403" s="7">
        <v>4.6633975200000011E-3</v>
      </c>
      <c r="BU403" s="3">
        <v>0.37448180985681684</v>
      </c>
      <c r="CQ403" s="18" t="s">
        <v>35</v>
      </c>
      <c r="CU403" s="230" t="s">
        <v>1738</v>
      </c>
      <c r="CV403" s="230" t="s">
        <v>1732</v>
      </c>
    </row>
    <row r="404" spans="1:100" ht="15.6" x14ac:dyDescent="0.25">
      <c r="A404" s="2" t="s">
        <v>824</v>
      </c>
      <c r="B404" s="213" t="s">
        <v>798</v>
      </c>
      <c r="C404" s="2" t="s">
        <v>851</v>
      </c>
      <c r="D404" s="3">
        <v>3.5004173607999997E-2</v>
      </c>
      <c r="E404" s="4">
        <v>0.91737559883958331</v>
      </c>
      <c r="F404" s="5">
        <v>22.27496790627124</v>
      </c>
      <c r="G404" s="4">
        <v>9.5673526137970697</v>
      </c>
      <c r="BS404" s="3">
        <v>3.2111974725523733E-2</v>
      </c>
      <c r="BT404" s="3">
        <v>0.77971684370374672</v>
      </c>
      <c r="BU404" s="4">
        <v>3.3489727186230516</v>
      </c>
      <c r="CQ404" s="18" t="s">
        <v>35</v>
      </c>
      <c r="CU404" s="230" t="s">
        <v>1738</v>
      </c>
      <c r="CV404" s="230" t="s">
        <v>1732</v>
      </c>
    </row>
    <row r="405" spans="1:100" x14ac:dyDescent="0.25">
      <c r="A405" s="2" t="s">
        <v>825</v>
      </c>
      <c r="B405" s="213" t="s">
        <v>798</v>
      </c>
      <c r="C405" s="2" t="s">
        <v>852</v>
      </c>
      <c r="D405" s="7">
        <v>8.4907914112000021E-3</v>
      </c>
      <c r="G405" s="5">
        <v>10.992058332382177</v>
      </c>
      <c r="BU405" s="3">
        <v>0.93331274480000004</v>
      </c>
      <c r="CQ405" s="18" t="s">
        <v>35</v>
      </c>
      <c r="CU405" s="230" t="s">
        <v>1738</v>
      </c>
      <c r="CV405" s="230" t="s">
        <v>1369</v>
      </c>
    </row>
    <row r="406" spans="1:100" ht="15.6" x14ac:dyDescent="0.25">
      <c r="A406" s="2" t="s">
        <v>826</v>
      </c>
      <c r="B406" s="213" t="s">
        <v>798</v>
      </c>
      <c r="C406" s="2" t="s">
        <v>853</v>
      </c>
      <c r="D406" s="3">
        <v>0.235065416301042</v>
      </c>
      <c r="E406" s="4">
        <v>0.32675368335841554</v>
      </c>
      <c r="F406" s="5">
        <v>3.8237675591685978</v>
      </c>
      <c r="G406" s="5">
        <v>11.903798354379191</v>
      </c>
      <c r="BS406" s="3">
        <v>7.6808490606544905E-2</v>
      </c>
      <c r="BT406" s="3">
        <v>0.89883551313438703</v>
      </c>
      <c r="BU406" s="5">
        <v>27.980486457358101</v>
      </c>
      <c r="CQ406" s="18" t="s">
        <v>35</v>
      </c>
      <c r="CU406" s="230" t="s">
        <v>1738</v>
      </c>
      <c r="CV406" s="230" t="s">
        <v>1732</v>
      </c>
    </row>
    <row r="407" spans="1:100" x14ac:dyDescent="0.25">
      <c r="A407" s="2" t="s">
        <v>854</v>
      </c>
      <c r="B407" s="213" t="s">
        <v>798</v>
      </c>
      <c r="C407" s="2" t="s">
        <v>856</v>
      </c>
      <c r="D407" s="4">
        <v>2.4310571680000002</v>
      </c>
      <c r="G407" s="4">
        <v>2.7613882723797802</v>
      </c>
      <c r="Z407" s="5">
        <v>181.72625199999999</v>
      </c>
      <c r="AA407" s="4">
        <v>28.206157254043845</v>
      </c>
      <c r="BU407" s="5">
        <v>51.257992411000004</v>
      </c>
      <c r="CQ407" s="18" t="s">
        <v>35</v>
      </c>
      <c r="CU407" s="230" t="s">
        <v>1730</v>
      </c>
      <c r="CV407" s="230" t="s">
        <v>1369</v>
      </c>
    </row>
    <row r="408" spans="1:100" ht="15.6" x14ac:dyDescent="0.25">
      <c r="A408" s="2" t="s">
        <v>857</v>
      </c>
      <c r="B408" s="213" t="s">
        <v>798</v>
      </c>
      <c r="C408" s="2" t="s">
        <v>855</v>
      </c>
      <c r="D408" s="4">
        <v>1.820119</v>
      </c>
      <c r="G408" s="4">
        <v>2.7952952526730392</v>
      </c>
      <c r="BK408" s="233" t="s">
        <v>2145</v>
      </c>
      <c r="BL408" s="234" t="s">
        <v>2144</v>
      </c>
      <c r="BU408" s="5">
        <v>50.877699999999997</v>
      </c>
      <c r="CQ408" s="18" t="s">
        <v>35</v>
      </c>
      <c r="CU408" s="230" t="s">
        <v>1730</v>
      </c>
      <c r="CV408" s="230" t="s">
        <v>1369</v>
      </c>
    </row>
    <row r="409" spans="1:100" x14ac:dyDescent="0.25">
      <c r="A409" s="2" t="s">
        <v>884</v>
      </c>
      <c r="B409" s="213" t="s">
        <v>798</v>
      </c>
      <c r="C409" s="2" t="s">
        <v>883</v>
      </c>
      <c r="BU409" s="5">
        <v>50.353000000000002</v>
      </c>
      <c r="CQ409" s="18" t="s">
        <v>35</v>
      </c>
      <c r="CU409" s="230" t="s">
        <v>1730</v>
      </c>
      <c r="CV409" s="230" t="s">
        <v>1369</v>
      </c>
    </row>
    <row r="410" spans="1:100" ht="15.6" x14ac:dyDescent="0.25">
      <c r="A410" s="2" t="s">
        <v>858</v>
      </c>
      <c r="B410" s="213" t="s">
        <v>798</v>
      </c>
      <c r="C410" s="2" t="s">
        <v>859</v>
      </c>
      <c r="D410" s="3">
        <v>7.3525999999999994E-2</v>
      </c>
      <c r="F410" s="233" t="s">
        <v>1854</v>
      </c>
      <c r="G410" s="5">
        <v>23.564778309713571</v>
      </c>
      <c r="R410" s="5">
        <v>73.525999999999996</v>
      </c>
      <c r="S410" s="5">
        <v>23.564778309713571</v>
      </c>
      <c r="BT410" s="4">
        <v>2.3157800000000002</v>
      </c>
      <c r="BU410" s="5">
        <v>17.3262389</v>
      </c>
      <c r="CQ410" s="18" t="s">
        <v>35</v>
      </c>
      <c r="CU410" s="230" t="s">
        <v>1738</v>
      </c>
      <c r="CV410" s="230" t="s">
        <v>1750</v>
      </c>
    </row>
    <row r="411" spans="1:100" ht="15.6" x14ac:dyDescent="0.25">
      <c r="A411" s="2" t="s">
        <v>860</v>
      </c>
      <c r="B411" s="213" t="s">
        <v>798</v>
      </c>
      <c r="C411" s="2" t="s">
        <v>861</v>
      </c>
      <c r="D411" s="3">
        <v>0.13785970619519999</v>
      </c>
      <c r="E411" s="4">
        <v>0.58984208391437321</v>
      </c>
      <c r="F411" s="5">
        <v>16.12647803450351</v>
      </c>
      <c r="G411" s="4">
        <v>5.5772939927154077</v>
      </c>
      <c r="BS411" s="3">
        <v>8.1315456389999999E-2</v>
      </c>
      <c r="BT411" s="4">
        <v>2.2231915238000002</v>
      </c>
      <c r="BU411" s="4">
        <v>7.6888411120000004</v>
      </c>
      <c r="BV411" s="3">
        <v>0.23263910800000001</v>
      </c>
      <c r="CQ411" s="18" t="s">
        <v>35</v>
      </c>
      <c r="CU411" s="230" t="s">
        <v>1738</v>
      </c>
      <c r="CV411" s="230" t="s">
        <v>1732</v>
      </c>
    </row>
    <row r="412" spans="1:100" ht="15.6" x14ac:dyDescent="0.25">
      <c r="A412" s="2" t="s">
        <v>862</v>
      </c>
      <c r="B412" s="213" t="s">
        <v>798</v>
      </c>
      <c r="C412" s="2" t="s">
        <v>861</v>
      </c>
      <c r="D412" s="3">
        <v>3.3338653363200008E-2</v>
      </c>
      <c r="E412" s="5">
        <v>30.109782585820934</v>
      </c>
      <c r="F412" s="15">
        <v>145.29908020991053</v>
      </c>
      <c r="G412" s="4">
        <v>4.1892923219918021</v>
      </c>
      <c r="H412" s="4">
        <v>4.2755954695321288</v>
      </c>
      <c r="BS412" s="4">
        <v>1.0038196044700001</v>
      </c>
      <c r="BT412" s="4">
        <v>4.8440756691100013</v>
      </c>
      <c r="BU412" s="4">
        <v>1.3966536455999998</v>
      </c>
      <c r="BV412" s="4">
        <v>1.4254259528</v>
      </c>
      <c r="CQ412" s="18" t="s">
        <v>35</v>
      </c>
      <c r="CU412" s="230" t="s">
        <v>1738</v>
      </c>
      <c r="CV412" s="230" t="s">
        <v>1758</v>
      </c>
    </row>
    <row r="413" spans="1:100" ht="15.6" x14ac:dyDescent="0.25">
      <c r="A413" s="2" t="s">
        <v>863</v>
      </c>
      <c r="B413" s="213" t="s">
        <v>798</v>
      </c>
      <c r="C413" s="2" t="s">
        <v>865</v>
      </c>
      <c r="D413" s="7">
        <v>5.438132888E-3</v>
      </c>
      <c r="E413" s="5">
        <v>17.293871618607643</v>
      </c>
      <c r="F413" s="5">
        <v>68.508710876136277</v>
      </c>
      <c r="G413" s="4">
        <v>0.55858643813266085</v>
      </c>
      <c r="H413" s="4">
        <v>7.2969717101918663</v>
      </c>
      <c r="BS413" s="3">
        <v>9.4046372010000004E-2</v>
      </c>
      <c r="BT413" s="3">
        <v>0.37255947372999998</v>
      </c>
      <c r="BU413" s="3">
        <v>3.0376672800000001E-2</v>
      </c>
      <c r="BV413" s="3">
        <v>0.3968190184</v>
      </c>
      <c r="CQ413" s="18" t="s">
        <v>35</v>
      </c>
      <c r="CU413" s="230" t="s">
        <v>1738</v>
      </c>
      <c r="CV413" s="230" t="s">
        <v>1758</v>
      </c>
    </row>
    <row r="414" spans="1:100" x14ac:dyDescent="0.25">
      <c r="A414" s="2" t="s">
        <v>864</v>
      </c>
      <c r="B414" s="213" t="s">
        <v>798</v>
      </c>
      <c r="C414" s="2" t="s">
        <v>866</v>
      </c>
      <c r="D414" s="7">
        <v>7.7967535199999997E-4</v>
      </c>
      <c r="E414" s="4">
        <v>0.37248981804416459</v>
      </c>
      <c r="F414" s="6">
        <v>1933.2302529938124</v>
      </c>
      <c r="H414" s="5">
        <v>34.9943770955581</v>
      </c>
      <c r="BS414" s="23">
        <v>2.9042112999999999E-4</v>
      </c>
      <c r="BT414" s="4">
        <v>1.507291978</v>
      </c>
      <c r="BV414" s="3">
        <v>0.27284253279999998</v>
      </c>
      <c r="CQ414" s="18" t="s">
        <v>35</v>
      </c>
      <c r="CU414" s="230" t="s">
        <v>1738</v>
      </c>
      <c r="CV414" s="230" t="s">
        <v>1759</v>
      </c>
    </row>
    <row r="415" spans="1:100" ht="15.6" x14ac:dyDescent="0.25">
      <c r="A415" s="2" t="s">
        <v>867</v>
      </c>
      <c r="B415" s="213" t="s">
        <v>798</v>
      </c>
      <c r="C415" s="2" t="s">
        <v>868</v>
      </c>
      <c r="D415" s="7">
        <v>6.3041320703999997E-3</v>
      </c>
      <c r="E415" s="5">
        <v>14.25894166839101</v>
      </c>
      <c r="F415" s="5">
        <v>96.600490819247625</v>
      </c>
      <c r="G415" s="4">
        <v>4.4324569485466094</v>
      </c>
      <c r="BS415" s="3">
        <v>8.9890251461666695E-2</v>
      </c>
      <c r="BT415" s="3">
        <v>0.60898225219000002</v>
      </c>
      <c r="BU415" s="3">
        <v>0.27942793999999999</v>
      </c>
      <c r="CQ415" s="18" t="s">
        <v>35</v>
      </c>
      <c r="CU415" s="230" t="s">
        <v>1738</v>
      </c>
      <c r="CV415" s="230" t="s">
        <v>1741</v>
      </c>
    </row>
    <row r="416" spans="1:100" x14ac:dyDescent="0.25">
      <c r="A416" s="2" t="s">
        <v>869</v>
      </c>
      <c r="B416" s="213" t="s">
        <v>798</v>
      </c>
      <c r="C416" s="2" t="s">
        <v>871</v>
      </c>
      <c r="D416" s="4">
        <v>5.4632316899999998</v>
      </c>
      <c r="E416" s="5">
        <v>0.39725287091214956</v>
      </c>
      <c r="F416" s="15">
        <v>44.332201881216797</v>
      </c>
      <c r="G416" s="5">
        <v>1.068174859515288</v>
      </c>
      <c r="H416" s="5">
        <v>2.1693539911049746</v>
      </c>
      <c r="I416" s="5">
        <v>8.4683346910041895</v>
      </c>
      <c r="Z416" s="5">
        <v>155.07123999999999</v>
      </c>
      <c r="AA416" s="5">
        <v>23.250770037936874</v>
      </c>
      <c r="AB416" s="5">
        <v>4.2047784324804258</v>
      </c>
      <c r="AC416" s="15">
        <v>394.56776172411008</v>
      </c>
      <c r="AF416" s="5">
        <v>113.8306</v>
      </c>
      <c r="AG416" s="5">
        <v>57.664698517233205</v>
      </c>
      <c r="AI416" s="15">
        <v>895.2007256092752</v>
      </c>
      <c r="AK416" s="5">
        <v>4.0212161842416592</v>
      </c>
      <c r="AL416" s="5">
        <v>773.28012000000001</v>
      </c>
      <c r="AM416" s="5">
        <v>50.165731870073763</v>
      </c>
      <c r="BS416" s="3">
        <v>0.94272429999999996</v>
      </c>
      <c r="BT416" s="5">
        <v>153.5142275</v>
      </c>
      <c r="BU416" s="5">
        <v>39.123194933917198</v>
      </c>
      <c r="BV416" s="5">
        <v>75.189376165842006</v>
      </c>
      <c r="BW416" s="5">
        <v>405.57411749480002</v>
      </c>
      <c r="CQ416" s="30">
        <v>31.012656</v>
      </c>
      <c r="CS416" s="233" t="s">
        <v>2177</v>
      </c>
      <c r="CU416" s="230" t="s">
        <v>1730</v>
      </c>
      <c r="CV416" s="230" t="s">
        <v>1760</v>
      </c>
    </row>
    <row r="417" spans="1:100" x14ac:dyDescent="0.25">
      <c r="A417" s="21" t="s">
        <v>872</v>
      </c>
      <c r="B417" s="213" t="s">
        <v>798</v>
      </c>
      <c r="C417" s="21" t="s">
        <v>875</v>
      </c>
      <c r="D417" s="4">
        <v>7.7061403333333303</v>
      </c>
      <c r="E417" s="4">
        <v>0.48438374855530025</v>
      </c>
      <c r="F417" s="5">
        <v>10.751964727557265</v>
      </c>
      <c r="G417" s="4">
        <v>4.2294364260431117</v>
      </c>
      <c r="Z417" s="5">
        <v>935.31482318484098</v>
      </c>
      <c r="AA417" s="4">
        <v>26.769082583984648</v>
      </c>
      <c r="AB417" s="5">
        <v>1.3551959270952554</v>
      </c>
      <c r="AC417" s="15">
        <v>44.146424488605732</v>
      </c>
      <c r="BS417" s="4">
        <v>1.2675348389319101</v>
      </c>
      <c r="BT417" s="5">
        <v>41.2908052148032</v>
      </c>
      <c r="BU417" s="5">
        <v>297.67841063859998</v>
      </c>
      <c r="CQ417" s="30">
        <v>22.554145999999999</v>
      </c>
      <c r="CS417" s="233" t="s">
        <v>2177</v>
      </c>
      <c r="CU417" s="230" t="s">
        <v>1730</v>
      </c>
      <c r="CV417" s="230" t="s">
        <v>1369</v>
      </c>
    </row>
    <row r="418" spans="1:100" ht="15.6" x14ac:dyDescent="0.25">
      <c r="A418" s="2" t="s">
        <v>873</v>
      </c>
      <c r="B418" s="213" t="s">
        <v>798</v>
      </c>
      <c r="C418" s="2" t="s">
        <v>874</v>
      </c>
      <c r="D418" s="4">
        <v>6.9399050000000004</v>
      </c>
      <c r="E418" s="233" t="s">
        <v>1856</v>
      </c>
      <c r="F418" s="233" t="s">
        <v>1855</v>
      </c>
      <c r="G418" s="5">
        <v>1.5738167943221126</v>
      </c>
      <c r="H418" s="5">
        <v>2.3982100821264845</v>
      </c>
      <c r="I418" s="5">
        <v>7.3281864112194395</v>
      </c>
      <c r="Z418" s="5">
        <v>292.94225</v>
      </c>
      <c r="AA418" s="5">
        <v>28.183718804644947</v>
      </c>
      <c r="AB418" s="234" t="s">
        <v>1998</v>
      </c>
      <c r="AC418" s="234" t="s">
        <v>1999</v>
      </c>
      <c r="AF418" s="5">
        <v>194.45387500000001</v>
      </c>
      <c r="AG418" s="5">
        <v>57.820992767565059</v>
      </c>
      <c r="AH418" s="234" t="s">
        <v>2072</v>
      </c>
      <c r="AI418" s="234" t="s">
        <v>2071</v>
      </c>
      <c r="AJ418" s="234" t="s">
        <v>2065</v>
      </c>
      <c r="AL418" s="5">
        <v>756.06375000000003</v>
      </c>
      <c r="AM418" s="5">
        <v>54.434700116226971</v>
      </c>
      <c r="BK418" s="5">
        <v>59.975499999999997</v>
      </c>
      <c r="BL418" s="5">
        <v>10.781944293920017</v>
      </c>
      <c r="BN418" s="5">
        <v>32.928812598477712</v>
      </c>
      <c r="BS418" s="3">
        <v>0.27578970000000003</v>
      </c>
      <c r="BT418" s="5">
        <v>141.63986</v>
      </c>
      <c r="BU418" s="5">
        <v>89.966234999999998</v>
      </c>
      <c r="BV418" s="5">
        <v>112.43516099999999</v>
      </c>
      <c r="BW418" s="5">
        <v>431.31025499999998</v>
      </c>
      <c r="CQ418" s="30">
        <v>31.012656</v>
      </c>
      <c r="CS418" s="233" t="s">
        <v>2177</v>
      </c>
      <c r="CU418" s="230" t="s">
        <v>1729</v>
      </c>
      <c r="CV418" s="230" t="s">
        <v>1760</v>
      </c>
    </row>
    <row r="419" spans="1:100" ht="15.6" x14ac:dyDescent="0.25">
      <c r="A419" s="2" t="s">
        <v>876</v>
      </c>
      <c r="B419" s="213" t="s">
        <v>798</v>
      </c>
      <c r="C419" s="2" t="s">
        <v>879</v>
      </c>
      <c r="D419" s="4">
        <v>2.731843</v>
      </c>
      <c r="G419" s="4">
        <v>1.5922089117127158</v>
      </c>
      <c r="BU419" s="5">
        <v>27.457699999999999</v>
      </c>
      <c r="CQ419" s="18" t="s">
        <v>35</v>
      </c>
      <c r="CU419" s="230" t="s">
        <v>1730</v>
      </c>
      <c r="CV419" s="230" t="s">
        <v>1369</v>
      </c>
    </row>
    <row r="420" spans="1:100" x14ac:dyDescent="0.25">
      <c r="A420" s="2" t="s">
        <v>878</v>
      </c>
      <c r="B420" s="213" t="s">
        <v>798</v>
      </c>
      <c r="C420" s="2" t="s">
        <v>877</v>
      </c>
      <c r="D420" s="4">
        <v>1.108957</v>
      </c>
      <c r="G420" s="4">
        <v>1.7423914182425471</v>
      </c>
      <c r="BU420" s="5">
        <v>10.095000000000001</v>
      </c>
      <c r="CQ420" s="4">
        <v>1.9303490000000001</v>
      </c>
      <c r="CU420" s="230" t="s">
        <v>1730</v>
      </c>
      <c r="CV420" s="230" t="s">
        <v>1369</v>
      </c>
    </row>
    <row r="421" spans="1:100" ht="15.6" x14ac:dyDescent="0.25">
      <c r="A421" s="2" t="s">
        <v>870</v>
      </c>
      <c r="B421" s="213" t="s">
        <v>798</v>
      </c>
      <c r="C421" s="2" t="s">
        <v>882</v>
      </c>
      <c r="D421" s="233" t="s">
        <v>1857</v>
      </c>
      <c r="G421" s="233" t="s">
        <v>1858</v>
      </c>
      <c r="R421" s="2">
        <v>50</v>
      </c>
      <c r="S421" s="5">
        <v>26.02</v>
      </c>
      <c r="Z421" s="234" t="s">
        <v>2002</v>
      </c>
      <c r="AA421" s="234" t="s">
        <v>2001</v>
      </c>
      <c r="AC421" s="234" t="s">
        <v>2000</v>
      </c>
      <c r="BT421" s="5">
        <v>30.415899400000001</v>
      </c>
      <c r="BU421" s="5">
        <v>490.00850000000003</v>
      </c>
      <c r="CQ421" s="30">
        <v>16.8</v>
      </c>
      <c r="CR421" s="233" t="s">
        <v>2181</v>
      </c>
      <c r="CS421" s="233" t="s">
        <v>2177</v>
      </c>
      <c r="CU421" s="230" t="s">
        <v>1729</v>
      </c>
      <c r="CV421" s="230" t="s">
        <v>1369</v>
      </c>
    </row>
    <row r="422" spans="1:100" x14ac:dyDescent="0.25">
      <c r="A422" s="2" t="s">
        <v>880</v>
      </c>
      <c r="B422" s="213" t="s">
        <v>798</v>
      </c>
      <c r="C422" s="2">
        <v>1997</v>
      </c>
      <c r="D422" s="3">
        <v>0.1104</v>
      </c>
      <c r="G422" s="4">
        <v>1.96</v>
      </c>
      <c r="BT422" s="233"/>
      <c r="BU422" s="4">
        <v>1.9474560000000001</v>
      </c>
      <c r="CQ422" s="18" t="s">
        <v>35</v>
      </c>
      <c r="CR422" s="233" t="s">
        <v>1369</v>
      </c>
      <c r="CU422" s="230" t="s">
        <v>1730</v>
      </c>
      <c r="CV422" s="230" t="s">
        <v>1369</v>
      </c>
    </row>
    <row r="423" spans="1:100" x14ac:dyDescent="0.25">
      <c r="A423" s="2" t="s">
        <v>881</v>
      </c>
      <c r="B423" s="213" t="s">
        <v>798</v>
      </c>
      <c r="C423" s="2">
        <v>2004</v>
      </c>
      <c r="D423" s="2">
        <v>2.8000000000000001E-2</v>
      </c>
      <c r="G423" s="2">
        <v>6</v>
      </c>
      <c r="BU423" s="2">
        <v>0.13</v>
      </c>
      <c r="CQ423" s="18" t="s">
        <v>35</v>
      </c>
      <c r="CU423" s="230" t="s">
        <v>1730</v>
      </c>
      <c r="CV423" s="230" t="s">
        <v>1369</v>
      </c>
    </row>
    <row r="424" spans="1:100" x14ac:dyDescent="0.25">
      <c r="A424" s="2" t="s">
        <v>886</v>
      </c>
      <c r="B424" s="213" t="s">
        <v>798</v>
      </c>
      <c r="C424" s="2" t="s">
        <v>887</v>
      </c>
      <c r="D424" s="3">
        <v>0.69043560322560005</v>
      </c>
      <c r="E424" s="4">
        <v>0.23022889331224183</v>
      </c>
      <c r="F424" s="15">
        <v>309.0930802507857</v>
      </c>
      <c r="G424" s="5">
        <v>2.1816499414614046</v>
      </c>
      <c r="H424" s="5">
        <v>8.3855232593114497</v>
      </c>
      <c r="BS424" s="3">
        <v>0.15895822483399999</v>
      </c>
      <c r="BT424" s="5">
        <v>213.40886731581003</v>
      </c>
      <c r="BU424" s="5">
        <v>15.062887933599997</v>
      </c>
      <c r="BV424" s="5">
        <v>57.896638099049994</v>
      </c>
      <c r="CQ424" s="18" t="s">
        <v>35</v>
      </c>
      <c r="CU424" s="230" t="s">
        <v>1738</v>
      </c>
      <c r="CV424" s="230" t="s">
        <v>1761</v>
      </c>
    </row>
    <row r="425" spans="1:100" x14ac:dyDescent="0.25">
      <c r="A425" s="2" t="s">
        <v>885</v>
      </c>
      <c r="B425" s="213" t="s">
        <v>798</v>
      </c>
      <c r="C425" s="2" t="s">
        <v>888</v>
      </c>
      <c r="D425" s="3">
        <v>0.6754638746728</v>
      </c>
      <c r="E425" s="5">
        <v>6.5097031005317518</v>
      </c>
      <c r="F425" s="15">
        <v>110.90061931111441</v>
      </c>
      <c r="G425" s="5">
        <v>8.0813852965714972</v>
      </c>
      <c r="BS425" s="4">
        <v>4.3970692792547181</v>
      </c>
      <c r="BT425" s="5">
        <v>74.909362023498502</v>
      </c>
      <c r="BU425" s="5">
        <v>54.586838251459795</v>
      </c>
      <c r="CQ425" s="18" t="s">
        <v>35</v>
      </c>
      <c r="CU425" s="230" t="s">
        <v>1738</v>
      </c>
      <c r="CV425" s="230" t="s">
        <v>1732</v>
      </c>
    </row>
    <row r="426" spans="1:100" x14ac:dyDescent="0.25">
      <c r="A426" s="2" t="s">
        <v>889</v>
      </c>
      <c r="B426" s="213" t="s">
        <v>798</v>
      </c>
      <c r="C426" s="2" t="s">
        <v>890</v>
      </c>
      <c r="D426" s="23">
        <v>7.3035159999999995E-4</v>
      </c>
      <c r="F426" s="15">
        <v>76.501105768783148</v>
      </c>
      <c r="H426" s="5">
        <v>2.2880642693190509</v>
      </c>
      <c r="I426" s="5">
        <v>40.60346386589692</v>
      </c>
      <c r="BT426" s="3">
        <v>5.5872705000000002E-2</v>
      </c>
      <c r="BV426" s="3">
        <v>1.6710914E-2</v>
      </c>
      <c r="BW426" s="3">
        <v>0.29654804800000001</v>
      </c>
      <c r="CQ426" s="18" t="s">
        <v>35</v>
      </c>
      <c r="CU426" s="230" t="s">
        <v>1738</v>
      </c>
      <c r="CV426" s="230" t="s">
        <v>1743</v>
      </c>
    </row>
    <row r="427" spans="1:100" ht="15.6" x14ac:dyDescent="0.25">
      <c r="A427" s="2" t="s">
        <v>897</v>
      </c>
      <c r="B427" s="44" t="s">
        <v>792</v>
      </c>
      <c r="C427" s="2" t="s">
        <v>898</v>
      </c>
      <c r="D427" s="5">
        <v>40.114257895052702</v>
      </c>
      <c r="G427" s="4">
        <v>2.11807484888126</v>
      </c>
      <c r="Z427" s="234" t="s">
        <v>2003</v>
      </c>
      <c r="AA427" s="234" t="s">
        <v>2004</v>
      </c>
      <c r="BU427" s="5">
        <v>711.14</v>
      </c>
      <c r="CQ427" s="30">
        <v>69.774911125000003</v>
      </c>
      <c r="CS427" s="233" t="s">
        <v>2177</v>
      </c>
      <c r="CU427" s="230" t="s">
        <v>1730</v>
      </c>
      <c r="CV427" s="230" t="s">
        <v>1369</v>
      </c>
    </row>
    <row r="428" spans="1:100" x14ac:dyDescent="0.25">
      <c r="A428" s="2" t="s">
        <v>899</v>
      </c>
      <c r="B428" s="44" t="s">
        <v>792</v>
      </c>
      <c r="C428" s="2" t="s">
        <v>900</v>
      </c>
      <c r="D428" s="4">
        <v>6.7722680000000004</v>
      </c>
      <c r="G428" s="4">
        <v>1.0059434623674077</v>
      </c>
      <c r="BU428" s="5">
        <v>56.304000000000002</v>
      </c>
      <c r="CQ428" s="4">
        <v>4.1316291000000005</v>
      </c>
      <c r="CU428" s="230" t="s">
        <v>1730</v>
      </c>
      <c r="CV428" s="230" t="s">
        <v>1369</v>
      </c>
    </row>
    <row r="429" spans="1:100" ht="15.6" x14ac:dyDescent="0.25">
      <c r="A429" s="2" t="s">
        <v>891</v>
      </c>
      <c r="B429" s="217" t="s">
        <v>796</v>
      </c>
      <c r="C429" s="2" t="s">
        <v>896</v>
      </c>
      <c r="D429" s="5">
        <v>21.841857000000001</v>
      </c>
      <c r="G429" s="4">
        <v>1.9411294662354033</v>
      </c>
      <c r="Z429" s="6">
        <v>1670.5126900466701</v>
      </c>
      <c r="AA429" s="4">
        <v>24.338961590806086</v>
      </c>
      <c r="AB429" s="5">
        <v>1.0050004612847421</v>
      </c>
      <c r="AC429" s="5">
        <v>50.192786974665701</v>
      </c>
      <c r="BS429" s="4">
        <v>1.6788660240789199</v>
      </c>
      <c r="BT429" s="5">
        <v>83.847687589988098</v>
      </c>
      <c r="BU429" s="5">
        <v>406.585442</v>
      </c>
      <c r="CQ429" s="18" t="s">
        <v>35</v>
      </c>
      <c r="CU429" s="230" t="s">
        <v>1729</v>
      </c>
      <c r="CV429" s="230" t="s">
        <v>1369</v>
      </c>
    </row>
    <row r="430" spans="1:100" ht="15.6" x14ac:dyDescent="0.25">
      <c r="A430" s="2" t="s">
        <v>892</v>
      </c>
      <c r="B430" s="217" t="s">
        <v>796</v>
      </c>
      <c r="C430" s="2" t="s">
        <v>894</v>
      </c>
      <c r="D430" s="7">
        <v>1.25748288E-3</v>
      </c>
      <c r="G430" s="5">
        <v>10.709553357895418</v>
      </c>
      <c r="BU430" s="4">
        <v>0.13467080000000001</v>
      </c>
      <c r="CQ430" s="18" t="s">
        <v>35</v>
      </c>
      <c r="CU430" s="230" t="s">
        <v>1738</v>
      </c>
      <c r="CV430" s="230" t="s">
        <v>1369</v>
      </c>
    </row>
    <row r="431" spans="1:100" x14ac:dyDescent="0.25">
      <c r="A431" s="2" t="s">
        <v>893</v>
      </c>
      <c r="B431" s="217" t="s">
        <v>796</v>
      </c>
      <c r="C431" s="2" t="s">
        <v>895</v>
      </c>
      <c r="D431" s="4">
        <v>9.1974009999999993</v>
      </c>
      <c r="G431" s="4">
        <v>1.3573033675491586</v>
      </c>
      <c r="BU431" s="5">
        <v>115.062</v>
      </c>
      <c r="CQ431" s="18" t="s">
        <v>35</v>
      </c>
      <c r="CU431" s="230" t="s">
        <v>1734</v>
      </c>
      <c r="CV431" s="230" t="s">
        <v>1369</v>
      </c>
    </row>
    <row r="432" spans="1:100" ht="15.6" x14ac:dyDescent="0.25">
      <c r="A432" s="2" t="s">
        <v>904</v>
      </c>
      <c r="B432" s="44" t="s">
        <v>792</v>
      </c>
      <c r="C432" s="2" t="s">
        <v>905</v>
      </c>
      <c r="D432" s="3">
        <v>0.90374559211428585</v>
      </c>
      <c r="G432" s="4">
        <v>2.3637318336191484</v>
      </c>
      <c r="BU432" s="5">
        <v>19.61521604</v>
      </c>
      <c r="CQ432" s="18" t="s">
        <v>35</v>
      </c>
      <c r="CU432" s="230" t="s">
        <v>1738</v>
      </c>
      <c r="CV432" s="230" t="s">
        <v>1369</v>
      </c>
    </row>
    <row r="433" spans="1:100" ht="15.6" x14ac:dyDescent="0.25">
      <c r="A433" s="2" t="s">
        <v>912</v>
      </c>
      <c r="B433" s="44" t="s">
        <v>792</v>
      </c>
      <c r="C433" s="2" t="s">
        <v>913</v>
      </c>
      <c r="D433" s="233" t="s">
        <v>1861</v>
      </c>
      <c r="F433" s="233" t="s">
        <v>1859</v>
      </c>
      <c r="H433" s="233" t="s">
        <v>1860</v>
      </c>
      <c r="AF433" s="234" t="s">
        <v>2075</v>
      </c>
      <c r="AG433" s="234" t="s">
        <v>2074</v>
      </c>
      <c r="AI433" s="234" t="s">
        <v>2073</v>
      </c>
      <c r="BT433" s="4">
        <v>1.4485129779999999</v>
      </c>
      <c r="BU433" s="233"/>
      <c r="BV433" s="5">
        <v>98.053895839999996</v>
      </c>
      <c r="BW433" s="3">
        <v>8.058912E-2</v>
      </c>
      <c r="CQ433" s="18" t="s">
        <v>35</v>
      </c>
      <c r="CR433" s="233" t="s">
        <v>2182</v>
      </c>
      <c r="CU433" s="230" t="s">
        <v>1738</v>
      </c>
      <c r="CV433" s="230" t="s">
        <v>1751</v>
      </c>
    </row>
    <row r="434" spans="1:100" x14ac:dyDescent="0.25">
      <c r="A434" s="2" t="s">
        <v>906</v>
      </c>
      <c r="B434" s="44" t="s">
        <v>792</v>
      </c>
      <c r="C434" s="2" t="s">
        <v>907</v>
      </c>
      <c r="D434" s="3">
        <v>4.8624408719999998E-2</v>
      </c>
      <c r="G434" s="4">
        <v>9.3025882248712719</v>
      </c>
      <c r="BU434" s="4">
        <v>4.5233285199999997</v>
      </c>
      <c r="CQ434" s="18" t="s">
        <v>35</v>
      </c>
      <c r="CU434" s="230" t="s">
        <v>1738</v>
      </c>
      <c r="CV434" s="230" t="s">
        <v>1369</v>
      </c>
    </row>
    <row r="435" spans="1:100" x14ac:dyDescent="0.25">
      <c r="A435" s="2" t="s">
        <v>908</v>
      </c>
      <c r="B435" s="44" t="s">
        <v>792</v>
      </c>
      <c r="C435" s="2" t="s">
        <v>909</v>
      </c>
      <c r="D435" s="3">
        <v>6.5237989920000003E-2</v>
      </c>
      <c r="G435" s="5">
        <v>14.554734092273211</v>
      </c>
      <c r="BU435" s="4">
        <v>9.4952159599999995</v>
      </c>
      <c r="CQ435" s="18" t="s">
        <v>35</v>
      </c>
      <c r="CU435" s="230" t="s">
        <v>1738</v>
      </c>
      <c r="CV435" s="230" t="s">
        <v>1369</v>
      </c>
    </row>
    <row r="436" spans="1:100" ht="15.6" x14ac:dyDescent="0.25">
      <c r="A436" s="2" t="s">
        <v>910</v>
      </c>
      <c r="B436" s="216" t="s">
        <v>797</v>
      </c>
      <c r="C436" s="2" t="s">
        <v>911</v>
      </c>
      <c r="D436" s="3">
        <v>3.4637202999999998E-2</v>
      </c>
      <c r="G436" s="5">
        <v>12.644298687132249</v>
      </c>
      <c r="BU436" s="4">
        <v>4.3796314041883333</v>
      </c>
      <c r="CQ436" s="18" t="s">
        <v>35</v>
      </c>
      <c r="CU436" s="230" t="s">
        <v>1738</v>
      </c>
      <c r="CV436" s="230" t="s">
        <v>1369</v>
      </c>
    </row>
    <row r="437" spans="1:100" ht="15.6" x14ac:dyDescent="0.25">
      <c r="A437" s="2" t="s">
        <v>914</v>
      </c>
      <c r="B437" s="44" t="s">
        <v>792</v>
      </c>
      <c r="C437" s="2" t="s">
        <v>915</v>
      </c>
      <c r="D437" s="233" t="s">
        <v>1862</v>
      </c>
      <c r="F437" s="233" t="s">
        <v>1863</v>
      </c>
      <c r="H437" s="233" t="s">
        <v>1801</v>
      </c>
      <c r="I437" s="233" t="s">
        <v>1830</v>
      </c>
      <c r="BK437" s="234" t="s">
        <v>2027</v>
      </c>
      <c r="BM437" s="234" t="s">
        <v>1978</v>
      </c>
      <c r="BN437" s="234" t="s">
        <v>2146</v>
      </c>
      <c r="BO437" s="234" t="s">
        <v>2147</v>
      </c>
      <c r="BT437" s="4">
        <v>9.7351235280000008</v>
      </c>
      <c r="BU437" s="233"/>
      <c r="BV437" s="5">
        <v>33.285135359999998</v>
      </c>
      <c r="BW437" s="4">
        <v>0.28050744</v>
      </c>
      <c r="CQ437" s="18" t="s">
        <v>35</v>
      </c>
      <c r="CR437" s="233" t="s">
        <v>2182</v>
      </c>
      <c r="CU437" s="230" t="s">
        <v>1738</v>
      </c>
      <c r="CV437" s="230" t="s">
        <v>1762</v>
      </c>
    </row>
    <row r="438" spans="1:100" ht="15.6" x14ac:dyDescent="0.25">
      <c r="A438" s="2" t="s">
        <v>916</v>
      </c>
      <c r="B438" s="44" t="s">
        <v>792</v>
      </c>
      <c r="C438" s="2" t="s">
        <v>917</v>
      </c>
      <c r="D438" s="3">
        <v>0.12305267199999999</v>
      </c>
      <c r="F438" s="233" t="s">
        <v>1864</v>
      </c>
      <c r="H438" s="233" t="s">
        <v>1865</v>
      </c>
      <c r="AF438" s="5">
        <v>32.940701199999999</v>
      </c>
      <c r="AG438" s="5">
        <v>73.466000656962336</v>
      </c>
      <c r="AI438" s="15">
        <v>245.70914726004679</v>
      </c>
      <c r="BT438" s="4">
        <v>8.0938316019999998</v>
      </c>
      <c r="BV438" s="5">
        <v>24.200215760000003</v>
      </c>
      <c r="CQ438" s="18" t="s">
        <v>35</v>
      </c>
      <c r="CU438" s="230" t="s">
        <v>1738</v>
      </c>
      <c r="CV438" s="230" t="s">
        <v>1751</v>
      </c>
    </row>
    <row r="439" spans="1:100" ht="15.6" x14ac:dyDescent="0.25">
      <c r="A439" s="2" t="s">
        <v>1411</v>
      </c>
      <c r="B439" s="213" t="s">
        <v>798</v>
      </c>
      <c r="C439" s="2" t="s">
        <v>1405</v>
      </c>
      <c r="D439" s="3">
        <v>8.9635572666666705E-2</v>
      </c>
      <c r="E439" s="4">
        <v>1.5616266939080332</v>
      </c>
      <c r="F439" s="15">
        <v>700.62577195872109</v>
      </c>
      <c r="G439" s="4">
        <v>1.3460311170061579</v>
      </c>
      <c r="H439" s="4">
        <v>1.2254150080400739</v>
      </c>
      <c r="I439" s="4">
        <v>0.20517193499773398</v>
      </c>
      <c r="BS439" s="3">
        <v>0.139977303</v>
      </c>
      <c r="BT439" s="5">
        <v>62.800992294545402</v>
      </c>
      <c r="BU439" s="4">
        <v>1.2065227000000001</v>
      </c>
      <c r="BV439" s="4">
        <v>1.09840776</v>
      </c>
      <c r="BW439" s="3">
        <v>0.18390703888650001</v>
      </c>
      <c r="CQ439" s="18" t="s">
        <v>35</v>
      </c>
      <c r="CU439" s="230" t="s">
        <v>1738</v>
      </c>
      <c r="CV439" s="230" t="s">
        <v>1760</v>
      </c>
    </row>
    <row r="440" spans="1:100" ht="15.6" x14ac:dyDescent="0.25">
      <c r="A440" s="2" t="s">
        <v>918</v>
      </c>
      <c r="B440" s="215" t="s">
        <v>793</v>
      </c>
      <c r="C440" s="2" t="s">
        <v>919</v>
      </c>
      <c r="D440" s="7">
        <v>4.2210735999999999E-3</v>
      </c>
      <c r="F440" s="233" t="s">
        <v>1866</v>
      </c>
      <c r="H440" s="5">
        <v>22.288756238065439</v>
      </c>
      <c r="BT440" s="4">
        <v>0.35292642234254606</v>
      </c>
      <c r="BV440" s="4">
        <v>0.89405326506666671</v>
      </c>
      <c r="CQ440" s="18" t="s">
        <v>35</v>
      </c>
      <c r="CU440" s="230" t="s">
        <v>1738</v>
      </c>
      <c r="CV440" s="230" t="s">
        <v>1751</v>
      </c>
    </row>
    <row r="441" spans="1:100" ht="15.6" x14ac:dyDescent="0.25">
      <c r="A441" s="2" t="s">
        <v>920</v>
      </c>
      <c r="B441" s="215" t="s">
        <v>793</v>
      </c>
      <c r="C441" s="2" t="s">
        <v>921</v>
      </c>
      <c r="D441" s="3">
        <v>0.72515600000000002</v>
      </c>
      <c r="F441" s="233" t="s">
        <v>1810</v>
      </c>
      <c r="I441" s="5">
        <v>36.2539654915632</v>
      </c>
      <c r="BV441" s="5">
        <v>15.155760399999998</v>
      </c>
      <c r="BW441" s="5">
        <v>244.30359139999999</v>
      </c>
      <c r="CQ441" s="4">
        <v>3.1821619999999999</v>
      </c>
      <c r="CR441" s="233" t="s">
        <v>1371</v>
      </c>
      <c r="CS441" s="233" t="s">
        <v>2177</v>
      </c>
      <c r="CU441" s="230" t="s">
        <v>1730</v>
      </c>
      <c r="CV441" s="230" t="s">
        <v>1763</v>
      </c>
    </row>
    <row r="442" spans="1:100" ht="15.6" x14ac:dyDescent="0.25">
      <c r="A442" s="2" t="s">
        <v>939</v>
      </c>
      <c r="B442" s="45" t="s">
        <v>794</v>
      </c>
      <c r="C442" s="2" t="s">
        <v>947</v>
      </c>
      <c r="D442" s="5">
        <v>30.456637886115299</v>
      </c>
      <c r="L442" s="4">
        <v>1.3591993230438577</v>
      </c>
      <c r="AY442" s="5">
        <v>560.18343868427689</v>
      </c>
      <c r="AZ442" s="5">
        <v>52.740313253872074</v>
      </c>
      <c r="CA442" s="50">
        <v>295.44250035840003</v>
      </c>
      <c r="CQ442" s="18" t="s">
        <v>35</v>
      </c>
      <c r="CU442" s="230" t="s">
        <v>1729</v>
      </c>
      <c r="CV442" s="230" t="s">
        <v>1377</v>
      </c>
    </row>
    <row r="443" spans="1:100" ht="15.6" x14ac:dyDescent="0.25">
      <c r="A443" s="2" t="s">
        <v>944</v>
      </c>
      <c r="B443" s="45" t="s">
        <v>794</v>
      </c>
      <c r="C443" s="2" t="s">
        <v>1427</v>
      </c>
      <c r="D443" s="233" t="s">
        <v>1867</v>
      </c>
      <c r="L443" s="233" t="s">
        <v>1869</v>
      </c>
      <c r="AY443" s="5">
        <v>82.391596069894618</v>
      </c>
      <c r="AZ443" s="5">
        <v>68.093740959218877</v>
      </c>
      <c r="CA443" s="50">
        <v>56.103520000000003</v>
      </c>
      <c r="CQ443" s="18" t="s">
        <v>35</v>
      </c>
      <c r="CU443" s="230" t="s">
        <v>1738</v>
      </c>
      <c r="CV443" s="230" t="s">
        <v>1377</v>
      </c>
    </row>
    <row r="444" spans="1:100" ht="15.6" x14ac:dyDescent="0.25">
      <c r="A444" s="2" t="s">
        <v>941</v>
      </c>
      <c r="B444" s="45" t="s">
        <v>794</v>
      </c>
      <c r="C444" s="2" t="s">
        <v>942</v>
      </c>
      <c r="D444" s="233" t="s">
        <v>1843</v>
      </c>
      <c r="L444" s="233" t="s">
        <v>1868</v>
      </c>
      <c r="AY444" s="3">
        <v>0.72436142881383603</v>
      </c>
      <c r="AZ444" s="5">
        <v>67.66819327232561</v>
      </c>
      <c r="CA444" s="148">
        <v>0.49016229163992597</v>
      </c>
      <c r="CQ444" s="18" t="s">
        <v>35</v>
      </c>
      <c r="CU444" s="230" t="s">
        <v>1738</v>
      </c>
      <c r="CV444" s="230" t="s">
        <v>1377</v>
      </c>
    </row>
    <row r="445" spans="1:100" ht="15.6" x14ac:dyDescent="0.25">
      <c r="A445" s="2" t="s">
        <v>955</v>
      </c>
      <c r="B445" s="45" t="s">
        <v>794</v>
      </c>
      <c r="C445" s="2" t="s">
        <v>943</v>
      </c>
      <c r="AY445" s="4">
        <v>1.077580141546302</v>
      </c>
      <c r="AZ445" s="5">
        <v>66.019456677326957</v>
      </c>
      <c r="CA445" s="148">
        <v>0.71141255471163933</v>
      </c>
      <c r="CQ445" s="18" t="s">
        <v>35</v>
      </c>
      <c r="CU445" s="230" t="s">
        <v>1738</v>
      </c>
      <c r="CV445" s="230" t="s">
        <v>1377</v>
      </c>
    </row>
    <row r="446" spans="1:100" ht="15.6" x14ac:dyDescent="0.25">
      <c r="A446" s="2" t="s">
        <v>945</v>
      </c>
      <c r="B446" s="45" t="s">
        <v>794</v>
      </c>
      <c r="C446" s="2" t="s">
        <v>946</v>
      </c>
      <c r="D446" s="4">
        <v>5.8705263670400001</v>
      </c>
      <c r="G446" s="4">
        <v>0.27870412266373229</v>
      </c>
      <c r="L446" s="4">
        <v>0.68805874243106102</v>
      </c>
      <c r="Z446" s="5">
        <v>48.2150496365294</v>
      </c>
      <c r="AA446" s="5">
        <v>21.019454357922573</v>
      </c>
      <c r="AY446" s="5">
        <v>43.905261598282522</v>
      </c>
      <c r="AZ446" s="5">
        <v>56.438595496466235</v>
      </c>
      <c r="BT446" s="4">
        <v>2.8355617</v>
      </c>
      <c r="BU446" s="5">
        <v>10.134540352</v>
      </c>
      <c r="CA446" s="50">
        <v>24.779512995120001</v>
      </c>
      <c r="CQ446" s="4">
        <v>0.50027500000000003</v>
      </c>
      <c r="CS446" s="233" t="s">
        <v>2177</v>
      </c>
      <c r="CU446" s="230" t="s">
        <v>1738</v>
      </c>
      <c r="CV446" s="230" t="s">
        <v>1764</v>
      </c>
    </row>
    <row r="447" spans="1:100" ht="15.6" x14ac:dyDescent="0.25">
      <c r="A447" s="21" t="s">
        <v>1517</v>
      </c>
      <c r="B447" s="217" t="s">
        <v>796</v>
      </c>
      <c r="C447" s="21" t="s">
        <v>1516</v>
      </c>
      <c r="D447" s="233" t="s">
        <v>1871</v>
      </c>
      <c r="E447" s="21"/>
      <c r="F447" s="21"/>
      <c r="G447" s="21"/>
      <c r="H447" s="21"/>
      <c r="I447" s="21"/>
      <c r="J447" s="21"/>
      <c r="K447" s="21"/>
      <c r="L447" s="233" t="s">
        <v>1870</v>
      </c>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4">
        <v>9.1195282134521598</v>
      </c>
      <c r="AZ447" s="234" t="s">
        <v>2129</v>
      </c>
      <c r="BA447" s="21"/>
      <c r="BB447" s="21"/>
      <c r="BC447" s="21"/>
      <c r="BD447" s="21"/>
      <c r="BE447" s="21"/>
      <c r="BF447" s="21"/>
      <c r="BG447" s="21"/>
      <c r="BH447" s="21"/>
      <c r="BK447" s="21"/>
      <c r="BL447" s="21"/>
      <c r="BM447" s="21"/>
      <c r="BN447" s="21"/>
      <c r="BO447" s="21"/>
      <c r="BP447" s="21"/>
      <c r="BQ447" s="21"/>
      <c r="BR447" s="21"/>
      <c r="BS447" s="21"/>
      <c r="BT447" s="21"/>
      <c r="BU447" s="21"/>
      <c r="BV447" s="21"/>
      <c r="BW447" s="21"/>
      <c r="BX447" s="21"/>
      <c r="BY447" s="21"/>
      <c r="BZ447" s="21"/>
      <c r="CA447" s="50">
        <v>5.9431026551439059</v>
      </c>
      <c r="CQ447" s="127" t="s">
        <v>35</v>
      </c>
      <c r="CU447" s="230" t="s">
        <v>1738</v>
      </c>
      <c r="CV447" s="230" t="s">
        <v>1377</v>
      </c>
    </row>
    <row r="448" spans="1:100" ht="15.6" x14ac:dyDescent="0.25">
      <c r="A448" s="21" t="s">
        <v>1515</v>
      </c>
      <c r="B448" s="217" t="s">
        <v>796</v>
      </c>
      <c r="C448" s="21" t="s">
        <v>949</v>
      </c>
      <c r="D448" s="147">
        <v>8.5136414855209175</v>
      </c>
      <c r="E448" s="21"/>
      <c r="F448" s="21"/>
      <c r="G448" s="21"/>
      <c r="H448" s="21"/>
      <c r="I448" s="21"/>
      <c r="J448" s="21"/>
      <c r="K448" s="21"/>
      <c r="L448" s="147">
        <v>0.45553082528202027</v>
      </c>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34" t="s">
        <v>2127</v>
      </c>
      <c r="AZ448" s="234" t="s">
        <v>2128</v>
      </c>
      <c r="BA448" s="21"/>
      <c r="BB448" s="21"/>
      <c r="BC448" s="21"/>
      <c r="BD448" s="21"/>
      <c r="BE448" s="21"/>
      <c r="BF448" s="21"/>
      <c r="BG448" s="21"/>
      <c r="BH448" s="21"/>
      <c r="BK448" s="21"/>
      <c r="BL448" s="21"/>
      <c r="BM448" s="21"/>
      <c r="BN448" s="21"/>
      <c r="BO448" s="21"/>
      <c r="BP448" s="21"/>
      <c r="BQ448" s="21"/>
      <c r="BR448" s="21"/>
      <c r="BS448" s="21"/>
      <c r="BT448" s="21"/>
      <c r="BU448" s="21"/>
      <c r="BV448" s="21"/>
      <c r="BW448" s="21"/>
      <c r="BX448" s="21"/>
      <c r="BY448" s="21"/>
      <c r="BZ448" s="21"/>
      <c r="CA448" s="50">
        <v>23.931245559999997</v>
      </c>
      <c r="CQ448" s="30">
        <v>10.389371459893999</v>
      </c>
      <c r="CS448" s="233" t="s">
        <v>2177</v>
      </c>
      <c r="CU448" s="230" t="s">
        <v>1738</v>
      </c>
      <c r="CV448" s="230" t="s">
        <v>1377</v>
      </c>
    </row>
    <row r="449" spans="1:100" ht="15.6" x14ac:dyDescent="0.25">
      <c r="A449" s="2" t="s">
        <v>1258</v>
      </c>
      <c r="B449" s="217" t="s">
        <v>796</v>
      </c>
      <c r="C449" s="2" t="s">
        <v>1259</v>
      </c>
      <c r="AY449" s="234" t="s">
        <v>2126</v>
      </c>
      <c r="AZ449" s="234" t="s">
        <v>2125</v>
      </c>
      <c r="BC449" s="21"/>
      <c r="BD449" s="21"/>
      <c r="CA449" s="50">
        <v>2.988</v>
      </c>
      <c r="CQ449" s="236">
        <v>20</v>
      </c>
      <c r="CR449" s="233" t="s">
        <v>1377</v>
      </c>
      <c r="CS449" s="233" t="s">
        <v>2177</v>
      </c>
      <c r="CU449" s="230" t="s">
        <v>1738</v>
      </c>
      <c r="CV449" s="230" t="s">
        <v>1377</v>
      </c>
    </row>
    <row r="450" spans="1:100" ht="15.6" x14ac:dyDescent="0.25">
      <c r="A450" s="2" t="s">
        <v>950</v>
      </c>
      <c r="B450" s="214" t="s">
        <v>795</v>
      </c>
      <c r="C450" s="2" t="s">
        <v>951</v>
      </c>
      <c r="AY450" s="5">
        <v>16.171417240243098</v>
      </c>
      <c r="AZ450" s="234" t="s">
        <v>2124</v>
      </c>
      <c r="BC450" s="21"/>
      <c r="BD450" s="21"/>
      <c r="CA450" s="5">
        <v>10.679566086481168</v>
      </c>
      <c r="CQ450" s="18" t="s">
        <v>35</v>
      </c>
      <c r="CU450" s="230" t="s">
        <v>1738</v>
      </c>
      <c r="CV450" s="230" t="s">
        <v>1377</v>
      </c>
    </row>
    <row r="451" spans="1:100" x14ac:dyDescent="0.25">
      <c r="A451" s="2" t="s">
        <v>956</v>
      </c>
      <c r="B451" s="216" t="s">
        <v>797</v>
      </c>
      <c r="C451" s="2" t="s">
        <v>957</v>
      </c>
      <c r="AY451" s="4">
        <v>1.6317280000000001</v>
      </c>
      <c r="AZ451" s="5">
        <v>66.703764352882345</v>
      </c>
      <c r="BC451" s="21"/>
      <c r="BD451" s="21"/>
      <c r="CA451" s="4">
        <v>1.0884240000000001</v>
      </c>
      <c r="CQ451" s="18" t="s">
        <v>35</v>
      </c>
      <c r="CU451" s="230" t="s">
        <v>1738</v>
      </c>
      <c r="CV451" s="230" t="s">
        <v>1377</v>
      </c>
    </row>
    <row r="452" spans="1:100" ht="15.6" x14ac:dyDescent="0.25">
      <c r="A452" s="21" t="s">
        <v>1431</v>
      </c>
      <c r="B452" s="217" t="s">
        <v>796</v>
      </c>
      <c r="C452" s="21" t="s">
        <v>1432</v>
      </c>
      <c r="D452" s="3">
        <v>8.5618548600000011E-2</v>
      </c>
      <c r="L452" s="3">
        <v>8.5618548600000011E-2</v>
      </c>
      <c r="M452" s="233"/>
      <c r="AY452" s="234" t="s">
        <v>2123</v>
      </c>
      <c r="AZ452" s="234" t="s">
        <v>2104</v>
      </c>
      <c r="BC452" s="21"/>
      <c r="BD452" s="21"/>
      <c r="BE452" s="3"/>
      <c r="BF452" s="233"/>
      <c r="CA452" s="4">
        <v>2.5186513000000001</v>
      </c>
      <c r="CQ452" s="127" t="s">
        <v>35</v>
      </c>
      <c r="CU452" s="230" t="s">
        <v>1738</v>
      </c>
      <c r="CV452" s="230" t="s">
        <v>1765</v>
      </c>
    </row>
    <row r="453" spans="1:100" ht="15.6" x14ac:dyDescent="0.25">
      <c r="A453" s="2" t="s">
        <v>952</v>
      </c>
      <c r="B453" s="45" t="s">
        <v>794</v>
      </c>
      <c r="C453" s="2" t="s">
        <v>1428</v>
      </c>
      <c r="D453" s="233" t="s">
        <v>1872</v>
      </c>
      <c r="L453" s="233" t="s">
        <v>1873</v>
      </c>
      <c r="AY453" s="4">
        <v>4.5624549616014596</v>
      </c>
      <c r="AZ453" s="234" t="s">
        <v>2121</v>
      </c>
      <c r="BC453" s="21"/>
      <c r="BD453" s="21"/>
      <c r="CA453" s="147">
        <v>3.1277218368000002</v>
      </c>
      <c r="CQ453" s="18" t="s">
        <v>35</v>
      </c>
      <c r="CU453" s="230" t="s">
        <v>1738</v>
      </c>
      <c r="CV453" s="230" t="s">
        <v>1377</v>
      </c>
    </row>
    <row r="454" spans="1:100" ht="15.6" x14ac:dyDescent="0.25">
      <c r="A454" s="2" t="s">
        <v>953</v>
      </c>
      <c r="B454" s="45" t="s">
        <v>794</v>
      </c>
      <c r="C454" s="2" t="s">
        <v>960</v>
      </c>
      <c r="D454" s="233" t="s">
        <v>1838</v>
      </c>
      <c r="L454" s="233" t="s">
        <v>1802</v>
      </c>
      <c r="M454" s="233" t="s">
        <v>1874</v>
      </c>
      <c r="AY454" s="234" t="s">
        <v>2122</v>
      </c>
      <c r="AZ454" s="234" t="s">
        <v>2118</v>
      </c>
      <c r="BC454" s="234" t="s">
        <v>2117</v>
      </c>
      <c r="BD454" s="234" t="s">
        <v>2116</v>
      </c>
      <c r="CA454" s="147">
        <v>2.3294866457582</v>
      </c>
      <c r="CB454" s="4">
        <v>9.9687822820654404</v>
      </c>
      <c r="CQ454" s="18" t="s">
        <v>35</v>
      </c>
      <c r="CU454" s="230" t="s">
        <v>1738</v>
      </c>
      <c r="CV454" s="230" t="s">
        <v>1766</v>
      </c>
    </row>
    <row r="455" spans="1:100" x14ac:dyDescent="0.25">
      <c r="A455" s="2" t="s">
        <v>976</v>
      </c>
      <c r="B455" s="45" t="s">
        <v>794</v>
      </c>
      <c r="C455" s="2" t="s">
        <v>977</v>
      </c>
      <c r="D455" s="4">
        <v>8.5136414855209175</v>
      </c>
      <c r="L455" s="4">
        <v>1.4041254378922996</v>
      </c>
      <c r="M455" s="4">
        <v>0.48514675832471332</v>
      </c>
      <c r="AY455" s="5">
        <v>22.218982409214401</v>
      </c>
      <c r="AZ455" s="5">
        <v>70.489696777141347</v>
      </c>
      <c r="BC455" s="4">
        <v>7.6103775823641699</v>
      </c>
      <c r="BD455" s="5">
        <v>71.106750049567381</v>
      </c>
      <c r="CA455" s="50">
        <v>15.6620933272216</v>
      </c>
      <c r="CB455" s="4">
        <v>5.4114921653200003</v>
      </c>
      <c r="CQ455" s="18" t="s">
        <v>35</v>
      </c>
      <c r="CU455" s="230" t="s">
        <v>1738</v>
      </c>
      <c r="CV455" s="230" t="s">
        <v>1766</v>
      </c>
    </row>
    <row r="456" spans="1:100" ht="15.6" x14ac:dyDescent="0.25">
      <c r="A456" s="2" t="s">
        <v>962</v>
      </c>
      <c r="B456" s="45" t="s">
        <v>794</v>
      </c>
      <c r="C456" s="2" t="s">
        <v>963</v>
      </c>
      <c r="D456" s="233" t="s">
        <v>1878</v>
      </c>
      <c r="L456" s="233" t="s">
        <v>1875</v>
      </c>
      <c r="AY456" s="3">
        <v>0.80370883199999998</v>
      </c>
      <c r="AZ456" s="234" t="s">
        <v>2119</v>
      </c>
      <c r="CA456" s="148">
        <v>0.56072166239999999</v>
      </c>
      <c r="CQ456" s="18" t="s">
        <v>35</v>
      </c>
      <c r="CU456" s="230" t="s">
        <v>1738</v>
      </c>
      <c r="CV456" s="230" t="s">
        <v>1377</v>
      </c>
    </row>
    <row r="457" spans="1:100" ht="15.6" x14ac:dyDescent="0.25">
      <c r="A457" s="2" t="s">
        <v>964</v>
      </c>
      <c r="B457" s="45" t="s">
        <v>794</v>
      </c>
      <c r="C457" s="2" t="s">
        <v>975</v>
      </c>
      <c r="D457" s="3">
        <v>0.111208563722417</v>
      </c>
      <c r="L457" s="233" t="s">
        <v>1876</v>
      </c>
      <c r="AY457" s="3">
        <v>0.67367200800000004</v>
      </c>
      <c r="AZ457" s="5">
        <v>64.996840420895111</v>
      </c>
      <c r="CA457" s="148">
        <v>0.43786552000000001</v>
      </c>
      <c r="CQ457" s="18" t="s">
        <v>35</v>
      </c>
      <c r="CU457" s="230" t="s">
        <v>1738</v>
      </c>
      <c r="CV457" s="230" t="s">
        <v>1377</v>
      </c>
    </row>
    <row r="458" spans="1:100" ht="15.6" x14ac:dyDescent="0.25">
      <c r="A458" s="2" t="s">
        <v>965</v>
      </c>
      <c r="B458" s="45" t="s">
        <v>794</v>
      </c>
      <c r="C458" s="2" t="s">
        <v>974</v>
      </c>
      <c r="D458" s="3">
        <v>0.115171732</v>
      </c>
      <c r="L458" s="233" t="s">
        <v>1877</v>
      </c>
      <c r="AY458" s="3">
        <v>0.33164972509090901</v>
      </c>
      <c r="AZ458" s="234" t="s">
        <v>2120</v>
      </c>
      <c r="CA458" s="148">
        <v>0.175718394684858</v>
      </c>
      <c r="CQ458" s="4">
        <v>0.19739999999999999</v>
      </c>
      <c r="CS458" s="233" t="s">
        <v>2177</v>
      </c>
      <c r="CU458" s="230" t="s">
        <v>1738</v>
      </c>
      <c r="CV458" s="230" t="s">
        <v>1377</v>
      </c>
    </row>
    <row r="459" spans="1:100" ht="15.6" x14ac:dyDescent="0.25">
      <c r="A459" s="2" t="s">
        <v>954</v>
      </c>
      <c r="B459" s="45" t="s">
        <v>794</v>
      </c>
      <c r="C459" s="2" t="s">
        <v>971</v>
      </c>
      <c r="D459" s="5">
        <v>10.2947805493333</v>
      </c>
      <c r="M459" s="233" t="s">
        <v>1880</v>
      </c>
      <c r="BC459" s="5">
        <v>70.334277606163596</v>
      </c>
      <c r="BD459" s="234" t="s">
        <v>2115</v>
      </c>
      <c r="BK459" s="3">
        <v>0.38974393939393898</v>
      </c>
      <c r="BQ459" s="5">
        <v>59.220163977125615</v>
      </c>
      <c r="BR459" s="2" t="s">
        <v>972</v>
      </c>
      <c r="CB459" s="5">
        <v>39.911335169443298</v>
      </c>
      <c r="CL459" s="3">
        <v>0.23080700000000001</v>
      </c>
      <c r="CM459" s="2" t="s">
        <v>973</v>
      </c>
      <c r="CQ459" s="30">
        <v>16.45002597005</v>
      </c>
      <c r="CS459" s="233" t="s">
        <v>2177</v>
      </c>
      <c r="CU459" s="230" t="s">
        <v>1730</v>
      </c>
      <c r="CV459" s="230" t="s">
        <v>1378</v>
      </c>
    </row>
    <row r="460" spans="1:100" ht="15.6" x14ac:dyDescent="0.25">
      <c r="A460" s="2" t="s">
        <v>958</v>
      </c>
      <c r="B460" s="45" t="s">
        <v>794</v>
      </c>
      <c r="C460" s="2" t="s">
        <v>134</v>
      </c>
      <c r="D460" s="233" t="s">
        <v>1879</v>
      </c>
      <c r="M460" s="233" t="s">
        <v>1836</v>
      </c>
      <c r="BG460" s="234" t="s">
        <v>2148</v>
      </c>
      <c r="BH460" s="5">
        <v>68.605383112654664</v>
      </c>
      <c r="BZ460" s="4">
        <v>4.6332653016834602</v>
      </c>
      <c r="CB460" s="5">
        <v>4.3961233640000001</v>
      </c>
      <c r="CQ460" s="30">
        <v>10.958195</v>
      </c>
      <c r="CR460" s="233" t="s">
        <v>2184</v>
      </c>
      <c r="CS460" s="233" t="s">
        <v>2177</v>
      </c>
      <c r="CU460" s="230" t="s">
        <v>1729</v>
      </c>
      <c r="CV460" s="230" t="s">
        <v>1767</v>
      </c>
    </row>
    <row r="461" spans="1:100" ht="15.6" x14ac:dyDescent="0.25">
      <c r="A461" s="2" t="s">
        <v>1027</v>
      </c>
      <c r="B461" s="45" t="s">
        <v>794</v>
      </c>
      <c r="C461" s="2" t="s">
        <v>1028</v>
      </c>
      <c r="D461" s="233" t="s">
        <v>1830</v>
      </c>
      <c r="L461" s="233" t="s">
        <v>1883</v>
      </c>
      <c r="M461" s="233" t="s">
        <v>1871</v>
      </c>
      <c r="AY461" s="234" t="s">
        <v>2114</v>
      </c>
      <c r="AZ461" s="234" t="s">
        <v>2104</v>
      </c>
      <c r="BQ461" s="4">
        <v>0.25409284141187083</v>
      </c>
      <c r="BR461" s="2" t="s">
        <v>612</v>
      </c>
      <c r="CA461" s="4">
        <v>0.47966609679999989</v>
      </c>
      <c r="CB461" s="4">
        <v>0.31635047728000004</v>
      </c>
      <c r="CL461" s="15">
        <v>69.917056000000002</v>
      </c>
      <c r="CM461" s="2" t="s">
        <v>1029</v>
      </c>
      <c r="CQ461" s="18" t="s">
        <v>35</v>
      </c>
      <c r="CR461" s="233" t="s">
        <v>2185</v>
      </c>
      <c r="CU461" s="230" t="s">
        <v>1738</v>
      </c>
      <c r="CV461" s="230" t="s">
        <v>1766</v>
      </c>
    </row>
    <row r="462" spans="1:100" ht="15.6" x14ac:dyDescent="0.25">
      <c r="A462" s="2" t="s">
        <v>979</v>
      </c>
      <c r="B462" s="45" t="s">
        <v>794</v>
      </c>
      <c r="C462" s="2" t="s">
        <v>855</v>
      </c>
      <c r="D462" s="3">
        <v>3.7262999999999998E-2</v>
      </c>
      <c r="M462" s="233" t="s">
        <v>1881</v>
      </c>
      <c r="BC462" s="3">
        <v>0.139575</v>
      </c>
      <c r="BD462" s="5">
        <v>72.37</v>
      </c>
      <c r="CB462" s="3">
        <v>0.1010104275</v>
      </c>
      <c r="CQ462" s="18" t="s">
        <v>35</v>
      </c>
      <c r="CU462" s="230" t="s">
        <v>1738</v>
      </c>
      <c r="CV462" s="230" t="s">
        <v>1378</v>
      </c>
    </row>
    <row r="463" spans="1:100" ht="15.6" x14ac:dyDescent="0.25">
      <c r="A463" s="21" t="s">
        <v>1415</v>
      </c>
      <c r="B463" s="213" t="s">
        <v>798</v>
      </c>
      <c r="C463" s="2" t="s">
        <v>1414</v>
      </c>
      <c r="D463" s="4">
        <v>2.3798271815944898</v>
      </c>
      <c r="L463" s="233" t="s">
        <v>1882</v>
      </c>
      <c r="AY463" s="5">
        <v>69.003798123751807</v>
      </c>
      <c r="AZ463" s="234" t="s">
        <v>2104</v>
      </c>
      <c r="CA463" s="5">
        <v>48.302658686626259</v>
      </c>
      <c r="CQ463" s="127" t="s">
        <v>35</v>
      </c>
      <c r="CR463" s="233" t="s">
        <v>1377</v>
      </c>
      <c r="CU463" s="230" t="s">
        <v>1729</v>
      </c>
      <c r="CV463" s="230" t="s">
        <v>1377</v>
      </c>
    </row>
    <row r="464" spans="1:100" ht="15.6" x14ac:dyDescent="0.25">
      <c r="A464" s="21" t="s">
        <v>1416</v>
      </c>
      <c r="B464" s="213" t="s">
        <v>798</v>
      </c>
      <c r="C464" s="2" t="s">
        <v>1414</v>
      </c>
      <c r="BA464" s="5">
        <v>58.7994016548</v>
      </c>
      <c r="BB464" s="234" t="s">
        <v>2104</v>
      </c>
      <c r="CA464" s="5">
        <v>41.159581158359998</v>
      </c>
      <c r="CQ464" s="18" t="s">
        <v>35</v>
      </c>
      <c r="CR464" s="233" t="s">
        <v>1377</v>
      </c>
      <c r="CU464" s="230" t="s">
        <v>1729</v>
      </c>
      <c r="CV464" s="230" t="s">
        <v>1377</v>
      </c>
    </row>
    <row r="465" spans="1:100" ht="15.6" x14ac:dyDescent="0.25">
      <c r="A465" s="21" t="s">
        <v>1424</v>
      </c>
      <c r="B465" s="213" t="s">
        <v>798</v>
      </c>
      <c r="C465" s="2" t="s">
        <v>1425</v>
      </c>
      <c r="BA465" s="5">
        <v>69.58551414285715</v>
      </c>
      <c r="BB465" s="234" t="s">
        <v>2104</v>
      </c>
      <c r="CA465" s="5">
        <v>48.709859900000005</v>
      </c>
      <c r="CQ465" s="127" t="s">
        <v>35</v>
      </c>
      <c r="CR465" s="233" t="s">
        <v>1377</v>
      </c>
      <c r="CU465" s="230" t="s">
        <v>1738</v>
      </c>
      <c r="CV465" s="230" t="s">
        <v>1377</v>
      </c>
    </row>
    <row r="466" spans="1:100" ht="15.6" x14ac:dyDescent="0.25">
      <c r="A466" s="21" t="s">
        <v>1426</v>
      </c>
      <c r="B466" s="213" t="s">
        <v>798</v>
      </c>
      <c r="C466" s="2" t="s">
        <v>1425</v>
      </c>
      <c r="BA466" s="4">
        <v>4.3141868971428572</v>
      </c>
      <c r="BB466" s="234" t="s">
        <v>2104</v>
      </c>
      <c r="CA466" s="5">
        <v>3.0199308279999997</v>
      </c>
      <c r="CQ466" s="127" t="s">
        <v>35</v>
      </c>
      <c r="CR466" s="233" t="s">
        <v>1377</v>
      </c>
      <c r="CU466" s="230" t="s">
        <v>1738</v>
      </c>
      <c r="CV466" s="230" t="s">
        <v>1377</v>
      </c>
    </row>
    <row r="467" spans="1:100" x14ac:dyDescent="0.25">
      <c r="A467" s="21" t="s">
        <v>1422</v>
      </c>
      <c r="B467" s="213" t="s">
        <v>798</v>
      </c>
      <c r="C467" s="2" t="s">
        <v>1423</v>
      </c>
      <c r="D467" s="3">
        <v>0.52256800000000003</v>
      </c>
      <c r="L467" s="4">
        <v>0.94362791062598528</v>
      </c>
      <c r="AY467" s="4">
        <v>6.51776</v>
      </c>
      <c r="AZ467" s="5">
        <v>58.679187021307925</v>
      </c>
      <c r="CA467" s="147">
        <v>3.8250999999999999</v>
      </c>
      <c r="CQ467" s="127" t="s">
        <v>35</v>
      </c>
      <c r="CU467" s="230" t="s">
        <v>1738</v>
      </c>
      <c r="CV467" s="230" t="s">
        <v>1377</v>
      </c>
    </row>
    <row r="468" spans="1:100" ht="15.6" x14ac:dyDescent="0.25">
      <c r="A468" s="21" t="s">
        <v>1419</v>
      </c>
      <c r="B468" s="44" t="s">
        <v>792</v>
      </c>
      <c r="C468" s="2" t="s">
        <v>1026</v>
      </c>
      <c r="AY468" s="4">
        <v>0.38860984000000004</v>
      </c>
      <c r="AZ468" s="234" t="s">
        <v>2113</v>
      </c>
      <c r="BA468" s="5">
        <v>17.0703991121656</v>
      </c>
      <c r="BB468" s="234" t="s">
        <v>2111</v>
      </c>
      <c r="CA468" s="5">
        <v>11.807953412</v>
      </c>
      <c r="CQ468" s="18" t="s">
        <v>35</v>
      </c>
      <c r="CR468" s="233" t="s">
        <v>1377</v>
      </c>
      <c r="CU468" s="230" t="s">
        <v>1738</v>
      </c>
      <c r="CV468" s="230" t="s">
        <v>1377</v>
      </c>
    </row>
    <row r="469" spans="1:100" ht="15.6" x14ac:dyDescent="0.25">
      <c r="A469" s="21" t="s">
        <v>1420</v>
      </c>
      <c r="B469" s="44" t="s">
        <v>792</v>
      </c>
      <c r="C469" s="2" t="s">
        <v>1030</v>
      </c>
      <c r="AY469" s="4">
        <v>0.59436577683404268</v>
      </c>
      <c r="AZ469" s="234" t="s">
        <v>2112</v>
      </c>
      <c r="BA469" s="5">
        <v>36.686261423953198</v>
      </c>
      <c r="BB469" s="234" t="s">
        <v>2110</v>
      </c>
      <c r="CA469" s="5">
        <v>25.297522864000001</v>
      </c>
      <c r="CQ469" s="18" t="s">
        <v>35</v>
      </c>
      <c r="CR469" s="233" t="s">
        <v>1377</v>
      </c>
      <c r="CU469" s="230" t="s">
        <v>1729</v>
      </c>
      <c r="CV469" s="230" t="s">
        <v>1377</v>
      </c>
    </row>
    <row r="470" spans="1:100" ht="15.6" x14ac:dyDescent="0.25">
      <c r="A470" s="21" t="s">
        <v>1421</v>
      </c>
      <c r="B470" s="213" t="s">
        <v>798</v>
      </c>
      <c r="C470" s="2" t="s">
        <v>1025</v>
      </c>
      <c r="D470" s="7">
        <v>4.256453260000001E-3</v>
      </c>
      <c r="L470" s="233" t="s">
        <v>1858</v>
      </c>
      <c r="AY470" s="3">
        <v>0.18160776479999999</v>
      </c>
      <c r="AZ470" s="234" t="s">
        <v>2104</v>
      </c>
      <c r="BA470" s="3">
        <v>6.9184926399999999E-2</v>
      </c>
      <c r="BB470" s="234" t="s">
        <v>2104</v>
      </c>
      <c r="CA470" s="147">
        <v>0.17555488384000001</v>
      </c>
      <c r="CQ470" s="18" t="s">
        <v>35</v>
      </c>
      <c r="CR470" s="233" t="s">
        <v>1377</v>
      </c>
      <c r="CU470" s="230" t="s">
        <v>1738</v>
      </c>
      <c r="CV470" s="230" t="s">
        <v>1377</v>
      </c>
    </row>
    <row r="471" spans="1:100" ht="15.6" x14ac:dyDescent="0.25">
      <c r="A471" s="21" t="s">
        <v>1024</v>
      </c>
      <c r="B471" s="213" t="s">
        <v>798</v>
      </c>
      <c r="C471" s="2" t="s">
        <v>1021</v>
      </c>
      <c r="D471" s="3">
        <v>0.12762586000000001</v>
      </c>
      <c r="L471" s="233" t="s">
        <v>1884</v>
      </c>
      <c r="AY471" s="4">
        <v>0.60956540000000003</v>
      </c>
      <c r="AZ471" s="234" t="s">
        <v>2104</v>
      </c>
      <c r="CA471" s="147">
        <v>0.42669578000000002</v>
      </c>
      <c r="CQ471" s="18" t="s">
        <v>35</v>
      </c>
      <c r="CR471" s="233" t="s">
        <v>1377</v>
      </c>
      <c r="CU471" s="230" t="s">
        <v>1738</v>
      </c>
      <c r="CV471" s="230" t="s">
        <v>1377</v>
      </c>
    </row>
    <row r="472" spans="1:100" ht="15.6" x14ac:dyDescent="0.25">
      <c r="A472" s="21" t="s">
        <v>1417</v>
      </c>
      <c r="B472" s="213" t="s">
        <v>798</v>
      </c>
      <c r="C472" s="2" t="s">
        <v>1412</v>
      </c>
      <c r="BA472" s="5">
        <v>56.538277319999999</v>
      </c>
      <c r="BB472" s="234" t="s">
        <v>2104</v>
      </c>
      <c r="CA472" s="5">
        <v>39.576794123999996</v>
      </c>
      <c r="CQ472" s="127" t="s">
        <v>35</v>
      </c>
      <c r="CR472" s="233" t="s">
        <v>1377</v>
      </c>
      <c r="CU472" s="230" t="s">
        <v>1738</v>
      </c>
      <c r="CV472" s="230" t="s">
        <v>1377</v>
      </c>
    </row>
    <row r="473" spans="1:100" ht="15.6" x14ac:dyDescent="0.25">
      <c r="A473" s="21" t="s">
        <v>1437</v>
      </c>
      <c r="B473" s="217" t="s">
        <v>796</v>
      </c>
      <c r="C473" s="2" t="s">
        <v>1436</v>
      </c>
      <c r="BA473" s="4">
        <v>5.3048175589200568</v>
      </c>
      <c r="BB473" s="234" t="s">
        <v>2109</v>
      </c>
      <c r="CA473" s="147">
        <v>3.6558999509086014</v>
      </c>
      <c r="CQ473" s="127" t="s">
        <v>35</v>
      </c>
      <c r="CR473" s="233" t="s">
        <v>1377</v>
      </c>
      <c r="CU473" s="230" t="s">
        <v>1738</v>
      </c>
      <c r="CV473" s="230" t="s">
        <v>1377</v>
      </c>
    </row>
    <row r="474" spans="1:100" ht="15.6" x14ac:dyDescent="0.25">
      <c r="A474" s="21" t="s">
        <v>1440</v>
      </c>
      <c r="B474" s="217" t="s">
        <v>796</v>
      </c>
      <c r="C474" s="2" t="s">
        <v>1438</v>
      </c>
      <c r="BA474" s="4">
        <v>3.6741152304571743</v>
      </c>
      <c r="BB474" s="234" t="s">
        <v>2104</v>
      </c>
      <c r="CA474" s="147">
        <v>2.6304487914265682</v>
      </c>
      <c r="CQ474" s="127" t="s">
        <v>35</v>
      </c>
      <c r="CR474" s="233" t="s">
        <v>1377</v>
      </c>
      <c r="CU474" s="230" t="s">
        <v>1738</v>
      </c>
      <c r="CV474" s="230" t="s">
        <v>1377</v>
      </c>
    </row>
    <row r="475" spans="1:100" ht="15.6" x14ac:dyDescent="0.25">
      <c r="A475" s="21" t="s">
        <v>1439</v>
      </c>
      <c r="B475" s="217" t="s">
        <v>796</v>
      </c>
      <c r="C475" s="2" t="s">
        <v>1438</v>
      </c>
      <c r="BA475" s="5">
        <v>87.174922467297876</v>
      </c>
      <c r="BB475" s="234" t="s">
        <v>2108</v>
      </c>
      <c r="CA475" s="5">
        <v>63.176423854885464</v>
      </c>
      <c r="CQ475" s="127" t="s">
        <v>35</v>
      </c>
      <c r="CR475" s="233" t="s">
        <v>1377</v>
      </c>
      <c r="CU475" s="230" t="s">
        <v>1738</v>
      </c>
      <c r="CV475" s="230" t="s">
        <v>1377</v>
      </c>
    </row>
    <row r="476" spans="1:100" ht="15.6" x14ac:dyDescent="0.25">
      <c r="A476" s="21" t="s">
        <v>1441</v>
      </c>
      <c r="B476" s="217" t="s">
        <v>796</v>
      </c>
      <c r="C476" s="2" t="s">
        <v>1438</v>
      </c>
      <c r="BA476" s="5">
        <v>102.7786305739217</v>
      </c>
      <c r="BB476" s="234" t="s">
        <v>2107</v>
      </c>
      <c r="CA476" s="5">
        <v>73.131081551479468</v>
      </c>
      <c r="CQ476" s="127" t="s">
        <v>35</v>
      </c>
      <c r="CR476" s="233" t="s">
        <v>1377</v>
      </c>
      <c r="CU476" s="230" t="s">
        <v>1738</v>
      </c>
      <c r="CV476" s="230" t="s">
        <v>1377</v>
      </c>
    </row>
    <row r="477" spans="1:100" ht="15.6" x14ac:dyDescent="0.25">
      <c r="A477" s="2" t="s">
        <v>1019</v>
      </c>
      <c r="B477" s="213" t="s">
        <v>798</v>
      </c>
      <c r="C477" s="2" t="s">
        <v>1020</v>
      </c>
      <c r="D477" s="3">
        <v>0.41583509999999996</v>
      </c>
      <c r="L477" s="233" t="s">
        <v>1800</v>
      </c>
      <c r="AY477" s="4">
        <v>4.1600860000000006</v>
      </c>
      <c r="AZ477" s="234" t="s">
        <v>2104</v>
      </c>
      <c r="CA477" s="5">
        <v>2.9120602000000004</v>
      </c>
      <c r="CQ477" s="18" t="s">
        <v>35</v>
      </c>
      <c r="CR477" s="233" t="s">
        <v>1377</v>
      </c>
      <c r="CU477" s="230" t="s">
        <v>1738</v>
      </c>
      <c r="CV477" s="230" t="s">
        <v>1377</v>
      </c>
    </row>
    <row r="478" spans="1:100" ht="15.6" x14ac:dyDescent="0.25">
      <c r="A478" s="2" t="s">
        <v>1022</v>
      </c>
      <c r="B478" s="213" t="s">
        <v>798</v>
      </c>
      <c r="C478" s="2">
        <v>1979</v>
      </c>
      <c r="D478" s="3">
        <v>6.9304000000000004E-2</v>
      </c>
      <c r="L478" s="233" t="s">
        <v>1885</v>
      </c>
      <c r="AY478" s="4">
        <v>0.44700000000000001</v>
      </c>
      <c r="AZ478" s="234" t="s">
        <v>2104</v>
      </c>
      <c r="CA478" s="147">
        <v>0.31290000000000001</v>
      </c>
      <c r="CQ478" s="18" t="s">
        <v>35</v>
      </c>
      <c r="CR478" s="233" t="s">
        <v>1377</v>
      </c>
      <c r="CU478" s="230" t="s">
        <v>1738</v>
      </c>
      <c r="CV478" s="230" t="s">
        <v>1377</v>
      </c>
    </row>
    <row r="479" spans="1:100" ht="15.6" x14ac:dyDescent="0.25">
      <c r="A479" s="2" t="s">
        <v>970</v>
      </c>
      <c r="B479" s="213" t="s">
        <v>798</v>
      </c>
      <c r="C479" s="2" t="s">
        <v>1023</v>
      </c>
      <c r="D479" s="3">
        <v>0.115855682</v>
      </c>
      <c r="L479" s="233" t="s">
        <v>1886</v>
      </c>
      <c r="AY479" s="4">
        <v>0.34979300000000002</v>
      </c>
      <c r="AZ479" s="234" t="s">
        <v>2104</v>
      </c>
      <c r="CA479" s="147">
        <v>0.24485510000000002</v>
      </c>
      <c r="CQ479" s="18" t="s">
        <v>35</v>
      </c>
      <c r="CR479" s="233" t="s">
        <v>1377</v>
      </c>
      <c r="CU479" s="230" t="s">
        <v>1738</v>
      </c>
      <c r="CV479" s="230" t="s">
        <v>1377</v>
      </c>
    </row>
    <row r="480" spans="1:100" ht="15.6" x14ac:dyDescent="0.25">
      <c r="A480" s="2" t="s">
        <v>969</v>
      </c>
      <c r="B480" s="213" t="s">
        <v>798</v>
      </c>
      <c r="C480" s="2" t="s">
        <v>966</v>
      </c>
      <c r="D480" s="3">
        <v>0.17779300000000001</v>
      </c>
      <c r="L480" s="233" t="s">
        <v>1887</v>
      </c>
      <c r="AY480" s="4">
        <v>1.911</v>
      </c>
      <c r="AZ480" s="234" t="s">
        <v>2039</v>
      </c>
      <c r="CA480" s="3">
        <v>0.90444274809160308</v>
      </c>
      <c r="CQ480" s="18" t="s">
        <v>35</v>
      </c>
      <c r="CU480" s="230" t="s">
        <v>1738</v>
      </c>
      <c r="CV480" s="230" t="s">
        <v>1377</v>
      </c>
    </row>
    <row r="481" spans="1:100" ht="15.6" x14ac:dyDescent="0.25">
      <c r="A481" s="2" t="s">
        <v>967</v>
      </c>
      <c r="B481" s="213" t="s">
        <v>798</v>
      </c>
      <c r="C481" s="2" t="s">
        <v>968</v>
      </c>
      <c r="D481" s="3">
        <v>0.487815</v>
      </c>
      <c r="L481" s="233" t="s">
        <v>1802</v>
      </c>
      <c r="AY481" s="4">
        <v>4.9429999999999996</v>
      </c>
      <c r="AZ481" s="234" t="s">
        <v>2106</v>
      </c>
      <c r="CA481" s="4">
        <v>2.0184558001678359</v>
      </c>
      <c r="CQ481" s="18" t="s">
        <v>35</v>
      </c>
      <c r="CU481" s="230" t="s">
        <v>1738</v>
      </c>
      <c r="CV481" s="230" t="s">
        <v>1377</v>
      </c>
    </row>
    <row r="482" spans="1:100" ht="15.6" x14ac:dyDescent="0.25">
      <c r="A482" s="2" t="s">
        <v>1334</v>
      </c>
      <c r="B482" s="217" t="s">
        <v>796</v>
      </c>
      <c r="C482" s="2" t="s">
        <v>1333</v>
      </c>
      <c r="D482" s="4">
        <v>4.2597224685999997</v>
      </c>
      <c r="E482" s="4">
        <v>2.1666299706670009</v>
      </c>
      <c r="F482" s="5">
        <v>10.977615672076555</v>
      </c>
      <c r="G482" s="4">
        <v>2.7224334833097137</v>
      </c>
      <c r="BS482" s="4">
        <v>9.2292423671923807</v>
      </c>
      <c r="BT482" s="5">
        <v>46.761596130000001</v>
      </c>
      <c r="BU482" s="5">
        <v>115.968110781234</v>
      </c>
      <c r="CQ482" s="18" t="s">
        <v>35</v>
      </c>
      <c r="CU482" s="230" t="s">
        <v>1738</v>
      </c>
      <c r="CV482" s="230" t="s">
        <v>1732</v>
      </c>
    </row>
    <row r="483" spans="1:100" ht="15.6" x14ac:dyDescent="0.25">
      <c r="A483" s="2" t="s">
        <v>1335</v>
      </c>
      <c r="B483" s="217" t="s">
        <v>796</v>
      </c>
      <c r="C483" s="2" t="s">
        <v>1336</v>
      </c>
      <c r="D483" s="3">
        <v>1.8559419660978401E-2</v>
      </c>
      <c r="E483" s="4">
        <v>8.1899089780224514</v>
      </c>
      <c r="F483" s="5"/>
      <c r="G483" s="4">
        <v>1.6828026183203171</v>
      </c>
      <c r="BS483" s="4">
        <v>0.15199995770833299</v>
      </c>
      <c r="BU483" s="4">
        <v>0.3123184</v>
      </c>
      <c r="CQ483" s="127" t="s">
        <v>35</v>
      </c>
      <c r="CU483" s="230" t="s">
        <v>1738</v>
      </c>
      <c r="CV483" s="230" t="s">
        <v>1733</v>
      </c>
    </row>
    <row r="484" spans="1:100" ht="15.6" x14ac:dyDescent="0.25">
      <c r="A484" s="2" t="s">
        <v>1337</v>
      </c>
      <c r="B484" s="217" t="s">
        <v>796</v>
      </c>
      <c r="C484" s="2" t="s">
        <v>1338</v>
      </c>
      <c r="D484" s="3">
        <v>0.28490265599999998</v>
      </c>
      <c r="E484" s="4">
        <v>2.0221983364030134</v>
      </c>
      <c r="F484" s="4">
        <v>4.8212366472287291</v>
      </c>
      <c r="G484" s="4">
        <v>1.6179247974437978</v>
      </c>
      <c r="Z484" s="234" t="s">
        <v>2005</v>
      </c>
      <c r="AA484" s="234" t="s">
        <v>2006</v>
      </c>
      <c r="AB484" s="234" t="s">
        <v>2007</v>
      </c>
      <c r="AC484" s="234" t="s">
        <v>2008</v>
      </c>
      <c r="BS484" s="4">
        <v>0.57612967699999995</v>
      </c>
      <c r="BT484" s="4">
        <v>1.373583126</v>
      </c>
      <c r="BU484" s="4">
        <v>4.6095107200000003</v>
      </c>
      <c r="CQ484" s="127" t="s">
        <v>35</v>
      </c>
      <c r="CU484" s="230" t="s">
        <v>1738</v>
      </c>
      <c r="CV484" s="230" t="s">
        <v>1732</v>
      </c>
    </row>
    <row r="485" spans="1:100" ht="15.6" x14ac:dyDescent="0.25">
      <c r="A485" s="2" t="s">
        <v>987</v>
      </c>
      <c r="B485" s="45" t="s">
        <v>794</v>
      </c>
      <c r="C485" s="2" t="s">
        <v>989</v>
      </c>
      <c r="D485" s="5">
        <v>263.874406824034</v>
      </c>
      <c r="N485" s="233" t="s">
        <v>1888</v>
      </c>
      <c r="O485" s="233" t="s">
        <v>1888</v>
      </c>
      <c r="BG485" s="5">
        <v>110.484622128</v>
      </c>
      <c r="BH485" s="234" t="s">
        <v>2149</v>
      </c>
      <c r="BZ485" s="5">
        <v>110.484622128</v>
      </c>
      <c r="CQ485" s="5">
        <v>934.92997550947416</v>
      </c>
      <c r="CU485" s="230" t="s">
        <v>1729</v>
      </c>
      <c r="CV485" s="230" t="s">
        <v>1374</v>
      </c>
    </row>
    <row r="486" spans="1:100" ht="15.6" x14ac:dyDescent="0.25">
      <c r="A486" s="2" t="s">
        <v>988</v>
      </c>
      <c r="B486" s="44" t="s">
        <v>792</v>
      </c>
      <c r="C486" s="2" t="s">
        <v>286</v>
      </c>
      <c r="CJ486" s="5">
        <v>190.659260252</v>
      </c>
      <c r="CQ486" s="127" t="s">
        <v>35</v>
      </c>
      <c r="CU486" s="230" t="s">
        <v>1729</v>
      </c>
      <c r="CV486" s="230" t="s">
        <v>1398</v>
      </c>
    </row>
    <row r="487" spans="1:100" ht="15.6" x14ac:dyDescent="0.25">
      <c r="A487" s="2" t="s">
        <v>990</v>
      </c>
      <c r="B487" s="215" t="s">
        <v>793</v>
      </c>
      <c r="C487" s="2" t="s">
        <v>992</v>
      </c>
      <c r="D487" s="5">
        <v>350.13464768800003</v>
      </c>
      <c r="BG487" s="5">
        <v>350.13464768800003</v>
      </c>
      <c r="BZ487" s="5">
        <v>350.13464768800003</v>
      </c>
      <c r="CQ487" s="18" t="s">
        <v>35</v>
      </c>
      <c r="CU487" s="230" t="s">
        <v>1729</v>
      </c>
      <c r="CV487" s="230" t="s">
        <v>1374</v>
      </c>
    </row>
    <row r="488" spans="1:100" ht="15.6" x14ac:dyDescent="0.25">
      <c r="A488" s="2" t="s">
        <v>991</v>
      </c>
      <c r="B488" s="215" t="s">
        <v>793</v>
      </c>
      <c r="C488" s="2" t="s">
        <v>993</v>
      </c>
      <c r="D488" s="5">
        <v>24.785316999999999</v>
      </c>
      <c r="P488" s="233"/>
      <c r="BG488" s="5">
        <v>24.785316999999999</v>
      </c>
      <c r="BZ488" s="5">
        <v>24.785316999999999</v>
      </c>
      <c r="CQ488" s="18" t="s">
        <v>35</v>
      </c>
      <c r="CU488" s="230" t="s">
        <v>1729</v>
      </c>
      <c r="CV488" s="230" t="s">
        <v>1374</v>
      </c>
    </row>
    <row r="489" spans="1:100" ht="15.6" x14ac:dyDescent="0.25">
      <c r="A489" s="2" t="s">
        <v>1652</v>
      </c>
      <c r="B489" s="213" t="s">
        <v>798</v>
      </c>
      <c r="C489" s="2" t="s">
        <v>1014</v>
      </c>
      <c r="D489" s="233" t="s">
        <v>1895</v>
      </c>
      <c r="M489" s="233" t="s">
        <v>1893</v>
      </c>
      <c r="P489" s="233" t="s">
        <v>1889</v>
      </c>
      <c r="Q489" s="233" t="s">
        <v>1891</v>
      </c>
      <c r="BC489" s="4">
        <v>0.93622530559999995</v>
      </c>
      <c r="BD489" s="234" t="s">
        <v>2104</v>
      </c>
      <c r="BE489" s="4">
        <v>2.2165418203999998</v>
      </c>
      <c r="BF489" s="234" t="s">
        <v>2104</v>
      </c>
      <c r="BQ489" s="233" t="s">
        <v>2150</v>
      </c>
      <c r="BR489" s="233" t="s">
        <v>2153</v>
      </c>
      <c r="BS489" s="233"/>
      <c r="CB489" s="5">
        <v>2.2069369882000003</v>
      </c>
      <c r="CL489" s="3">
        <v>0.41279899999999997</v>
      </c>
      <c r="CM489" s="2" t="s">
        <v>973</v>
      </c>
      <c r="CQ489" s="7">
        <v>5.1429919999999999E-3</v>
      </c>
      <c r="CR489" s="233" t="s">
        <v>2186</v>
      </c>
      <c r="CS489" s="233" t="s">
        <v>2177</v>
      </c>
      <c r="CU489" s="230" t="s">
        <v>1738</v>
      </c>
      <c r="CV489" s="230" t="s">
        <v>1768</v>
      </c>
    </row>
    <row r="490" spans="1:100" ht="15.6" x14ac:dyDescent="0.25">
      <c r="A490" s="2" t="s">
        <v>1653</v>
      </c>
      <c r="B490" s="213" t="s">
        <v>798</v>
      </c>
      <c r="C490" s="2" t="s">
        <v>1015</v>
      </c>
      <c r="D490" s="233" t="s">
        <v>1896</v>
      </c>
      <c r="M490" s="233" t="s">
        <v>1894</v>
      </c>
      <c r="P490" s="233" t="s">
        <v>1890</v>
      </c>
      <c r="Q490" s="233" t="s">
        <v>1892</v>
      </c>
      <c r="BC490" s="4">
        <v>0.56658255999999996</v>
      </c>
      <c r="BD490" s="234" t="s">
        <v>2104</v>
      </c>
      <c r="BQ490" s="233" t="s">
        <v>2151</v>
      </c>
      <c r="BR490" s="233" t="s">
        <v>2152</v>
      </c>
      <c r="BS490" s="233"/>
      <c r="CB490" s="4">
        <v>0.39660779200000001</v>
      </c>
      <c r="CQ490" s="18" t="s">
        <v>35</v>
      </c>
      <c r="CR490" s="233" t="s">
        <v>2186</v>
      </c>
      <c r="CU490" s="230" t="s">
        <v>1738</v>
      </c>
      <c r="CV490" s="230" t="s">
        <v>1768</v>
      </c>
    </row>
    <row r="491" spans="1:100" ht="15.6" x14ac:dyDescent="0.25">
      <c r="A491" s="2" t="s">
        <v>1654</v>
      </c>
      <c r="B491" s="213" t="s">
        <v>798</v>
      </c>
      <c r="C491" s="2" t="s">
        <v>1007</v>
      </c>
      <c r="D491" s="233" t="s">
        <v>1897</v>
      </c>
      <c r="M491" s="233" t="s">
        <v>1900</v>
      </c>
      <c r="BC491" s="4">
        <v>0.77310000000000001</v>
      </c>
      <c r="BD491" s="234" t="s">
        <v>2104</v>
      </c>
      <c r="BS491" s="233"/>
      <c r="CB491" s="4">
        <v>0.54116999999999993</v>
      </c>
      <c r="CQ491" s="18" t="s">
        <v>35</v>
      </c>
      <c r="CR491" s="233" t="s">
        <v>2186</v>
      </c>
      <c r="CU491" s="230" t="s">
        <v>1738</v>
      </c>
      <c r="CV491" s="230" t="s">
        <v>1378</v>
      </c>
    </row>
    <row r="492" spans="1:100" ht="15.6" x14ac:dyDescent="0.25">
      <c r="A492" s="2" t="s">
        <v>1655</v>
      </c>
      <c r="B492" s="213" t="s">
        <v>798</v>
      </c>
      <c r="C492" s="2" t="s">
        <v>1016</v>
      </c>
      <c r="D492" s="233" t="s">
        <v>1898</v>
      </c>
      <c r="M492" s="233" t="s">
        <v>1886</v>
      </c>
      <c r="BC492" s="4">
        <v>1.65144</v>
      </c>
      <c r="BD492" s="234" t="s">
        <v>2103</v>
      </c>
      <c r="BS492" s="233"/>
      <c r="CB492" s="4">
        <v>1.0734360000000001</v>
      </c>
      <c r="CQ492" s="4">
        <v>0.25</v>
      </c>
      <c r="CR492" s="233" t="s">
        <v>2186</v>
      </c>
      <c r="CS492" s="233" t="s">
        <v>2177</v>
      </c>
      <c r="CU492" s="230" t="s">
        <v>1730</v>
      </c>
      <c r="CV492" s="230" t="s">
        <v>1378</v>
      </c>
    </row>
    <row r="493" spans="1:100" ht="15.6" x14ac:dyDescent="0.25">
      <c r="A493" s="2" t="s">
        <v>1008</v>
      </c>
      <c r="B493" s="213" t="s">
        <v>798</v>
      </c>
      <c r="C493" s="2" t="s">
        <v>1009</v>
      </c>
      <c r="D493" s="233" t="s">
        <v>1794</v>
      </c>
      <c r="M493" s="233" t="s">
        <v>1901</v>
      </c>
      <c r="BC493" s="4">
        <v>0.17297000000000001</v>
      </c>
      <c r="BD493" s="234" t="s">
        <v>2104</v>
      </c>
      <c r="BS493" s="233"/>
      <c r="CB493" s="4">
        <v>0.12107900000000001</v>
      </c>
      <c r="CQ493" s="18" t="s">
        <v>35</v>
      </c>
      <c r="CR493" s="233" t="s">
        <v>2186</v>
      </c>
      <c r="CU493" s="230" t="s">
        <v>1738</v>
      </c>
      <c r="CV493" s="230" t="s">
        <v>1378</v>
      </c>
    </row>
    <row r="494" spans="1:100" ht="15.6" x14ac:dyDescent="0.25">
      <c r="A494" s="2" t="s">
        <v>994</v>
      </c>
      <c r="B494" s="213" t="s">
        <v>798</v>
      </c>
      <c r="C494" s="2" t="s">
        <v>1005</v>
      </c>
      <c r="D494" s="3">
        <v>9.6872147553846197E-2</v>
      </c>
      <c r="M494" s="233" t="s">
        <v>1804</v>
      </c>
      <c r="BC494" s="4">
        <v>1.66879195309412</v>
      </c>
      <c r="BD494" s="234" t="s">
        <v>2104</v>
      </c>
      <c r="BE494" s="4">
        <v>0.43546401927272699</v>
      </c>
      <c r="BF494" s="234" t="s">
        <v>2104</v>
      </c>
      <c r="BS494" s="233"/>
      <c r="CB494" s="5">
        <v>1.4729791806567929</v>
      </c>
      <c r="CQ494" s="3">
        <v>1.659128E-2</v>
      </c>
      <c r="CR494" s="233" t="s">
        <v>2186</v>
      </c>
      <c r="CS494" s="233" t="s">
        <v>2177</v>
      </c>
      <c r="CU494" s="230" t="s">
        <v>1738</v>
      </c>
      <c r="CV494" s="230" t="s">
        <v>1378</v>
      </c>
    </row>
    <row r="495" spans="1:100" ht="15.6" x14ac:dyDescent="0.25">
      <c r="A495" s="2" t="s">
        <v>994</v>
      </c>
      <c r="B495" s="213" t="s">
        <v>798</v>
      </c>
      <c r="C495" s="2" t="s">
        <v>1006</v>
      </c>
      <c r="D495" s="233" t="s">
        <v>1899</v>
      </c>
      <c r="M495" s="233" t="s">
        <v>1902</v>
      </c>
      <c r="BC495" s="5">
        <v>12.577985777873799</v>
      </c>
      <c r="BD495" s="234" t="s">
        <v>2103</v>
      </c>
      <c r="BE495" s="4"/>
      <c r="BF495" s="233"/>
      <c r="BS495" s="233"/>
      <c r="CB495" s="5">
        <v>8.1756907556179694</v>
      </c>
      <c r="CQ495" s="30">
        <v>13.907278</v>
      </c>
      <c r="CR495" s="233" t="s">
        <v>2186</v>
      </c>
      <c r="CS495" s="233" t="s">
        <v>2177</v>
      </c>
      <c r="CU495" s="230" t="s">
        <v>1738</v>
      </c>
      <c r="CV495" s="230" t="s">
        <v>1378</v>
      </c>
    </row>
    <row r="496" spans="1:100" ht="15.6" x14ac:dyDescent="0.25">
      <c r="A496" s="2" t="s">
        <v>995</v>
      </c>
      <c r="B496" s="213" t="s">
        <v>798</v>
      </c>
      <c r="C496" s="2" t="s">
        <v>996</v>
      </c>
      <c r="D496" s="7">
        <v>8.8893395999999989E-3</v>
      </c>
      <c r="M496" s="233" t="s">
        <v>1903</v>
      </c>
      <c r="BC496" s="4">
        <v>1.3989050000000001</v>
      </c>
      <c r="BD496" s="234" t="s">
        <v>2104</v>
      </c>
      <c r="BQ496" s="234" t="s">
        <v>2141</v>
      </c>
      <c r="BR496" s="2" t="s">
        <v>997</v>
      </c>
      <c r="BS496" s="233"/>
      <c r="CB496" s="4">
        <v>0.97923350000000009</v>
      </c>
      <c r="CQ496" s="18" t="s">
        <v>35</v>
      </c>
      <c r="CR496" s="233" t="s">
        <v>2186</v>
      </c>
      <c r="CU496" s="230" t="s">
        <v>1738</v>
      </c>
      <c r="CV496" s="230" t="s">
        <v>1378</v>
      </c>
    </row>
    <row r="497" spans="1:100" ht="15.6" x14ac:dyDescent="0.25">
      <c r="A497" s="2" t="s">
        <v>998</v>
      </c>
      <c r="B497" s="213" t="s">
        <v>798</v>
      </c>
      <c r="C497" s="2" t="s">
        <v>999</v>
      </c>
      <c r="D497" s="7">
        <v>1.0141712E-3</v>
      </c>
      <c r="M497" s="233" t="s">
        <v>1851</v>
      </c>
      <c r="BC497" s="3">
        <v>3.5942523999999997E-2</v>
      </c>
      <c r="BD497" s="234" t="s">
        <v>2104</v>
      </c>
      <c r="BQ497" s="234" t="s">
        <v>2141</v>
      </c>
      <c r="BR497" s="2" t="s">
        <v>997</v>
      </c>
      <c r="BS497" s="233"/>
      <c r="CB497" s="3">
        <v>2.5159766800000004E-2</v>
      </c>
      <c r="CQ497" s="18" t="s">
        <v>35</v>
      </c>
      <c r="CR497" s="233" t="s">
        <v>2186</v>
      </c>
      <c r="CU497" s="230" t="s">
        <v>1738</v>
      </c>
      <c r="CV497" s="230" t="s">
        <v>1378</v>
      </c>
    </row>
    <row r="498" spans="1:100" ht="15.6" x14ac:dyDescent="0.25">
      <c r="A498" s="2" t="s">
        <v>1031</v>
      </c>
      <c r="B498" s="213" t="s">
        <v>798</v>
      </c>
      <c r="C498" s="2" t="s">
        <v>1000</v>
      </c>
      <c r="D498" s="3">
        <v>2.9329054134933332E-2</v>
      </c>
      <c r="M498" s="233" t="s">
        <v>1893</v>
      </c>
      <c r="BC498" s="4">
        <v>0.4695480634786911</v>
      </c>
      <c r="BD498" s="234" t="s">
        <v>2104</v>
      </c>
      <c r="BE498" s="3">
        <v>3.00863E-2</v>
      </c>
      <c r="BF498" s="234" t="s">
        <v>2104</v>
      </c>
      <c r="BS498" s="233"/>
      <c r="CB498" s="4">
        <v>0.34974405443508372</v>
      </c>
      <c r="CQ498" s="7">
        <v>1.3215493000000001E-3</v>
      </c>
      <c r="CR498" s="233" t="s">
        <v>2186</v>
      </c>
      <c r="CS498" s="233" t="s">
        <v>2177</v>
      </c>
      <c r="CU498" s="230" t="s">
        <v>1738</v>
      </c>
      <c r="CV498" s="230" t="s">
        <v>1378</v>
      </c>
    </row>
    <row r="499" spans="1:100" ht="15.6" x14ac:dyDescent="0.25">
      <c r="A499" s="2" t="s">
        <v>1001</v>
      </c>
      <c r="B499" s="213" t="s">
        <v>798</v>
      </c>
      <c r="C499" s="2" t="s">
        <v>1003</v>
      </c>
      <c r="D499" s="7">
        <v>1.9059652000000002E-3</v>
      </c>
      <c r="M499" s="233" t="s">
        <v>1904</v>
      </c>
      <c r="BC499" s="3">
        <v>2.9369591168831168E-2</v>
      </c>
      <c r="BD499" s="234" t="s">
        <v>2104</v>
      </c>
      <c r="BE499" s="3">
        <v>1.9824474038961041E-2</v>
      </c>
      <c r="BF499" s="234" t="s">
        <v>2104</v>
      </c>
      <c r="BS499" s="233"/>
      <c r="CB499" s="3">
        <v>3.4435845645454544E-2</v>
      </c>
      <c r="CQ499" s="3">
        <v>1.66497E-2</v>
      </c>
      <c r="CR499" s="233" t="s">
        <v>2186</v>
      </c>
      <c r="CS499" s="233" t="s">
        <v>2177</v>
      </c>
      <c r="CU499" s="230" t="s">
        <v>1738</v>
      </c>
      <c r="CV499" s="230" t="s">
        <v>1378</v>
      </c>
    </row>
    <row r="500" spans="1:100" ht="15.6" x14ac:dyDescent="0.25">
      <c r="A500" s="2" t="s">
        <v>1513</v>
      </c>
      <c r="B500" s="216" t="s">
        <v>797</v>
      </c>
      <c r="C500" s="2" t="s">
        <v>1004</v>
      </c>
      <c r="BC500" s="4">
        <v>1.24745496</v>
      </c>
      <c r="BD500" s="234" t="s">
        <v>2104</v>
      </c>
      <c r="BS500" s="233"/>
      <c r="CB500" s="4">
        <v>0.87321847199999991</v>
      </c>
      <c r="CQ500" s="18" t="s">
        <v>35</v>
      </c>
      <c r="CR500" s="233" t="s">
        <v>2186</v>
      </c>
      <c r="CU500" s="230" t="s">
        <v>1738</v>
      </c>
      <c r="CV500" s="230" t="s">
        <v>1378</v>
      </c>
    </row>
    <row r="501" spans="1:100" ht="15.6" x14ac:dyDescent="0.25">
      <c r="A501" s="2" t="s">
        <v>1010</v>
      </c>
      <c r="B501" s="214" t="s">
        <v>795</v>
      </c>
      <c r="C501" s="2" t="s">
        <v>1011</v>
      </c>
      <c r="D501" s="7">
        <v>3.654997233612118E-3</v>
      </c>
      <c r="M501" s="233" t="s">
        <v>1905</v>
      </c>
      <c r="BC501" s="3">
        <v>8.9438480000000001E-2</v>
      </c>
      <c r="BD501" s="234" t="s">
        <v>2103</v>
      </c>
      <c r="BS501" s="233"/>
      <c r="CB501" s="3">
        <v>5.8135012E-2</v>
      </c>
      <c r="CQ501" s="18" t="s">
        <v>35</v>
      </c>
      <c r="CR501" s="233" t="s">
        <v>2186</v>
      </c>
      <c r="CU501" s="230" t="s">
        <v>1738</v>
      </c>
      <c r="CV501" s="230" t="s">
        <v>1378</v>
      </c>
    </row>
    <row r="502" spans="1:100" ht="15.6" x14ac:dyDescent="0.25">
      <c r="A502" s="2" t="s">
        <v>1012</v>
      </c>
      <c r="B502" s="215" t="s">
        <v>793</v>
      </c>
      <c r="C502" s="2" t="s">
        <v>1013</v>
      </c>
      <c r="D502" s="23">
        <v>2.8448000000000004E-4</v>
      </c>
      <c r="M502" s="233" t="s">
        <v>1849</v>
      </c>
      <c r="BC502" s="7">
        <v>3.5560000000000001E-3</v>
      </c>
      <c r="BD502" s="234" t="s">
        <v>2105</v>
      </c>
      <c r="BS502" s="233"/>
      <c r="CB502" s="7">
        <v>2.2758399999999999E-3</v>
      </c>
      <c r="CQ502" s="18" t="s">
        <v>35</v>
      </c>
      <c r="CR502" s="233" t="s">
        <v>2186</v>
      </c>
      <c r="CU502" s="230" t="s">
        <v>1738</v>
      </c>
      <c r="CV502" s="230" t="s">
        <v>1378</v>
      </c>
    </row>
    <row r="503" spans="1:100" ht="15.6" x14ac:dyDescent="0.25">
      <c r="A503" s="21" t="s">
        <v>1429</v>
      </c>
      <c r="B503" s="45" t="s">
        <v>794</v>
      </c>
      <c r="C503" s="2" t="s">
        <v>1430</v>
      </c>
      <c r="N503" s="21"/>
      <c r="O503" s="21"/>
      <c r="BA503" s="5">
        <v>79.984832377313282</v>
      </c>
      <c r="BB503" s="234" t="s">
        <v>2104</v>
      </c>
      <c r="CA503" s="50">
        <v>55.989382664119297</v>
      </c>
      <c r="CQ503" s="127" t="s">
        <v>35</v>
      </c>
      <c r="CU503" s="230" t="s">
        <v>1738</v>
      </c>
      <c r="CV503" s="230" t="s">
        <v>1377</v>
      </c>
    </row>
    <row r="504" spans="1:100" ht="15.6" x14ac:dyDescent="0.25">
      <c r="A504" s="21" t="s">
        <v>1514</v>
      </c>
      <c r="B504" s="45" t="s">
        <v>794</v>
      </c>
      <c r="C504" s="2" t="s">
        <v>1430</v>
      </c>
      <c r="N504" s="21"/>
      <c r="O504" s="21"/>
      <c r="BA504" s="5">
        <v>21.712458414910362</v>
      </c>
      <c r="BB504" s="234" t="s">
        <v>2104</v>
      </c>
      <c r="CA504" s="50">
        <v>15.198720890437253</v>
      </c>
      <c r="CQ504" s="127" t="s">
        <v>35</v>
      </c>
      <c r="CU504" s="230" t="s">
        <v>1738</v>
      </c>
      <c r="CV504" s="230" t="s">
        <v>1377</v>
      </c>
    </row>
    <row r="505" spans="1:100" ht="15.6" x14ac:dyDescent="0.25">
      <c r="A505" s="21" t="s">
        <v>1032</v>
      </c>
      <c r="B505" s="44" t="s">
        <v>792</v>
      </c>
      <c r="C505" s="21" t="s">
        <v>1033</v>
      </c>
      <c r="D505" s="125">
        <v>1126.2564312433992</v>
      </c>
      <c r="N505" s="21"/>
      <c r="O505" s="21"/>
      <c r="BG505" s="125">
        <v>1126.2564312433992</v>
      </c>
      <c r="BH505" s="234" t="s">
        <v>2154</v>
      </c>
      <c r="BZ505" s="125">
        <v>1126.2564312433992</v>
      </c>
      <c r="CQ505" s="18" t="s">
        <v>35</v>
      </c>
      <c r="CU505" s="230" t="s">
        <v>1729</v>
      </c>
      <c r="CV505" s="230" t="s">
        <v>1374</v>
      </c>
    </row>
    <row r="506" spans="1:100" ht="15.6" x14ac:dyDescent="0.25">
      <c r="A506" s="21" t="s">
        <v>1034</v>
      </c>
      <c r="B506" s="44" t="s">
        <v>792</v>
      </c>
      <c r="C506" s="21" t="s">
        <v>111</v>
      </c>
      <c r="D506" s="50">
        <v>540.68899999999996</v>
      </c>
      <c r="N506" s="21"/>
      <c r="O506" s="21"/>
      <c r="BG506" s="50">
        <v>540.68899999999996</v>
      </c>
      <c r="BZ506" s="50">
        <v>540.68899999999996</v>
      </c>
      <c r="CQ506" s="18" t="s">
        <v>35</v>
      </c>
      <c r="CU506" s="230" t="s">
        <v>1729</v>
      </c>
      <c r="CV506" s="230" t="s">
        <v>1374</v>
      </c>
    </row>
    <row r="507" spans="1:100" x14ac:dyDescent="0.25">
      <c r="A507" s="21" t="s">
        <v>1035</v>
      </c>
      <c r="B507" s="44" t="s">
        <v>792</v>
      </c>
      <c r="C507" s="21" t="s">
        <v>1036</v>
      </c>
      <c r="D507" s="50">
        <v>80.126000000000005</v>
      </c>
      <c r="N507" s="21"/>
      <c r="O507" s="21"/>
      <c r="BG507" s="50">
        <v>80.126000000000005</v>
      </c>
      <c r="BZ507" s="50">
        <v>80.126000000000005</v>
      </c>
      <c r="CQ507" s="18" t="s">
        <v>35</v>
      </c>
      <c r="CU507" s="230" t="s">
        <v>1730</v>
      </c>
      <c r="CV507" s="230" t="s">
        <v>1374</v>
      </c>
    </row>
    <row r="508" spans="1:100" ht="15.6" x14ac:dyDescent="0.25">
      <c r="A508" s="21" t="s">
        <v>1037</v>
      </c>
      <c r="B508" s="44" t="s">
        <v>792</v>
      </c>
      <c r="C508" s="21" t="s">
        <v>993</v>
      </c>
      <c r="D508" s="50">
        <v>533.04700000000003</v>
      </c>
      <c r="N508" s="21"/>
      <c r="O508" s="21"/>
      <c r="BG508" s="50">
        <v>533.04700000000003</v>
      </c>
      <c r="BZ508" s="50">
        <v>533.04700000000003</v>
      </c>
      <c r="CQ508" s="18" t="s">
        <v>35</v>
      </c>
      <c r="CU508" s="230" t="s">
        <v>1729</v>
      </c>
      <c r="CV508" s="230" t="s">
        <v>1374</v>
      </c>
    </row>
    <row r="509" spans="1:100" x14ac:dyDescent="0.25">
      <c r="A509" s="21" t="s">
        <v>1038</v>
      </c>
      <c r="B509" s="44" t="s">
        <v>792</v>
      </c>
      <c r="C509" s="21" t="s">
        <v>1039</v>
      </c>
      <c r="D509" s="3">
        <v>4.8268707119999997E-2</v>
      </c>
      <c r="N509" s="21"/>
      <c r="O509" s="21"/>
      <c r="BG509" s="3">
        <v>4.8268707119999997E-2</v>
      </c>
      <c r="BH509" s="4">
        <v>48.910922808242809</v>
      </c>
      <c r="BZ509" s="3">
        <v>4.8268707119999997E-2</v>
      </c>
      <c r="CQ509" s="18" t="s">
        <v>35</v>
      </c>
      <c r="CU509" s="230" t="s">
        <v>1738</v>
      </c>
      <c r="CV509" s="230" t="s">
        <v>1374</v>
      </c>
    </row>
    <row r="510" spans="1:100" x14ac:dyDescent="0.25">
      <c r="A510" s="21" t="s">
        <v>1040</v>
      </c>
      <c r="B510" s="44" t="s">
        <v>792</v>
      </c>
      <c r="C510" s="21" t="s">
        <v>1041</v>
      </c>
      <c r="D510" s="50">
        <v>28.327220029999999</v>
      </c>
      <c r="N510" s="21"/>
      <c r="O510" s="21"/>
      <c r="BG510" s="50">
        <v>28.327220029999999</v>
      </c>
      <c r="BH510" s="4">
        <v>62.602326354842802</v>
      </c>
      <c r="BZ510" s="50">
        <v>28.327220029999999</v>
      </c>
      <c r="CQ510" s="18" t="s">
        <v>35</v>
      </c>
      <c r="CU510" s="230" t="s">
        <v>1730</v>
      </c>
      <c r="CV510" s="230" t="s">
        <v>1374</v>
      </c>
    </row>
    <row r="511" spans="1:100" x14ac:dyDescent="0.25">
      <c r="A511" s="21" t="s">
        <v>1042</v>
      </c>
      <c r="B511" s="44" t="s">
        <v>792</v>
      </c>
      <c r="C511" s="21" t="s">
        <v>1043</v>
      </c>
      <c r="D511" s="50">
        <v>22.257752996799997</v>
      </c>
      <c r="N511" s="21"/>
      <c r="O511" s="21"/>
      <c r="BG511" s="50">
        <v>22.257752996799997</v>
      </c>
      <c r="BH511" s="4">
        <v>63.406762965517174</v>
      </c>
      <c r="BZ511" s="50">
        <v>22.257752996799997</v>
      </c>
      <c r="CQ511" s="18" t="s">
        <v>35</v>
      </c>
      <c r="CU511" s="230" t="s">
        <v>1730</v>
      </c>
      <c r="CV511" s="230" t="s">
        <v>1374</v>
      </c>
    </row>
    <row r="512" spans="1:100" x14ac:dyDescent="0.25">
      <c r="A512" s="2" t="s">
        <v>1044</v>
      </c>
      <c r="B512" s="44" t="s">
        <v>792</v>
      </c>
      <c r="C512" s="2" t="s">
        <v>1047</v>
      </c>
      <c r="D512" s="5">
        <v>26.444613068319232</v>
      </c>
      <c r="N512" s="21"/>
      <c r="O512" s="21"/>
      <c r="BG512" s="5">
        <v>26.444613068319232</v>
      </c>
      <c r="BH512" s="4">
        <v>62.55433690413453</v>
      </c>
      <c r="BZ512" s="5">
        <v>26.444613068319232</v>
      </c>
      <c r="CQ512" s="18" t="s">
        <v>35</v>
      </c>
      <c r="CU512" s="230" t="s">
        <v>1730</v>
      </c>
      <c r="CV512" s="230" t="s">
        <v>1374</v>
      </c>
    </row>
    <row r="513" spans="1:100" ht="15.6" x14ac:dyDescent="0.25">
      <c r="A513" s="2" t="s">
        <v>1063</v>
      </c>
      <c r="B513" s="44" t="s">
        <v>792</v>
      </c>
      <c r="C513" s="2" t="s">
        <v>1064</v>
      </c>
      <c r="D513" s="5">
        <v>179.001227</v>
      </c>
      <c r="N513" s="21"/>
      <c r="O513" s="21"/>
      <c r="BG513" s="5">
        <v>179.001227</v>
      </c>
      <c r="BZ513" s="5">
        <v>179.001227</v>
      </c>
      <c r="CQ513" s="30">
        <v>3.6727011999999997</v>
      </c>
      <c r="CS513" s="233" t="s">
        <v>2177</v>
      </c>
      <c r="CU513" s="230" t="s">
        <v>1729</v>
      </c>
      <c r="CV513" s="230" t="s">
        <v>1374</v>
      </c>
    </row>
    <row r="514" spans="1:100" x14ac:dyDescent="0.25">
      <c r="A514" s="2" t="s">
        <v>1045</v>
      </c>
      <c r="B514" s="44" t="s">
        <v>792</v>
      </c>
      <c r="C514" s="2" t="s">
        <v>1046</v>
      </c>
      <c r="D514" s="4">
        <v>5.2250009817600009</v>
      </c>
      <c r="N514" s="21"/>
      <c r="O514" s="21"/>
      <c r="BG514" s="4">
        <v>5.2250009817600009</v>
      </c>
      <c r="BH514" s="4">
        <v>60.083262055428705</v>
      </c>
      <c r="BZ514" s="4">
        <v>5.2250009817600009</v>
      </c>
      <c r="CQ514" s="18" t="s">
        <v>35</v>
      </c>
      <c r="CU514" s="230" t="s">
        <v>1738</v>
      </c>
      <c r="CV514" s="230" t="s">
        <v>1374</v>
      </c>
    </row>
    <row r="515" spans="1:100" ht="15.6" x14ac:dyDescent="0.25">
      <c r="A515" s="2" t="s">
        <v>1050</v>
      </c>
      <c r="B515" s="44" t="s">
        <v>792</v>
      </c>
      <c r="C515" s="2">
        <v>2021</v>
      </c>
      <c r="D515" s="233" t="s">
        <v>1910</v>
      </c>
      <c r="N515" s="21"/>
      <c r="O515" s="21"/>
      <c r="BG515" s="233" t="s">
        <v>1910</v>
      </c>
      <c r="BS515" s="233"/>
      <c r="BZ515" s="4">
        <v>0.35435</v>
      </c>
      <c r="CQ515" s="30">
        <v>4.4697500000000003</v>
      </c>
      <c r="CR515" s="233" t="s">
        <v>2183</v>
      </c>
      <c r="CS515" s="233" t="s">
        <v>2177</v>
      </c>
      <c r="CU515" s="230" t="s">
        <v>1730</v>
      </c>
      <c r="CV515" s="230" t="s">
        <v>1374</v>
      </c>
    </row>
    <row r="516" spans="1:100" ht="15.6" x14ac:dyDescent="0.25">
      <c r="A516" s="2" t="s">
        <v>1049</v>
      </c>
      <c r="B516" s="44" t="s">
        <v>792</v>
      </c>
      <c r="C516" s="2" t="s">
        <v>1048</v>
      </c>
      <c r="D516" s="233" t="s">
        <v>1909</v>
      </c>
      <c r="N516" s="21"/>
      <c r="O516" s="21"/>
      <c r="BG516" s="233" t="s">
        <v>1909</v>
      </c>
      <c r="BS516" s="233"/>
      <c r="BZ516" s="5">
        <v>27.956600000000002</v>
      </c>
      <c r="CQ516" s="30">
        <v>15.67299</v>
      </c>
      <c r="CR516" s="233" t="s">
        <v>2183</v>
      </c>
      <c r="CS516" s="233" t="s">
        <v>2177</v>
      </c>
      <c r="CU516" s="230" t="s">
        <v>1730</v>
      </c>
      <c r="CV516" s="230" t="s">
        <v>1374</v>
      </c>
    </row>
    <row r="517" spans="1:100" ht="15.6" x14ac:dyDescent="0.25">
      <c r="A517" s="2" t="s">
        <v>1051</v>
      </c>
      <c r="B517" s="44" t="s">
        <v>792</v>
      </c>
      <c r="C517" s="2" t="s">
        <v>1052</v>
      </c>
      <c r="D517" s="233" t="s">
        <v>1908</v>
      </c>
      <c r="N517" s="21"/>
      <c r="O517" s="21"/>
      <c r="BG517" s="233" t="s">
        <v>1908</v>
      </c>
      <c r="BS517" s="233"/>
      <c r="BZ517" s="5">
        <v>24.564142400000001</v>
      </c>
      <c r="CQ517" s="15">
        <v>181.10300559999999</v>
      </c>
      <c r="CR517" s="233" t="s">
        <v>2183</v>
      </c>
      <c r="CS517" s="233" t="s">
        <v>2177</v>
      </c>
      <c r="CU517" s="230" t="s">
        <v>1730</v>
      </c>
      <c r="CV517" s="230" t="s">
        <v>1374</v>
      </c>
    </row>
    <row r="518" spans="1:100" ht="15.6" x14ac:dyDescent="0.25">
      <c r="A518" s="2" t="s">
        <v>1403</v>
      </c>
      <c r="B518" s="44" t="s">
        <v>792</v>
      </c>
      <c r="C518" s="2" t="s">
        <v>312</v>
      </c>
      <c r="D518" s="233" t="s">
        <v>1907</v>
      </c>
      <c r="N518" s="21"/>
      <c r="O518" s="21"/>
      <c r="BG518" s="233" t="s">
        <v>2155</v>
      </c>
      <c r="BS518" s="233"/>
      <c r="BZ518" s="5">
        <v>114.1425</v>
      </c>
      <c r="CQ518" s="127" t="s">
        <v>35</v>
      </c>
      <c r="CR518" s="233" t="s">
        <v>2183</v>
      </c>
      <c r="CU518" s="230" t="s">
        <v>1729</v>
      </c>
      <c r="CV518" s="230" t="s">
        <v>1374</v>
      </c>
    </row>
    <row r="519" spans="1:100" x14ac:dyDescent="0.25">
      <c r="A519" s="2" t="s">
        <v>1055</v>
      </c>
      <c r="B519" s="44" t="s">
        <v>792</v>
      </c>
      <c r="C519" s="2" t="s">
        <v>1056</v>
      </c>
      <c r="D519" s="5">
        <v>27.303658117999998</v>
      </c>
      <c r="N519" s="21"/>
      <c r="O519" s="21"/>
      <c r="BG519" s="5">
        <v>27.303658117999998</v>
      </c>
      <c r="BH519" s="4">
        <v>65.057990631381998</v>
      </c>
      <c r="BS519" s="233"/>
      <c r="BZ519" s="5">
        <v>27.303658117999998</v>
      </c>
      <c r="CQ519" s="18" t="s">
        <v>35</v>
      </c>
      <c r="CU519" s="230" t="s">
        <v>1730</v>
      </c>
      <c r="CV519" s="230" t="s">
        <v>1374</v>
      </c>
    </row>
    <row r="520" spans="1:100" x14ac:dyDescent="0.25">
      <c r="A520" s="2" t="s">
        <v>1054</v>
      </c>
      <c r="B520" s="44" t="s">
        <v>792</v>
      </c>
      <c r="C520" s="2" t="s">
        <v>1057</v>
      </c>
      <c r="D520" s="5">
        <v>35.374531763999997</v>
      </c>
      <c r="N520" s="21"/>
      <c r="O520" s="21"/>
      <c r="BG520" s="5">
        <v>35.374531763999997</v>
      </c>
      <c r="BH520" s="4">
        <v>66.636472040437113</v>
      </c>
      <c r="BS520" s="233"/>
      <c r="BZ520" s="5">
        <v>35.374531763999997</v>
      </c>
      <c r="CQ520" s="18" t="s">
        <v>35</v>
      </c>
      <c r="CU520" s="230" t="s">
        <v>1730</v>
      </c>
      <c r="CV520" s="230" t="s">
        <v>1374</v>
      </c>
    </row>
    <row r="521" spans="1:100" x14ac:dyDescent="0.25">
      <c r="A521" s="2" t="s">
        <v>1059</v>
      </c>
      <c r="B521" s="44" t="s">
        <v>792</v>
      </c>
      <c r="C521" s="2" t="s">
        <v>1058</v>
      </c>
      <c r="D521" s="5">
        <v>33.396251999999997</v>
      </c>
      <c r="N521" s="21"/>
      <c r="O521" s="21"/>
      <c r="BG521" s="5">
        <v>33.396251999999997</v>
      </c>
      <c r="BH521" s="4">
        <v>65.577416080912315</v>
      </c>
      <c r="BS521" s="233"/>
      <c r="BZ521" s="5">
        <v>33.396251999999997</v>
      </c>
      <c r="CQ521" s="18" t="s">
        <v>35</v>
      </c>
      <c r="CU521" s="230" t="s">
        <v>1730</v>
      </c>
      <c r="CV521" s="230" t="s">
        <v>1374</v>
      </c>
    </row>
    <row r="522" spans="1:100" ht="15.6" x14ac:dyDescent="0.25">
      <c r="A522" s="2" t="s">
        <v>1053</v>
      </c>
      <c r="B522" s="44" t="s">
        <v>792</v>
      </c>
      <c r="C522" s="2" t="s">
        <v>413</v>
      </c>
      <c r="D522" s="233" t="s">
        <v>1906</v>
      </c>
      <c r="N522" s="21"/>
      <c r="O522" s="21"/>
      <c r="BG522" s="233" t="s">
        <v>1906</v>
      </c>
      <c r="BS522" s="233"/>
      <c r="BZ522" s="5">
        <v>27.608899999999998</v>
      </c>
      <c r="CQ522" s="15">
        <v>250.34575000000001</v>
      </c>
      <c r="CR522" s="233" t="s">
        <v>2183</v>
      </c>
      <c r="CS522" s="233" t="s">
        <v>2177</v>
      </c>
      <c r="CU522" s="230" t="s">
        <v>1729</v>
      </c>
      <c r="CV522" s="230" t="s">
        <v>1374</v>
      </c>
    </row>
    <row r="523" spans="1:100" ht="15.6" x14ac:dyDescent="0.25">
      <c r="A523" s="2" t="s">
        <v>1060</v>
      </c>
      <c r="B523" s="44" t="s">
        <v>792</v>
      </c>
      <c r="C523" s="2" t="s">
        <v>1061</v>
      </c>
      <c r="D523" s="16">
        <v>3922.3459168786403</v>
      </c>
      <c r="N523" s="21"/>
      <c r="O523" s="21"/>
      <c r="BG523" s="16">
        <v>3922.3459168786403</v>
      </c>
      <c r="BH523" s="234" t="s">
        <v>2156</v>
      </c>
      <c r="BZ523" s="16">
        <v>3922.3459168786403</v>
      </c>
      <c r="CQ523" s="18" t="s">
        <v>35</v>
      </c>
      <c r="CU523" s="230" t="s">
        <v>1729</v>
      </c>
      <c r="CV523" s="230" t="s">
        <v>1374</v>
      </c>
    </row>
    <row r="524" spans="1:100" ht="15.6" x14ac:dyDescent="0.25">
      <c r="A524" s="2" t="s">
        <v>1062</v>
      </c>
      <c r="B524" s="44" t="s">
        <v>792</v>
      </c>
      <c r="C524" s="2" t="s">
        <v>122</v>
      </c>
      <c r="D524" s="5">
        <v>291.59100000000001</v>
      </c>
      <c r="N524" s="21"/>
      <c r="O524" s="21"/>
      <c r="BG524" s="5">
        <v>291.59100000000001</v>
      </c>
      <c r="BZ524" s="5">
        <v>291.59100000000001</v>
      </c>
      <c r="CQ524" s="18" t="s">
        <v>35</v>
      </c>
      <c r="CU524" s="230" t="s">
        <v>1729</v>
      </c>
      <c r="CV524" s="230" t="s">
        <v>1374</v>
      </c>
    </row>
    <row r="525" spans="1:100" ht="15.6" x14ac:dyDescent="0.25">
      <c r="A525" s="2" t="s">
        <v>1068</v>
      </c>
      <c r="B525" s="44" t="s">
        <v>792</v>
      </c>
      <c r="C525" s="2" t="s">
        <v>351</v>
      </c>
      <c r="D525" s="5">
        <v>53.167000000000002</v>
      </c>
      <c r="N525" s="21"/>
      <c r="O525" s="21"/>
      <c r="BG525" s="5">
        <v>53.167000000000002</v>
      </c>
      <c r="BZ525" s="5">
        <v>53.167000000000002</v>
      </c>
      <c r="CQ525" s="18" t="s">
        <v>35</v>
      </c>
      <c r="CU525" s="230" t="s">
        <v>1729</v>
      </c>
      <c r="CV525" s="230" t="s">
        <v>1374</v>
      </c>
    </row>
    <row r="526" spans="1:100" x14ac:dyDescent="0.25">
      <c r="A526" s="2" t="s">
        <v>1069</v>
      </c>
      <c r="B526" s="44" t="s">
        <v>792</v>
      </c>
      <c r="C526" s="2" t="s">
        <v>144</v>
      </c>
      <c r="D526" s="4">
        <v>6.5645160000000002</v>
      </c>
      <c r="N526" s="21"/>
      <c r="O526" s="21"/>
      <c r="BG526" s="4">
        <v>6.5645160000000002</v>
      </c>
      <c r="BZ526" s="4">
        <v>6.5645160000000002</v>
      </c>
      <c r="CQ526" s="18" t="s">
        <v>35</v>
      </c>
      <c r="CU526" s="230" t="s">
        <v>1730</v>
      </c>
      <c r="CV526" s="230" t="s">
        <v>1374</v>
      </c>
    </row>
    <row r="527" spans="1:100" x14ac:dyDescent="0.25">
      <c r="A527" s="2" t="s">
        <v>1070</v>
      </c>
      <c r="B527" s="44" t="s">
        <v>792</v>
      </c>
      <c r="C527" s="2" t="s">
        <v>144</v>
      </c>
      <c r="D527" s="4">
        <v>1.9670000000000001</v>
      </c>
      <c r="N527" s="21"/>
      <c r="O527" s="21"/>
      <c r="BG527" s="4">
        <v>1.9670000000000001</v>
      </c>
      <c r="BZ527" s="4">
        <v>1.9670000000000001</v>
      </c>
      <c r="CQ527" s="18" t="s">
        <v>35</v>
      </c>
      <c r="CU527" s="230" t="s">
        <v>1730</v>
      </c>
      <c r="CV527" s="230" t="s">
        <v>1374</v>
      </c>
    </row>
    <row r="528" spans="1:100" x14ac:dyDescent="0.25">
      <c r="A528" s="2" t="s">
        <v>1071</v>
      </c>
      <c r="B528" s="44" t="s">
        <v>792</v>
      </c>
      <c r="C528" s="2">
        <v>2013</v>
      </c>
      <c r="D528" s="4">
        <v>0.433</v>
      </c>
      <c r="N528" s="21"/>
      <c r="O528" s="21"/>
      <c r="BG528" s="4">
        <v>0.433</v>
      </c>
      <c r="BZ528" s="4">
        <v>0.433</v>
      </c>
      <c r="CQ528" s="18" t="s">
        <v>35</v>
      </c>
      <c r="CU528" s="230" t="s">
        <v>1730</v>
      </c>
      <c r="CV528" s="230" t="s">
        <v>1374</v>
      </c>
    </row>
    <row r="529" spans="1:100" x14ac:dyDescent="0.25">
      <c r="A529" s="2" t="s">
        <v>1072</v>
      </c>
      <c r="B529" s="44" t="s">
        <v>792</v>
      </c>
      <c r="C529" s="2" t="s">
        <v>1073</v>
      </c>
      <c r="D529" s="5">
        <v>27.853065999999998</v>
      </c>
      <c r="N529" s="21"/>
      <c r="O529" s="21"/>
      <c r="BG529" s="5">
        <v>27.853065999999998</v>
      </c>
      <c r="BZ529" s="5">
        <v>27.853065999999998</v>
      </c>
      <c r="CQ529" s="18" t="s">
        <v>35</v>
      </c>
      <c r="CU529" s="230" t="s">
        <v>1730</v>
      </c>
      <c r="CV529" s="230" t="s">
        <v>1374</v>
      </c>
    </row>
    <row r="530" spans="1:100" ht="15.6" x14ac:dyDescent="0.25">
      <c r="A530" s="2" t="s">
        <v>1083</v>
      </c>
      <c r="B530" s="44" t="s">
        <v>792</v>
      </c>
      <c r="C530" s="2" t="s">
        <v>1074</v>
      </c>
      <c r="D530" s="5">
        <v>811.23741176470605</v>
      </c>
      <c r="N530" s="21"/>
      <c r="O530" s="21"/>
      <c r="BG530" s="5">
        <v>811.23741176470605</v>
      </c>
      <c r="BZ530" s="5">
        <v>811.23741176470605</v>
      </c>
      <c r="CQ530" s="18" t="s">
        <v>35</v>
      </c>
      <c r="CU530" s="230" t="s">
        <v>1729</v>
      </c>
      <c r="CV530" s="230" t="s">
        <v>1374</v>
      </c>
    </row>
    <row r="531" spans="1:100" ht="15.6" x14ac:dyDescent="0.25">
      <c r="A531" s="2" t="s">
        <v>1075</v>
      </c>
      <c r="B531" s="44" t="s">
        <v>792</v>
      </c>
      <c r="C531" s="2" t="s">
        <v>1076</v>
      </c>
      <c r="D531" s="16">
        <v>1933.7022657025225</v>
      </c>
      <c r="N531" s="21"/>
      <c r="O531" s="21"/>
      <c r="BG531" s="16">
        <v>1933.7022657025225</v>
      </c>
      <c r="BH531" s="234" t="s">
        <v>2157</v>
      </c>
      <c r="BZ531" s="16">
        <v>1933.7022657025225</v>
      </c>
      <c r="CQ531" s="18" t="s">
        <v>35</v>
      </c>
      <c r="CU531" s="230" t="s">
        <v>1729</v>
      </c>
      <c r="CV531" s="230" t="s">
        <v>1374</v>
      </c>
    </row>
    <row r="532" spans="1:100" x14ac:dyDescent="0.25">
      <c r="A532" s="2" t="s">
        <v>1077</v>
      </c>
      <c r="B532" s="44" t="s">
        <v>792</v>
      </c>
      <c r="C532" s="2" t="s">
        <v>1078</v>
      </c>
      <c r="D532" s="5">
        <v>93.626300000000001</v>
      </c>
      <c r="N532" s="21"/>
      <c r="O532" s="21"/>
      <c r="BG532" s="5">
        <v>93.626300000000001</v>
      </c>
      <c r="BZ532" s="5">
        <v>93.626300000000001</v>
      </c>
      <c r="CQ532" s="18" t="s">
        <v>35</v>
      </c>
      <c r="CU532" s="230" t="s">
        <v>1730</v>
      </c>
      <c r="CV532" s="230" t="s">
        <v>1374</v>
      </c>
    </row>
    <row r="533" spans="1:100" ht="15.6" x14ac:dyDescent="0.25">
      <c r="A533" s="2" t="s">
        <v>1082</v>
      </c>
      <c r="B533" s="44" t="s">
        <v>792</v>
      </c>
      <c r="C533" s="2" t="s">
        <v>161</v>
      </c>
      <c r="D533" s="5">
        <v>392.63393888235294</v>
      </c>
      <c r="N533" s="21"/>
      <c r="O533" s="21"/>
      <c r="BG533" s="5">
        <v>392.63393888235294</v>
      </c>
      <c r="BZ533" s="5">
        <v>392.63393888235294</v>
      </c>
      <c r="CQ533" s="18" t="s">
        <v>35</v>
      </c>
      <c r="CU533" s="230" t="s">
        <v>1729</v>
      </c>
      <c r="CV533" s="230" t="s">
        <v>1374</v>
      </c>
    </row>
    <row r="534" spans="1:100" ht="15.6" x14ac:dyDescent="0.25">
      <c r="A534" s="2" t="s">
        <v>1079</v>
      </c>
      <c r="B534" s="44" t="s">
        <v>792</v>
      </c>
      <c r="C534" s="2" t="s">
        <v>1080</v>
      </c>
      <c r="D534" s="5">
        <v>253.36232110753411</v>
      </c>
      <c r="N534" s="21"/>
      <c r="O534" s="21"/>
      <c r="BG534" s="5">
        <v>253.36232110753411</v>
      </c>
      <c r="BH534" s="234" t="s">
        <v>2158</v>
      </c>
      <c r="BZ534" s="5">
        <v>253.36232110753411</v>
      </c>
      <c r="CQ534" s="18" t="s">
        <v>35</v>
      </c>
      <c r="CU534" s="230" t="s">
        <v>1734</v>
      </c>
      <c r="CV534" s="230" t="s">
        <v>1374</v>
      </c>
    </row>
    <row r="535" spans="1:100" ht="15.6" x14ac:dyDescent="0.25">
      <c r="A535" s="2" t="s">
        <v>1081</v>
      </c>
      <c r="B535" s="44" t="s">
        <v>792</v>
      </c>
      <c r="C535" s="2" t="s">
        <v>305</v>
      </c>
      <c r="D535" s="16">
        <v>1304.0923185882352</v>
      </c>
      <c r="N535" s="21"/>
      <c r="O535" s="21"/>
      <c r="BG535" s="16">
        <v>1304.0923185882352</v>
      </c>
      <c r="BH535" s="234" t="s">
        <v>2159</v>
      </c>
      <c r="BZ535" s="16">
        <v>1304.0923185882352</v>
      </c>
      <c r="CQ535" s="18" t="s">
        <v>35</v>
      </c>
      <c r="CU535" s="230" t="s">
        <v>1729</v>
      </c>
      <c r="CV535" s="230" t="s">
        <v>1374</v>
      </c>
    </row>
    <row r="536" spans="1:100" ht="15.6" x14ac:dyDescent="0.25">
      <c r="A536" s="2" t="s">
        <v>1084</v>
      </c>
      <c r="B536" s="44" t="s">
        <v>792</v>
      </c>
      <c r="C536" s="2" t="s">
        <v>1085</v>
      </c>
      <c r="D536" s="16">
        <v>1504.50121549</v>
      </c>
      <c r="N536" s="21"/>
      <c r="O536" s="21"/>
      <c r="BG536" s="16">
        <v>1504.50121549</v>
      </c>
      <c r="BZ536" s="16">
        <v>1504.50121549</v>
      </c>
      <c r="CQ536" s="6">
        <v>3136.8751495900001</v>
      </c>
      <c r="CU536" s="230" t="s">
        <v>1729</v>
      </c>
      <c r="CV536" s="230" t="s">
        <v>1374</v>
      </c>
    </row>
    <row r="537" spans="1:100" ht="15.6" x14ac:dyDescent="0.25">
      <c r="A537" s="2" t="s">
        <v>1086</v>
      </c>
      <c r="B537" s="44" t="s">
        <v>792</v>
      </c>
      <c r="C537" s="2" t="s">
        <v>255</v>
      </c>
      <c r="D537" s="233" t="s">
        <v>1911</v>
      </c>
      <c r="N537" s="21"/>
      <c r="O537" s="21"/>
      <c r="BG537" s="233" t="s">
        <v>1911</v>
      </c>
      <c r="BZ537" s="5">
        <v>311.65833333333336</v>
      </c>
      <c r="CQ537" s="18" t="s">
        <v>35</v>
      </c>
      <c r="CR537" s="233" t="s">
        <v>2183</v>
      </c>
      <c r="CU537" s="230" t="s">
        <v>1729</v>
      </c>
      <c r="CV537" s="230" t="s">
        <v>1374</v>
      </c>
    </row>
    <row r="538" spans="1:100" x14ac:dyDescent="0.25">
      <c r="A538" s="2" t="s">
        <v>1087</v>
      </c>
      <c r="B538" s="44" t="s">
        <v>792</v>
      </c>
      <c r="C538" s="2" t="s">
        <v>1092</v>
      </c>
      <c r="D538" s="4">
        <v>6.1575086299999997</v>
      </c>
      <c r="BG538" s="4">
        <v>6.1575086299999997</v>
      </c>
      <c r="BZ538" s="4">
        <v>6.1575086299999997</v>
      </c>
      <c r="CQ538" s="18" t="s">
        <v>35</v>
      </c>
      <c r="CU538" s="230" t="s">
        <v>1730</v>
      </c>
      <c r="CV538" s="230" t="s">
        <v>1374</v>
      </c>
    </row>
    <row r="539" spans="1:100" x14ac:dyDescent="0.25">
      <c r="A539" s="2" t="s">
        <v>1088</v>
      </c>
      <c r="B539" s="44" t="s">
        <v>792</v>
      </c>
      <c r="C539" s="2" t="s">
        <v>1093</v>
      </c>
      <c r="D539" s="30">
        <v>12.275964610000001</v>
      </c>
      <c r="BG539" s="30">
        <v>12.275964610000001</v>
      </c>
      <c r="BZ539" s="30">
        <v>12.275964610000001</v>
      </c>
      <c r="CQ539" s="18" t="s">
        <v>35</v>
      </c>
      <c r="CU539" s="230" t="s">
        <v>1730</v>
      </c>
      <c r="CV539" s="230" t="s">
        <v>1374</v>
      </c>
    </row>
    <row r="540" spans="1:100" ht="15.6" x14ac:dyDescent="0.25">
      <c r="A540" s="2" t="s">
        <v>1089</v>
      </c>
      <c r="B540" s="44" t="s">
        <v>792</v>
      </c>
      <c r="C540" s="2" t="s">
        <v>1094</v>
      </c>
      <c r="D540" s="30">
        <v>21.991465860000002</v>
      </c>
      <c r="BG540" s="30">
        <v>21.991465860000002</v>
      </c>
      <c r="BZ540" s="30">
        <v>21.991465860000002</v>
      </c>
      <c r="CQ540" s="18" t="s">
        <v>35</v>
      </c>
      <c r="CU540" s="230" t="s">
        <v>1729</v>
      </c>
      <c r="CV540" s="230" t="s">
        <v>1374</v>
      </c>
    </row>
    <row r="541" spans="1:100" x14ac:dyDescent="0.25">
      <c r="A541" s="2" t="s">
        <v>1091</v>
      </c>
      <c r="B541" s="44" t="s">
        <v>792</v>
      </c>
      <c r="C541" s="2" t="s">
        <v>1095</v>
      </c>
      <c r="D541" s="30">
        <v>31.7066932</v>
      </c>
      <c r="BG541" s="30">
        <v>31.7066932</v>
      </c>
      <c r="BZ541" s="30">
        <v>31.7066932</v>
      </c>
      <c r="CQ541" s="18" t="s">
        <v>35</v>
      </c>
      <c r="CU541" s="230" t="s">
        <v>1730</v>
      </c>
      <c r="CV541" s="230" t="s">
        <v>1374</v>
      </c>
    </row>
    <row r="542" spans="1:100" x14ac:dyDescent="0.25">
      <c r="A542" s="2" t="s">
        <v>1090</v>
      </c>
      <c r="B542" s="44" t="s">
        <v>792</v>
      </c>
      <c r="C542" s="2" t="s">
        <v>144</v>
      </c>
      <c r="D542" s="31">
        <v>2.2399340600000004</v>
      </c>
      <c r="BG542" s="31">
        <v>2.2399340600000004</v>
      </c>
      <c r="BZ542" s="31">
        <v>2.2399340600000004</v>
      </c>
      <c r="CQ542" s="18" t="s">
        <v>35</v>
      </c>
      <c r="CU542" s="230" t="s">
        <v>1730</v>
      </c>
      <c r="CV542" s="230" t="s">
        <v>1374</v>
      </c>
    </row>
    <row r="543" spans="1:100" ht="15.6" x14ac:dyDescent="0.25">
      <c r="A543" s="2" t="s">
        <v>1096</v>
      </c>
      <c r="B543" s="44" t="s">
        <v>792</v>
      </c>
      <c r="C543" s="2" t="s">
        <v>1097</v>
      </c>
      <c r="D543" s="233" t="s">
        <v>1912</v>
      </c>
      <c r="BG543" s="233" t="s">
        <v>1912</v>
      </c>
      <c r="BZ543" s="233">
        <v>6</v>
      </c>
      <c r="CQ543" s="18" t="s">
        <v>35</v>
      </c>
      <c r="CR543" s="233" t="s">
        <v>2183</v>
      </c>
      <c r="CU543" s="230" t="s">
        <v>1730</v>
      </c>
      <c r="CV543" s="230" t="s">
        <v>1374</v>
      </c>
    </row>
    <row r="544" spans="1:100" ht="15.6" x14ac:dyDescent="0.25">
      <c r="A544" s="2" t="s">
        <v>1132</v>
      </c>
      <c r="B544" s="216" t="s">
        <v>797</v>
      </c>
      <c r="C544" s="2" t="s">
        <v>1134</v>
      </c>
      <c r="D544" s="233" t="s">
        <v>1913</v>
      </c>
      <c r="BG544" s="233" t="s">
        <v>1913</v>
      </c>
      <c r="BH544" s="233" t="s">
        <v>2160</v>
      </c>
      <c r="BZ544" s="5">
        <v>21.719346288000004</v>
      </c>
      <c r="CQ544" s="18" t="s">
        <v>35</v>
      </c>
      <c r="CR544" s="233" t="s">
        <v>2183</v>
      </c>
      <c r="CU544" s="230" t="s">
        <v>1730</v>
      </c>
      <c r="CV544" s="230" t="s">
        <v>1374</v>
      </c>
    </row>
    <row r="545" spans="1:100" ht="15.6" x14ac:dyDescent="0.25">
      <c r="A545" s="2" t="s">
        <v>1133</v>
      </c>
      <c r="B545" s="216" t="s">
        <v>797</v>
      </c>
      <c r="C545" s="2" t="s">
        <v>1135</v>
      </c>
      <c r="D545" s="233" t="s">
        <v>1914</v>
      </c>
      <c r="BG545" s="233" t="s">
        <v>1914</v>
      </c>
      <c r="BZ545" s="5">
        <v>3.9878</v>
      </c>
      <c r="CQ545" s="18" t="s">
        <v>35</v>
      </c>
      <c r="CR545" s="233" t="s">
        <v>2183</v>
      </c>
      <c r="CU545" s="230" t="s">
        <v>1729</v>
      </c>
      <c r="CV545" s="230" t="s">
        <v>1374</v>
      </c>
    </row>
    <row r="546" spans="1:100" ht="15.6" x14ac:dyDescent="0.25">
      <c r="A546" s="2" t="s">
        <v>1065</v>
      </c>
      <c r="B546" s="216" t="s">
        <v>797</v>
      </c>
      <c r="C546" s="2" t="s">
        <v>1100</v>
      </c>
      <c r="BK546" s="6">
        <v>131907.81696266701</v>
      </c>
      <c r="CD546" s="16">
        <v>131.907816962667</v>
      </c>
      <c r="CQ546" s="18" t="s">
        <v>35</v>
      </c>
      <c r="CU546" s="230" t="s">
        <v>1729</v>
      </c>
      <c r="CV546" s="230" t="s">
        <v>1387</v>
      </c>
    </row>
    <row r="547" spans="1:100" ht="15.6" x14ac:dyDescent="0.25">
      <c r="A547" s="2" t="s">
        <v>1066</v>
      </c>
      <c r="B547" s="44" t="s">
        <v>792</v>
      </c>
      <c r="C547" s="2" t="s">
        <v>30</v>
      </c>
      <c r="D547" s="233" t="s">
        <v>1915</v>
      </c>
      <c r="P547" s="233" t="s">
        <v>1916</v>
      </c>
      <c r="Q547" s="2" t="s">
        <v>1098</v>
      </c>
      <c r="BK547" s="234" t="s">
        <v>2161</v>
      </c>
      <c r="BQ547" s="234" t="s">
        <v>2164</v>
      </c>
      <c r="BR547" s="2" t="s">
        <v>1098</v>
      </c>
      <c r="CD547" s="16">
        <v>15.996612365000001</v>
      </c>
      <c r="CQ547" s="30">
        <v>131.53731383780701</v>
      </c>
      <c r="CR547" s="233" t="s">
        <v>2188</v>
      </c>
      <c r="CS547" s="233" t="s">
        <v>2177</v>
      </c>
      <c r="CU547" s="230" t="s">
        <v>1729</v>
      </c>
      <c r="CV547" s="230" t="s">
        <v>1387</v>
      </c>
    </row>
    <row r="548" spans="1:100" ht="15.6" x14ac:dyDescent="0.25">
      <c r="A548" s="2" t="s">
        <v>1067</v>
      </c>
      <c r="B548" s="216" t="s">
        <v>797</v>
      </c>
      <c r="C548" s="2" t="s">
        <v>413</v>
      </c>
      <c r="D548" s="5">
        <v>23.672861999999999</v>
      </c>
      <c r="P548" s="4">
        <v>21.388717118783529</v>
      </c>
      <c r="Q548" s="2" t="s">
        <v>1098</v>
      </c>
      <c r="BK548" s="6">
        <v>9807.8870000000006</v>
      </c>
      <c r="BQ548" s="4">
        <v>36.521427607190013</v>
      </c>
      <c r="BR548" s="2" t="s">
        <v>1098</v>
      </c>
      <c r="CD548" s="61">
        <v>9.8078869999999991</v>
      </c>
      <c r="CQ548" s="5">
        <v>240.2012976</v>
      </c>
      <c r="CU548" s="230" t="s">
        <v>1729</v>
      </c>
      <c r="CV548" s="230" t="s">
        <v>1387</v>
      </c>
    </row>
    <row r="549" spans="1:100" ht="15.6" x14ac:dyDescent="0.25">
      <c r="A549" s="2" t="s">
        <v>1099</v>
      </c>
      <c r="B549" s="44" t="s">
        <v>792</v>
      </c>
      <c r="C549" s="2" t="s">
        <v>1101</v>
      </c>
      <c r="D549" s="233" t="s">
        <v>1918</v>
      </c>
      <c r="P549" s="233" t="s">
        <v>1917</v>
      </c>
      <c r="Q549" s="2" t="s">
        <v>1102</v>
      </c>
      <c r="BK549" s="234" t="s">
        <v>2162</v>
      </c>
      <c r="BQ549" s="234" t="s">
        <v>2163</v>
      </c>
      <c r="BR549" s="2" t="s">
        <v>1401</v>
      </c>
      <c r="CL549" s="6">
        <v>3115.2487500000002</v>
      </c>
      <c r="CM549" s="2" t="s">
        <v>1103</v>
      </c>
      <c r="CQ549" s="30">
        <v>10.8378678</v>
      </c>
      <c r="CR549" s="233" t="s">
        <v>2190</v>
      </c>
      <c r="CS549" s="233" t="s">
        <v>2177</v>
      </c>
      <c r="CU549" s="230" t="s">
        <v>1730</v>
      </c>
      <c r="CV549" s="230" t="s">
        <v>1769</v>
      </c>
    </row>
    <row r="550" spans="1:100" x14ac:dyDescent="0.25">
      <c r="A550" s="2" t="s">
        <v>1153</v>
      </c>
      <c r="B550" s="44" t="s">
        <v>792</v>
      </c>
      <c r="C550" s="2" t="s">
        <v>1155</v>
      </c>
      <c r="D550" s="5">
        <v>313.69985380000003</v>
      </c>
      <c r="P550" s="61">
        <v>2.8792697437017418</v>
      </c>
      <c r="Q550" s="2" t="s">
        <v>1159</v>
      </c>
      <c r="BQ550" s="5">
        <v>903.22649765000006</v>
      </c>
      <c r="BR550" s="2" t="s">
        <v>1156</v>
      </c>
      <c r="CI550" s="5">
        <v>903.22649765000006</v>
      </c>
      <c r="CQ550" s="5">
        <v>963.34400000000005</v>
      </c>
      <c r="CU550" s="230" t="s">
        <v>1734</v>
      </c>
      <c r="CV550" s="230" t="s">
        <v>1770</v>
      </c>
    </row>
    <row r="551" spans="1:100" ht="15.6" x14ac:dyDescent="0.25">
      <c r="A551" s="2" t="s">
        <v>1154</v>
      </c>
      <c r="B551" s="216" t="s">
        <v>797</v>
      </c>
      <c r="C551" s="2" t="s">
        <v>1160</v>
      </c>
      <c r="D551" s="4">
        <v>2.5992529200000001</v>
      </c>
      <c r="P551" s="70">
        <v>0.20349795740539173</v>
      </c>
      <c r="Q551" s="2" t="s">
        <v>1159</v>
      </c>
      <c r="BQ551" s="3">
        <v>0.52894266000000001</v>
      </c>
      <c r="BR551" s="2" t="s">
        <v>1156</v>
      </c>
      <c r="CI551" s="3">
        <v>0.52894266000000001</v>
      </c>
      <c r="CQ551" s="18" t="s">
        <v>35</v>
      </c>
      <c r="CU551" s="230" t="s">
        <v>1730</v>
      </c>
      <c r="CV551" s="230" t="s">
        <v>1770</v>
      </c>
    </row>
    <row r="552" spans="1:100" ht="15.6" x14ac:dyDescent="0.25">
      <c r="A552" s="2" t="s">
        <v>1157</v>
      </c>
      <c r="B552" s="44" t="s">
        <v>792</v>
      </c>
      <c r="C552" s="2" t="s">
        <v>1161</v>
      </c>
      <c r="D552" s="5">
        <v>45.895666749999997</v>
      </c>
      <c r="P552" s="70">
        <v>5.4393754024719555E-2</v>
      </c>
      <c r="Q552" s="2" t="s">
        <v>1159</v>
      </c>
      <c r="BQ552" s="4">
        <v>2.4964376079999999</v>
      </c>
      <c r="BR552" s="2" t="s">
        <v>1156</v>
      </c>
      <c r="CI552" s="4">
        <v>2.4964376079999999</v>
      </c>
      <c r="CQ552" s="30">
        <v>38.765152999999998</v>
      </c>
      <c r="CS552" s="233" t="s">
        <v>2177</v>
      </c>
      <c r="CU552" s="230" t="s">
        <v>1730</v>
      </c>
      <c r="CV552" s="230" t="s">
        <v>1770</v>
      </c>
    </row>
    <row r="553" spans="1:100" x14ac:dyDescent="0.25">
      <c r="A553" s="2" t="s">
        <v>1158</v>
      </c>
      <c r="B553" s="44" t="s">
        <v>792</v>
      </c>
      <c r="C553" s="2" t="s">
        <v>100</v>
      </c>
      <c r="D553" s="5">
        <v>24.901040666666699</v>
      </c>
      <c r="P553" s="70">
        <v>0.28909446381638504</v>
      </c>
      <c r="Q553" s="2" t="s">
        <v>1159</v>
      </c>
      <c r="BQ553" s="4">
        <v>7.198753</v>
      </c>
      <c r="BR553" s="2" t="s">
        <v>1156</v>
      </c>
      <c r="CI553" s="4">
        <v>7.198753</v>
      </c>
      <c r="CQ553" s="18" t="s">
        <v>35</v>
      </c>
      <c r="CU553" s="230" t="s">
        <v>1734</v>
      </c>
      <c r="CV553" s="230" t="s">
        <v>1770</v>
      </c>
    </row>
    <row r="554" spans="1:100" x14ac:dyDescent="0.25">
      <c r="A554" s="2" t="s">
        <v>1162</v>
      </c>
      <c r="B554" s="44" t="s">
        <v>792</v>
      </c>
      <c r="C554" s="2" t="s">
        <v>1163</v>
      </c>
      <c r="D554" s="3">
        <v>0.41197800000000001</v>
      </c>
      <c r="P554" s="70">
        <v>0.28909446381638504</v>
      </c>
      <c r="Q554" s="2" t="s">
        <v>1159</v>
      </c>
      <c r="BQ554" s="4">
        <v>5.0568070000000001</v>
      </c>
      <c r="BR554" s="2" t="s">
        <v>1156</v>
      </c>
      <c r="CI554" s="4">
        <v>5.0568070000000001</v>
      </c>
      <c r="CQ554" s="18" t="s">
        <v>35</v>
      </c>
      <c r="CU554" s="230" t="s">
        <v>1734</v>
      </c>
      <c r="CV554" s="230" t="s">
        <v>1770</v>
      </c>
    </row>
    <row r="555" spans="1:100" ht="15.6" x14ac:dyDescent="0.25">
      <c r="A555" s="2" t="s">
        <v>1188</v>
      </c>
      <c r="B555" s="58" t="s">
        <v>1190</v>
      </c>
      <c r="C555" s="2" t="s">
        <v>1189</v>
      </c>
      <c r="P555" s="233" t="s">
        <v>1920</v>
      </c>
      <c r="Q555" s="2" t="s">
        <v>1193</v>
      </c>
      <c r="BQ555" s="234" t="s">
        <v>2165</v>
      </c>
      <c r="BR555" s="2" t="s">
        <v>1193</v>
      </c>
      <c r="CH555" s="30">
        <v>13.614739</v>
      </c>
      <c r="CI555" s="233"/>
      <c r="CQ555" s="18" t="s">
        <v>35</v>
      </c>
      <c r="CR555" s="233" t="s">
        <v>2189</v>
      </c>
      <c r="CU555" s="230" t="s">
        <v>1729</v>
      </c>
      <c r="CV555" s="230" t="s">
        <v>1771</v>
      </c>
    </row>
    <row r="556" spans="1:100" ht="15.6" x14ac:dyDescent="0.25">
      <c r="A556" s="2" t="s">
        <v>1191</v>
      </c>
      <c r="B556" s="213" t="s">
        <v>798</v>
      </c>
      <c r="C556" s="2" t="s">
        <v>1189</v>
      </c>
      <c r="P556" s="233" t="s">
        <v>1919</v>
      </c>
      <c r="Q556" s="2" t="s">
        <v>1193</v>
      </c>
      <c r="BQ556" s="234" t="s">
        <v>2166</v>
      </c>
      <c r="BR556" s="2" t="s">
        <v>1193</v>
      </c>
      <c r="CH556" s="30">
        <v>32.3280672</v>
      </c>
      <c r="CI556" s="233"/>
      <c r="CQ556" s="18" t="s">
        <v>35</v>
      </c>
      <c r="CR556" s="233" t="s">
        <v>2189</v>
      </c>
      <c r="CU556" s="230" t="s">
        <v>1729</v>
      </c>
      <c r="CV556" s="230" t="s">
        <v>1771</v>
      </c>
    </row>
    <row r="557" spans="1:100" ht="15.6" x14ac:dyDescent="0.25">
      <c r="A557" s="2" t="s">
        <v>1192</v>
      </c>
      <c r="B557" s="214" t="s">
        <v>795</v>
      </c>
      <c r="C557" s="2" t="s">
        <v>1194</v>
      </c>
      <c r="P557" s="3">
        <v>1.6270224E-2</v>
      </c>
      <c r="Q557" s="2" t="s">
        <v>1193</v>
      </c>
      <c r="BQ557" s="3">
        <v>1.6270224E-2</v>
      </c>
      <c r="BR557" s="2" t="s">
        <v>1193</v>
      </c>
      <c r="CH557" s="3">
        <v>1.6270224E-2</v>
      </c>
      <c r="CI557" s="3"/>
      <c r="CQ557" s="18" t="s">
        <v>35</v>
      </c>
      <c r="CU557" s="230" t="s">
        <v>1738</v>
      </c>
      <c r="CV557" s="230" t="s">
        <v>1771</v>
      </c>
    </row>
    <row r="558" spans="1:100" x14ac:dyDescent="0.25">
      <c r="A558" s="2" t="s">
        <v>1213</v>
      </c>
      <c r="B558" s="214" t="s">
        <v>795</v>
      </c>
      <c r="C558" s="2" t="s">
        <v>1230</v>
      </c>
      <c r="P558" s="30">
        <v>796.253323808</v>
      </c>
      <c r="Q558" s="2" t="s">
        <v>1232</v>
      </c>
      <c r="BQ558" s="30">
        <v>796.253323808</v>
      </c>
      <c r="BR558" s="2" t="s">
        <v>1232</v>
      </c>
      <c r="CE558" s="30">
        <v>796.253323808</v>
      </c>
      <c r="CQ558" s="15">
        <v>402.85530703590001</v>
      </c>
      <c r="CS558" s="233" t="s">
        <v>2177</v>
      </c>
      <c r="CU558" s="230" t="s">
        <v>1734</v>
      </c>
      <c r="CV558" s="230" t="s">
        <v>1772</v>
      </c>
    </row>
    <row r="559" spans="1:100" ht="15.6" x14ac:dyDescent="0.25">
      <c r="A559" s="2" t="s">
        <v>1214</v>
      </c>
      <c r="B559" s="214" t="s">
        <v>795</v>
      </c>
      <c r="C559" s="2" t="s">
        <v>1231</v>
      </c>
      <c r="P559" s="30">
        <v>926.44897100000003</v>
      </c>
      <c r="Q559" s="2" t="s">
        <v>1232</v>
      </c>
      <c r="BQ559" s="30">
        <v>926.44897100000003</v>
      </c>
      <c r="BR559" s="2" t="s">
        <v>1232</v>
      </c>
      <c r="CE559" s="30">
        <v>926.44897100000003</v>
      </c>
      <c r="CQ559" s="15">
        <v>382.64490362016397</v>
      </c>
      <c r="CS559" s="233" t="s">
        <v>2177</v>
      </c>
      <c r="CU559" s="230" t="s">
        <v>1729</v>
      </c>
      <c r="CV559" s="230" t="s">
        <v>1772</v>
      </c>
    </row>
    <row r="560" spans="1:100" ht="15.6" x14ac:dyDescent="0.25">
      <c r="A560" s="2" t="s">
        <v>1215</v>
      </c>
      <c r="B560" s="214" t="s">
        <v>795</v>
      </c>
      <c r="C560" s="2" t="s">
        <v>1233</v>
      </c>
      <c r="P560" s="102">
        <v>1148.85556724</v>
      </c>
      <c r="Q560" s="2" t="s">
        <v>1232</v>
      </c>
      <c r="BQ560" s="102">
        <v>1148.85556724</v>
      </c>
      <c r="BR560" s="2" t="s">
        <v>1232</v>
      </c>
      <c r="CE560" s="102">
        <v>1148.85556724</v>
      </c>
      <c r="CQ560" s="15">
        <v>704.320053495504</v>
      </c>
      <c r="CS560" s="233" t="s">
        <v>2177</v>
      </c>
      <c r="CU560" s="230" t="s">
        <v>1729</v>
      </c>
      <c r="CV560" s="230" t="s">
        <v>1772</v>
      </c>
    </row>
    <row r="561" spans="1:100" ht="15.6" x14ac:dyDescent="0.25">
      <c r="A561" s="2" t="s">
        <v>1234</v>
      </c>
      <c r="B561" s="214" t="s">
        <v>795</v>
      </c>
      <c r="C561" s="2" t="s">
        <v>1237</v>
      </c>
      <c r="P561" s="30">
        <v>11.849331952</v>
      </c>
      <c r="Q561" s="2" t="s">
        <v>1232</v>
      </c>
      <c r="BQ561" s="30">
        <v>11.849331952</v>
      </c>
      <c r="BR561" s="2" t="s">
        <v>1232</v>
      </c>
      <c r="CE561" s="30">
        <v>11.849331952</v>
      </c>
      <c r="CQ561" s="30">
        <v>11.618317261636721</v>
      </c>
      <c r="CS561" s="233" t="s">
        <v>2177</v>
      </c>
      <c r="CU561" s="230" t="s">
        <v>1729</v>
      </c>
      <c r="CV561" s="230" t="s">
        <v>1772</v>
      </c>
    </row>
    <row r="562" spans="1:100" x14ac:dyDescent="0.25">
      <c r="A562" s="2" t="s">
        <v>1235</v>
      </c>
      <c r="B562" s="214" t="s">
        <v>795</v>
      </c>
      <c r="C562" s="2" t="s">
        <v>1236</v>
      </c>
      <c r="P562" s="30">
        <v>50.161469400000001</v>
      </c>
      <c r="Q562" s="2" t="s">
        <v>1232</v>
      </c>
      <c r="BQ562" s="30">
        <v>50.161469400000001</v>
      </c>
      <c r="BR562" s="2" t="s">
        <v>1232</v>
      </c>
      <c r="CE562" s="30">
        <v>50.161469400000001</v>
      </c>
      <c r="CQ562" s="15">
        <v>164.16444413476799</v>
      </c>
      <c r="CS562" s="233" t="s">
        <v>2177</v>
      </c>
      <c r="CU562" s="230" t="s">
        <v>1734</v>
      </c>
      <c r="CV562" s="230" t="s">
        <v>1772</v>
      </c>
    </row>
    <row r="563" spans="1:100" x14ac:dyDescent="0.25">
      <c r="A563" s="2" t="s">
        <v>1238</v>
      </c>
      <c r="B563" s="214" t="s">
        <v>795</v>
      </c>
      <c r="C563" s="2" t="s">
        <v>1239</v>
      </c>
      <c r="P563" s="103">
        <v>1.434606472</v>
      </c>
      <c r="Q563" s="2" t="s">
        <v>1232</v>
      </c>
      <c r="BQ563" s="103">
        <v>1.434606472</v>
      </c>
      <c r="BR563" s="2" t="s">
        <v>1232</v>
      </c>
      <c r="CE563" s="103">
        <v>1.434606472</v>
      </c>
      <c r="CQ563" s="18" t="s">
        <v>35</v>
      </c>
      <c r="CU563" s="230" t="s">
        <v>1738</v>
      </c>
      <c r="CV563" s="230" t="s">
        <v>1772</v>
      </c>
    </row>
    <row r="564" spans="1:100" x14ac:dyDescent="0.25">
      <c r="A564" s="2" t="s">
        <v>1240</v>
      </c>
      <c r="B564" s="214" t="s">
        <v>795</v>
      </c>
      <c r="C564" s="2" t="s">
        <v>1241</v>
      </c>
      <c r="P564" s="104">
        <v>0.247381776</v>
      </c>
      <c r="Q564" s="2" t="s">
        <v>1232</v>
      </c>
      <c r="BQ564" s="104">
        <v>0.247381776</v>
      </c>
      <c r="BR564" s="2" t="s">
        <v>1232</v>
      </c>
      <c r="CE564" s="104">
        <v>0.247381776</v>
      </c>
      <c r="CQ564" s="18" t="s">
        <v>35</v>
      </c>
      <c r="CU564" s="230" t="s">
        <v>1738</v>
      </c>
      <c r="CV564" s="230" t="s">
        <v>1772</v>
      </c>
    </row>
    <row r="565" spans="1:100" ht="15.6" x14ac:dyDescent="0.25">
      <c r="A565" s="2" t="s">
        <v>1243</v>
      </c>
      <c r="B565" s="214" t="s">
        <v>795</v>
      </c>
      <c r="C565" s="2" t="s">
        <v>1247</v>
      </c>
      <c r="P565" s="103">
        <v>2.9719463039999998</v>
      </c>
      <c r="Q565" s="2" t="s">
        <v>1232</v>
      </c>
      <c r="BQ565" s="103">
        <v>2.9719463039999998</v>
      </c>
      <c r="BR565" s="2" t="s">
        <v>1232</v>
      </c>
      <c r="CE565" s="103">
        <v>2.9719463039999998</v>
      </c>
      <c r="CQ565" s="18" t="s">
        <v>35</v>
      </c>
      <c r="CU565" s="230" t="s">
        <v>1738</v>
      </c>
      <c r="CV565" s="230" t="s">
        <v>1772</v>
      </c>
    </row>
    <row r="566" spans="1:100" ht="15.6" x14ac:dyDescent="0.25">
      <c r="A566" s="2" t="s">
        <v>1242</v>
      </c>
      <c r="B566" s="214" t="s">
        <v>795</v>
      </c>
      <c r="C566" s="2" t="s">
        <v>1248</v>
      </c>
      <c r="P566" s="104">
        <v>8.7375237999999994E-2</v>
      </c>
      <c r="Q566" s="2" t="s">
        <v>1232</v>
      </c>
      <c r="BQ566" s="104">
        <v>8.7375237999999994E-2</v>
      </c>
      <c r="BR566" s="2" t="s">
        <v>1232</v>
      </c>
      <c r="CE566" s="104">
        <v>8.7375237999999994E-2</v>
      </c>
      <c r="CQ566" s="18" t="s">
        <v>35</v>
      </c>
      <c r="CU566" s="230" t="s">
        <v>1738</v>
      </c>
      <c r="CV566" s="230" t="s">
        <v>1772</v>
      </c>
    </row>
    <row r="567" spans="1:100" ht="15.6" x14ac:dyDescent="0.25">
      <c r="A567" s="2" t="s">
        <v>1249</v>
      </c>
      <c r="B567" s="214" t="s">
        <v>795</v>
      </c>
      <c r="C567" s="2" t="s">
        <v>1250</v>
      </c>
      <c r="P567" s="104">
        <v>9.0871954399999996E-2</v>
      </c>
      <c r="Q567" s="2" t="s">
        <v>1232</v>
      </c>
      <c r="BQ567" s="104">
        <v>9.0871954399999996E-2</v>
      </c>
      <c r="BR567" s="2" t="s">
        <v>1232</v>
      </c>
      <c r="CE567" s="104">
        <v>9.0871954399999996E-2</v>
      </c>
      <c r="CQ567" s="18" t="s">
        <v>35</v>
      </c>
      <c r="CU567" s="230" t="s">
        <v>1738</v>
      </c>
      <c r="CV567" s="230" t="s">
        <v>1772</v>
      </c>
    </row>
    <row r="568" spans="1:100" s="191" customFormat="1" ht="15.6" x14ac:dyDescent="0.25">
      <c r="A568" s="191" t="s">
        <v>1629</v>
      </c>
      <c r="B568" s="213" t="s">
        <v>798</v>
      </c>
      <c r="C568" s="191" t="s">
        <v>1619</v>
      </c>
      <c r="O568" s="207"/>
      <c r="BI568" s="205"/>
      <c r="BJ568" s="205"/>
      <c r="BP568" s="200"/>
      <c r="BQ568" s="30">
        <v>159.91303301999301</v>
      </c>
      <c r="BR568" s="191" t="s">
        <v>1618</v>
      </c>
      <c r="CK568" s="207"/>
      <c r="CL568" s="30">
        <v>159.91303301999301</v>
      </c>
      <c r="CM568" s="191" t="s">
        <v>1618</v>
      </c>
      <c r="CQ568" s="127" t="s">
        <v>35</v>
      </c>
      <c r="CR568" s="233"/>
      <c r="CS568" s="233"/>
      <c r="CU568" s="230" t="s">
        <v>1729</v>
      </c>
      <c r="CV568" s="230" t="s">
        <v>1773</v>
      </c>
    </row>
    <row r="569" spans="1:100" s="200" customFormat="1" ht="15.6" x14ac:dyDescent="0.25">
      <c r="A569" s="200" t="s">
        <v>1637</v>
      </c>
      <c r="B569" s="213" t="s">
        <v>798</v>
      </c>
      <c r="C569" s="200" t="s">
        <v>1638</v>
      </c>
      <c r="O569" s="207"/>
      <c r="BI569" s="205"/>
      <c r="BJ569" s="205"/>
      <c r="BQ569" s="234" t="s">
        <v>2167</v>
      </c>
      <c r="BR569" s="200" t="s">
        <v>1618</v>
      </c>
      <c r="CK569" s="207"/>
      <c r="CL569" s="30">
        <v>37.89</v>
      </c>
      <c r="CM569" s="200" t="s">
        <v>1618</v>
      </c>
      <c r="CQ569" s="127" t="s">
        <v>35</v>
      </c>
      <c r="CR569" s="233"/>
      <c r="CS569" s="233"/>
      <c r="CU569" s="230" t="s">
        <v>1748</v>
      </c>
      <c r="CV569" s="230" t="s">
        <v>1773</v>
      </c>
    </row>
    <row r="570" spans="1:100" s="191" customFormat="1" ht="15.6" x14ac:dyDescent="0.25">
      <c r="A570" s="191" t="s">
        <v>1628</v>
      </c>
      <c r="B570" s="213" t="s">
        <v>798</v>
      </c>
      <c r="C570" s="191" t="s">
        <v>438</v>
      </c>
      <c r="O570" s="207"/>
      <c r="BI570" s="205"/>
      <c r="BJ570" s="205"/>
      <c r="BQ570" s="30">
        <v>37.89</v>
      </c>
      <c r="BR570" s="191" t="s">
        <v>1618</v>
      </c>
      <c r="CK570" s="207"/>
      <c r="CL570" s="30">
        <v>37.89</v>
      </c>
      <c r="CM570" s="195" t="s">
        <v>1618</v>
      </c>
      <c r="CN570" s="195"/>
      <c r="CQ570" s="127" t="s">
        <v>35</v>
      </c>
      <c r="CR570" s="233"/>
      <c r="CS570" s="233"/>
      <c r="CU570" s="230" t="s">
        <v>1729</v>
      </c>
      <c r="CV570" s="230" t="s">
        <v>1773</v>
      </c>
    </row>
    <row r="571" spans="1:100" s="195" customFormat="1" ht="15.6" x14ac:dyDescent="0.25">
      <c r="A571" s="195" t="s">
        <v>1627</v>
      </c>
      <c r="B571" s="213" t="s">
        <v>798</v>
      </c>
      <c r="C571" s="195" t="s">
        <v>438</v>
      </c>
      <c r="D571" s="5">
        <v>762.56565002006005</v>
      </c>
      <c r="O571" s="207"/>
      <c r="BI571" s="205"/>
      <c r="BJ571" s="205"/>
      <c r="BS571" s="196"/>
      <c r="CK571" s="207"/>
      <c r="CL571" s="5">
        <v>762.56565002006005</v>
      </c>
      <c r="CM571" s="196" t="s">
        <v>1632</v>
      </c>
      <c r="CQ571" s="127" t="s">
        <v>35</v>
      </c>
      <c r="CR571" s="233"/>
      <c r="CS571" s="233"/>
      <c r="CU571" s="230" t="s">
        <v>1729</v>
      </c>
      <c r="CV571" s="230" t="s">
        <v>1773</v>
      </c>
    </row>
    <row r="572" spans="1:100" s="196" customFormat="1" ht="15.6" x14ac:dyDescent="0.25">
      <c r="A572" s="196" t="s">
        <v>1630</v>
      </c>
      <c r="B572" s="44" t="s">
        <v>792</v>
      </c>
      <c r="C572" s="196" t="s">
        <v>1631</v>
      </c>
      <c r="D572" s="16">
        <v>1488.4316287879999</v>
      </c>
      <c r="O572" s="207"/>
      <c r="BI572" s="205"/>
      <c r="BJ572" s="205"/>
      <c r="CK572" s="207"/>
      <c r="CL572" s="16">
        <v>1488.4316287879999</v>
      </c>
      <c r="CM572" s="196" t="s">
        <v>1632</v>
      </c>
      <c r="CQ572" s="127" t="s">
        <v>35</v>
      </c>
      <c r="CR572" s="233"/>
      <c r="CS572" s="233"/>
      <c r="CU572" s="230" t="s">
        <v>1729</v>
      </c>
      <c r="CV572" s="230" t="s">
        <v>1774</v>
      </c>
    </row>
    <row r="573" spans="1:100" s="195" customFormat="1" ht="15.6" x14ac:dyDescent="0.25">
      <c r="A573" s="195" t="s">
        <v>1620</v>
      </c>
      <c r="B573" s="216" t="s">
        <v>797</v>
      </c>
      <c r="C573" s="196" t="s">
        <v>1626</v>
      </c>
      <c r="D573" s="5">
        <v>318.30054489894701</v>
      </c>
      <c r="O573" s="207"/>
      <c r="BI573" s="205"/>
      <c r="BJ573" s="205"/>
      <c r="BQ573" s="234" t="s">
        <v>2168</v>
      </c>
      <c r="BR573" s="195" t="s">
        <v>1618</v>
      </c>
      <c r="BS573" s="196"/>
      <c r="CK573" s="207"/>
      <c r="CL573" s="5">
        <v>63.357332868900002</v>
      </c>
      <c r="CM573" s="196" t="s">
        <v>1618</v>
      </c>
      <c r="CQ573" s="127" t="s">
        <v>35</v>
      </c>
      <c r="CR573" s="233" t="s">
        <v>1114</v>
      </c>
      <c r="CS573" s="233"/>
      <c r="CU573" s="230" t="s">
        <v>1729</v>
      </c>
      <c r="CV573" s="230" t="s">
        <v>1775</v>
      </c>
    </row>
    <row r="574" spans="1:100" s="196" customFormat="1" ht="15.6" x14ac:dyDescent="0.25">
      <c r="A574" s="196" t="s">
        <v>1621</v>
      </c>
      <c r="B574" s="44" t="s">
        <v>792</v>
      </c>
      <c r="C574" s="196" t="s">
        <v>1625</v>
      </c>
      <c r="O574" s="207"/>
      <c r="BI574" s="205"/>
      <c r="BJ574" s="205"/>
      <c r="BP574" s="5">
        <f>SUM(BQ574:BQ577)</f>
        <v>0</v>
      </c>
      <c r="BQ574" s="234" t="s">
        <v>2169</v>
      </c>
      <c r="BR574" s="196" t="s">
        <v>1618</v>
      </c>
      <c r="CK574" s="207"/>
      <c r="CL574" s="5">
        <v>67.337988564755406</v>
      </c>
      <c r="CM574" s="196" t="s">
        <v>1618</v>
      </c>
      <c r="CQ574" s="127" t="s">
        <v>35</v>
      </c>
      <c r="CR574" s="233" t="s">
        <v>1114</v>
      </c>
      <c r="CS574" s="233"/>
      <c r="CU574" s="230" t="s">
        <v>1729</v>
      </c>
      <c r="CV574" s="230" t="s">
        <v>1773</v>
      </c>
    </row>
    <row r="575" spans="1:100" s="196" customFormat="1" ht="15.6" x14ac:dyDescent="0.25">
      <c r="A575" s="196" t="s">
        <v>1622</v>
      </c>
      <c r="B575" s="44" t="s">
        <v>792</v>
      </c>
      <c r="C575" s="196" t="s">
        <v>1231</v>
      </c>
      <c r="O575" s="207"/>
      <c r="BI575" s="205"/>
      <c r="BJ575" s="205"/>
      <c r="BQ575" s="234" t="s">
        <v>2170</v>
      </c>
      <c r="BR575" s="196" t="s">
        <v>1618</v>
      </c>
      <c r="CK575" s="207"/>
      <c r="CL575" s="5">
        <v>105.855511320221</v>
      </c>
      <c r="CM575" s="196" t="s">
        <v>1618</v>
      </c>
      <c r="CQ575" s="127" t="s">
        <v>35</v>
      </c>
      <c r="CR575" s="233" t="s">
        <v>1114</v>
      </c>
      <c r="CS575" s="233"/>
      <c r="CU575" s="230" t="s">
        <v>1729</v>
      </c>
      <c r="CV575" s="230" t="s">
        <v>1773</v>
      </c>
    </row>
    <row r="576" spans="1:100" s="196" customFormat="1" ht="15.6" x14ac:dyDescent="0.25">
      <c r="A576" s="196" t="s">
        <v>1623</v>
      </c>
      <c r="B576" s="44" t="s">
        <v>792</v>
      </c>
      <c r="C576" s="196" t="s">
        <v>1033</v>
      </c>
      <c r="O576" s="207"/>
      <c r="BI576" s="205"/>
      <c r="BJ576" s="205"/>
      <c r="BQ576" s="234" t="s">
        <v>2171</v>
      </c>
      <c r="BR576" s="196" t="s">
        <v>1618</v>
      </c>
      <c r="CK576" s="207"/>
      <c r="CL576" s="5">
        <v>142.790958842386</v>
      </c>
      <c r="CM576" s="196" t="s">
        <v>1618</v>
      </c>
      <c r="CQ576" s="127" t="s">
        <v>35</v>
      </c>
      <c r="CR576" s="233" t="s">
        <v>1114</v>
      </c>
      <c r="CS576" s="233"/>
      <c r="CU576" s="230" t="s">
        <v>1729</v>
      </c>
      <c r="CV576" s="230" t="s">
        <v>1773</v>
      </c>
    </row>
    <row r="577" spans="1:100" s="191" customFormat="1" ht="15.6" x14ac:dyDescent="0.25">
      <c r="A577" s="196" t="s">
        <v>1624</v>
      </c>
      <c r="B577" s="44" t="s">
        <v>792</v>
      </c>
      <c r="C577" s="196" t="s">
        <v>1231</v>
      </c>
      <c r="O577" s="207"/>
      <c r="BI577" s="205"/>
      <c r="BJ577" s="205"/>
      <c r="BQ577" s="234" t="s">
        <v>2172</v>
      </c>
      <c r="BR577" s="196" t="s">
        <v>1618</v>
      </c>
      <c r="BS577" s="196"/>
      <c r="CK577" s="207"/>
      <c r="CL577" s="5">
        <v>73.888043675812497</v>
      </c>
      <c r="CM577" s="196" t="s">
        <v>1618</v>
      </c>
      <c r="CQ577" s="127" t="s">
        <v>35</v>
      </c>
      <c r="CR577" s="233" t="s">
        <v>1114</v>
      </c>
      <c r="CS577" s="233"/>
      <c r="CT577" s="196"/>
      <c r="CU577" s="230" t="s">
        <v>1729</v>
      </c>
      <c r="CV577" s="230" t="s">
        <v>1773</v>
      </c>
    </row>
    <row r="578" spans="1:100" x14ac:dyDescent="0.25">
      <c r="A578" s="2" t="s">
        <v>1216</v>
      </c>
      <c r="B578" s="213" t="s">
        <v>798</v>
      </c>
      <c r="C578" s="2" t="s">
        <v>1217</v>
      </c>
      <c r="BS578" s="196"/>
      <c r="BU578" s="4">
        <v>1.8096299999999998</v>
      </c>
      <c r="CQ578" s="18" t="s">
        <v>35</v>
      </c>
      <c r="CU578" s="230" t="s">
        <v>1730</v>
      </c>
      <c r="CV578" s="230" t="s">
        <v>1369</v>
      </c>
    </row>
    <row r="579" spans="1:100" ht="15.6" x14ac:dyDescent="0.25">
      <c r="A579" s="2" t="s">
        <v>1245</v>
      </c>
      <c r="B579" s="214" t="s">
        <v>795</v>
      </c>
      <c r="C579" s="2" t="s">
        <v>1253</v>
      </c>
      <c r="BQ579" s="3">
        <v>0.96704044279999968</v>
      </c>
      <c r="CF579" s="3">
        <v>0.96704044279999968</v>
      </c>
      <c r="CG579" s="3"/>
      <c r="CQ579" s="18" t="s">
        <v>35</v>
      </c>
      <c r="CU579" s="230" t="s">
        <v>1738</v>
      </c>
      <c r="CV579" s="230" t="s">
        <v>1776</v>
      </c>
    </row>
    <row r="580" spans="1:100" x14ac:dyDescent="0.25">
      <c r="A580" s="2" t="s">
        <v>1246</v>
      </c>
      <c r="B580" s="45" t="s">
        <v>794</v>
      </c>
      <c r="C580" s="2" t="s">
        <v>1254</v>
      </c>
      <c r="BQ580" s="7">
        <v>9.6721000000000012E-3</v>
      </c>
      <c r="CF580" s="7">
        <v>9.6721000000000012E-3</v>
      </c>
      <c r="CG580" s="7"/>
      <c r="CQ580" s="18" t="s">
        <v>35</v>
      </c>
      <c r="CU580" s="230" t="s">
        <v>1738</v>
      </c>
      <c r="CV580" s="230" t="s">
        <v>1776</v>
      </c>
    </row>
    <row r="581" spans="1:100" ht="15.6" x14ac:dyDescent="0.25">
      <c r="A581" s="2" t="s">
        <v>1251</v>
      </c>
      <c r="B581" s="217" t="s">
        <v>796</v>
      </c>
      <c r="C581" s="2" t="s">
        <v>1252</v>
      </c>
      <c r="BQ581" s="3">
        <v>0.65981760000000023</v>
      </c>
      <c r="CF581" s="3">
        <v>0.65981760000000023</v>
      </c>
      <c r="CG581" s="3"/>
      <c r="CQ581" s="18" t="s">
        <v>35</v>
      </c>
      <c r="CU581" s="230" t="s">
        <v>1738</v>
      </c>
      <c r="CV581" s="230" t="s">
        <v>1776</v>
      </c>
    </row>
    <row r="582" spans="1:100" s="204" customFormat="1" ht="15.6" x14ac:dyDescent="0.25">
      <c r="A582" s="204" t="s">
        <v>1642</v>
      </c>
      <c r="B582" s="44" t="s">
        <v>792</v>
      </c>
      <c r="C582" s="204" t="s">
        <v>214</v>
      </c>
      <c r="D582" s="4">
        <v>4.6665086000000002</v>
      </c>
      <c r="O582" s="4">
        <v>0.66339964125497364</v>
      </c>
      <c r="P582" s="207"/>
      <c r="BI582" s="5">
        <v>715.95299999999997</v>
      </c>
      <c r="BJ582" s="234" t="s">
        <v>2173</v>
      </c>
      <c r="BL582" s="205"/>
      <c r="BM582" s="205"/>
      <c r="BP582" s="205"/>
      <c r="BR582" s="205"/>
      <c r="CK582" s="30">
        <v>22.32404812067</v>
      </c>
      <c r="CQ582" s="30">
        <v>25.6750857</v>
      </c>
      <c r="CR582" s="233"/>
      <c r="CS582" s="233"/>
      <c r="CU582" s="230" t="s">
        <v>1729</v>
      </c>
      <c r="CV582" s="230" t="s">
        <v>1692</v>
      </c>
    </row>
    <row r="583" spans="1:100" s="204" customFormat="1" ht="13.2" customHeight="1" x14ac:dyDescent="0.25">
      <c r="A583" s="204" t="s">
        <v>1644</v>
      </c>
      <c r="B583" s="44" t="s">
        <v>792</v>
      </c>
      <c r="C583" s="204" t="s">
        <v>1648</v>
      </c>
      <c r="D583" s="4">
        <v>2.7996335289473699</v>
      </c>
      <c r="O583" s="4">
        <v>0.54611082939831546</v>
      </c>
      <c r="P583" s="207"/>
      <c r="BI583" s="5">
        <v>333.71857199999999</v>
      </c>
      <c r="BJ583" s="234" t="s">
        <v>2065</v>
      </c>
      <c r="BL583" s="205"/>
      <c r="BM583" s="205"/>
      <c r="BP583" s="205"/>
      <c r="BR583" s="205"/>
      <c r="CK583" s="31">
        <v>9.1451890189390195</v>
      </c>
      <c r="CQ583" s="30">
        <v>13.63994267</v>
      </c>
      <c r="CR583" s="233"/>
      <c r="CS583" s="233"/>
      <c r="CU583" s="230" t="s">
        <v>1730</v>
      </c>
      <c r="CV583" s="230" t="s">
        <v>1692</v>
      </c>
    </row>
    <row r="584" spans="1:100" s="204" customFormat="1" ht="15.6" x14ac:dyDescent="0.25">
      <c r="A584" s="204" t="s">
        <v>1645</v>
      </c>
      <c r="B584" s="44" t="s">
        <v>792</v>
      </c>
      <c r="C584" s="204" t="s">
        <v>1646</v>
      </c>
      <c r="D584" s="4">
        <v>8.2955580500000003</v>
      </c>
      <c r="O584" s="4">
        <v>0.56152011504077359</v>
      </c>
      <c r="P584" s="207"/>
      <c r="BI584" s="5">
        <v>962.20699999999999</v>
      </c>
      <c r="BJ584" s="234" t="s">
        <v>2065</v>
      </c>
      <c r="BL584" s="205"/>
      <c r="BM584" s="205"/>
      <c r="BP584" s="205"/>
      <c r="BR584" s="205"/>
      <c r="CK584" s="30">
        <v>25.7633413986078</v>
      </c>
      <c r="CQ584" s="30">
        <v>53.693123550000003</v>
      </c>
      <c r="CR584" s="233"/>
      <c r="CS584" s="233"/>
      <c r="CU584" s="230" t="s">
        <v>1729</v>
      </c>
      <c r="CV584" s="230" t="s">
        <v>1692</v>
      </c>
    </row>
    <row r="585" spans="1:100" s="204" customFormat="1" ht="15.6" x14ac:dyDescent="0.25">
      <c r="A585" s="204" t="s">
        <v>1647</v>
      </c>
      <c r="B585" s="44" t="s">
        <v>792</v>
      </c>
      <c r="C585" s="204" t="s">
        <v>104</v>
      </c>
      <c r="D585" s="5">
        <v>12.2541026837003</v>
      </c>
      <c r="O585" s="233" t="s">
        <v>1923</v>
      </c>
      <c r="P585" s="207"/>
      <c r="BI585" s="6">
        <v>1894.808</v>
      </c>
      <c r="BJ585" s="234" t="s">
        <v>2174</v>
      </c>
      <c r="BL585" s="205"/>
      <c r="BM585" s="205"/>
      <c r="BP585" s="205"/>
      <c r="BR585" s="205"/>
      <c r="CK585" s="30">
        <v>46.723294459309599</v>
      </c>
      <c r="CQ585" s="30">
        <v>80.227576029000005</v>
      </c>
      <c r="CR585" s="233"/>
      <c r="CS585" s="233" t="s">
        <v>2177</v>
      </c>
      <c r="CU585" s="230" t="s">
        <v>1729</v>
      </c>
      <c r="CV585" s="230" t="s">
        <v>1692</v>
      </c>
    </row>
    <row r="586" spans="1:100" s="204" customFormat="1" ht="15.6" x14ac:dyDescent="0.25">
      <c r="A586" s="204" t="s">
        <v>1650</v>
      </c>
      <c r="B586" s="44" t="s">
        <v>792</v>
      </c>
      <c r="C586" s="204" t="s">
        <v>1651</v>
      </c>
      <c r="D586" s="4">
        <v>6.8920940000000002</v>
      </c>
      <c r="O586" s="233" t="s">
        <v>1809</v>
      </c>
      <c r="P586" s="207"/>
      <c r="R586" s="6">
        <v>5167.9933499999997</v>
      </c>
      <c r="W586" s="205"/>
      <c r="X586" s="234" t="s">
        <v>2009</v>
      </c>
      <c r="Y586" s="204" t="s">
        <v>1649</v>
      </c>
      <c r="BI586" s="205"/>
      <c r="BJ586" s="205"/>
      <c r="CK586" s="30">
        <v>108.045306754066</v>
      </c>
      <c r="CQ586" s="30">
        <v>9.8749825882352908</v>
      </c>
      <c r="CR586" s="233"/>
      <c r="CS586" s="233" t="s">
        <v>2177</v>
      </c>
      <c r="CU586" s="230" t="s">
        <v>1730</v>
      </c>
      <c r="CV586" s="230" t="s">
        <v>1692</v>
      </c>
    </row>
    <row r="587" spans="1:100" s="206" customFormat="1" ht="15.6" x14ac:dyDescent="0.25">
      <c r="A587" s="206" t="s">
        <v>1657</v>
      </c>
      <c r="B587" s="44" t="s">
        <v>792</v>
      </c>
      <c r="C587" s="206" t="s">
        <v>659</v>
      </c>
      <c r="D587" s="4">
        <v>1.3486689999999999</v>
      </c>
      <c r="O587" s="207"/>
      <c r="P587" s="15">
        <v>434.33329230522833</v>
      </c>
      <c r="Q587" s="206" t="s">
        <v>1660</v>
      </c>
      <c r="BQ587" s="4">
        <v>4.0972045117783997</v>
      </c>
      <c r="BR587" s="206" t="s">
        <v>1659</v>
      </c>
      <c r="CK587" s="207"/>
      <c r="CM587" s="206" t="s">
        <v>1658</v>
      </c>
      <c r="CQ587" s="31">
        <v>3.90872435</v>
      </c>
      <c r="CR587" s="233"/>
      <c r="CS587" s="233"/>
      <c r="CU587" s="230" t="s">
        <v>1730</v>
      </c>
      <c r="CV587" s="230" t="s">
        <v>1708</v>
      </c>
    </row>
    <row r="588" spans="1:100" s="206" customFormat="1" ht="15.6" x14ac:dyDescent="0.25">
      <c r="A588" s="207" t="s">
        <v>1661</v>
      </c>
      <c r="B588" s="44" t="s">
        <v>792</v>
      </c>
      <c r="C588" s="207" t="s">
        <v>175</v>
      </c>
      <c r="D588" s="4">
        <v>1.6040159</v>
      </c>
      <c r="O588" s="4">
        <v>0.38709693801593925</v>
      </c>
      <c r="P588" s="15">
        <v>270.68672869763947</v>
      </c>
      <c r="Q588" s="207" t="s">
        <v>1660</v>
      </c>
      <c r="BI588" s="5">
        <v>145.68278742039101</v>
      </c>
      <c r="BJ588" s="234" t="s">
        <v>2175</v>
      </c>
      <c r="BQ588" s="5">
        <v>851.62157577154403</v>
      </c>
      <c r="BR588" s="207" t="s">
        <v>1659</v>
      </c>
      <c r="CK588" s="31">
        <v>4.1120574640459298</v>
      </c>
      <c r="CL588" s="5">
        <v>76.451510478091265</v>
      </c>
      <c r="CM588" s="207" t="s">
        <v>1658</v>
      </c>
      <c r="CQ588" s="30">
        <v>31.86204</v>
      </c>
      <c r="CR588" s="233"/>
      <c r="CS588" s="233" t="s">
        <v>2177</v>
      </c>
      <c r="CU588" s="230" t="s">
        <v>1730</v>
      </c>
      <c r="CV588" s="230" t="s">
        <v>1777</v>
      </c>
    </row>
    <row r="589" spans="1:100" ht="15.6" x14ac:dyDescent="0.25">
      <c r="A589" s="21" t="s">
        <v>1260</v>
      </c>
      <c r="B589" s="216" t="s">
        <v>797</v>
      </c>
      <c r="C589" s="2" t="s">
        <v>1263</v>
      </c>
      <c r="D589" s="17">
        <v>0.05</v>
      </c>
      <c r="L589" s="233" t="s">
        <v>1922</v>
      </c>
      <c r="AY589" s="4">
        <v>1.2829999999999999</v>
      </c>
      <c r="AZ589" s="234" t="s">
        <v>2103</v>
      </c>
      <c r="BS589" s="206"/>
      <c r="CA589" s="4">
        <v>0.83394999999999997</v>
      </c>
      <c r="CQ589" s="18" t="s">
        <v>35</v>
      </c>
      <c r="CR589" s="233" t="s">
        <v>1377</v>
      </c>
      <c r="CU589" s="230" t="s">
        <v>1738</v>
      </c>
      <c r="CV589" s="230" t="s">
        <v>1377</v>
      </c>
    </row>
    <row r="590" spans="1:100" ht="15.6" x14ac:dyDescent="0.25">
      <c r="A590" s="21" t="s">
        <v>1261</v>
      </c>
      <c r="B590" s="216" t="s">
        <v>797</v>
      </c>
      <c r="C590" s="2" t="s">
        <v>1262</v>
      </c>
      <c r="D590" s="233" t="s">
        <v>1921</v>
      </c>
      <c r="L590" s="17">
        <v>1</v>
      </c>
      <c r="AY590" s="4">
        <v>1.5549999999999999</v>
      </c>
      <c r="AZ590" s="234" t="s">
        <v>2103</v>
      </c>
      <c r="CA590" s="5">
        <v>1.01075</v>
      </c>
      <c r="CQ590" s="18" t="s">
        <v>35</v>
      </c>
      <c r="CR590" s="233" t="s">
        <v>1377</v>
      </c>
      <c r="CU590" s="230" t="s">
        <v>1738</v>
      </c>
      <c r="CV590" s="230" t="s">
        <v>1377</v>
      </c>
    </row>
    <row r="591" spans="1:100" ht="15.6" x14ac:dyDescent="0.25">
      <c r="A591" s="2" t="s">
        <v>1331</v>
      </c>
      <c r="B591" s="217" t="s">
        <v>796</v>
      </c>
      <c r="C591" s="2" t="s">
        <v>1330</v>
      </c>
      <c r="D591" s="3">
        <v>0.1337258184</v>
      </c>
      <c r="E591" s="3">
        <v>0.1337258184</v>
      </c>
      <c r="F591" s="6">
        <v>2596.4504004413302</v>
      </c>
      <c r="H591" s="5">
        <v>22.233374997975339</v>
      </c>
      <c r="I591" s="4">
        <v>0.24961181224248996</v>
      </c>
      <c r="BS591" s="3">
        <v>0.61194366261000011</v>
      </c>
      <c r="BT591" s="5">
        <v>347.21245473402462</v>
      </c>
      <c r="BV591" s="4">
        <v>29.731762673983503</v>
      </c>
      <c r="BW591" s="3">
        <v>0.33379543874434109</v>
      </c>
      <c r="CQ591" s="119" t="s">
        <v>35</v>
      </c>
      <c r="CU591" s="230" t="s">
        <v>1738</v>
      </c>
      <c r="CV591" s="230" t="s">
        <v>1778</v>
      </c>
    </row>
    <row r="592" spans="1:100" ht="15.6" x14ac:dyDescent="0.25">
      <c r="A592" s="2" t="s">
        <v>1406</v>
      </c>
      <c r="B592" s="217" t="s">
        <v>796</v>
      </c>
      <c r="C592" s="2" t="s">
        <v>1407</v>
      </c>
      <c r="D592" s="3">
        <v>8.4615663526113702E-2</v>
      </c>
      <c r="G592" s="4">
        <v>5.5542004913198113</v>
      </c>
      <c r="BU592" s="4">
        <v>4.6997235993009303</v>
      </c>
      <c r="CQ592" s="127" t="s">
        <v>35</v>
      </c>
      <c r="CU592" s="230" t="s">
        <v>1738</v>
      </c>
      <c r="CV592" s="230" t="s">
        <v>1369</v>
      </c>
    </row>
    <row r="593" spans="1:100" ht="15.6" x14ac:dyDescent="0.25">
      <c r="A593" s="2" t="s">
        <v>1408</v>
      </c>
      <c r="B593" s="217" t="s">
        <v>796</v>
      </c>
      <c r="C593" s="2" t="s">
        <v>1410</v>
      </c>
      <c r="D593" s="3">
        <v>3.5814829733333303E-2</v>
      </c>
      <c r="E593" s="4">
        <v>2.8573685247693477</v>
      </c>
      <c r="F593" s="15">
        <v>365.75308257875747</v>
      </c>
      <c r="G593" s="4">
        <v>3.4559397914658261</v>
      </c>
      <c r="H593" s="5">
        <v>19.670324422743878</v>
      </c>
      <c r="BS593" s="3">
        <v>0.10233616719999999</v>
      </c>
      <c r="BT593" s="5">
        <v>13.099384377</v>
      </c>
      <c r="BU593" s="4">
        <v>1.2377389519999999</v>
      </c>
      <c r="BV593" s="4">
        <v>7.0448931999999997</v>
      </c>
      <c r="CQ593" s="127" t="s">
        <v>35</v>
      </c>
      <c r="CU593" s="230" t="s">
        <v>1738</v>
      </c>
      <c r="CV593" s="230" t="s">
        <v>1779</v>
      </c>
    </row>
    <row r="594" spans="1:100" ht="15.6" x14ac:dyDescent="0.25">
      <c r="A594" s="2" t="s">
        <v>1409</v>
      </c>
      <c r="B594" s="217" t="s">
        <v>796</v>
      </c>
      <c r="C594" s="2" t="s">
        <v>1407</v>
      </c>
      <c r="D594" s="3">
        <v>6.1634623999999999E-2</v>
      </c>
      <c r="E594" s="5">
        <v>16.020570374855318</v>
      </c>
      <c r="F594" s="5">
        <v>20.832867166329173</v>
      </c>
      <c r="G594" s="4">
        <v>8.8094689695177149</v>
      </c>
      <c r="BS594" s="3">
        <v>0.98742183131974703</v>
      </c>
      <c r="BT594" s="4">
        <v>1.28402593463864</v>
      </c>
      <c r="BU594" s="4">
        <v>5.4296830757589198</v>
      </c>
      <c r="CQ594" s="127" t="s">
        <v>35</v>
      </c>
      <c r="CU594" s="230" t="s">
        <v>1738</v>
      </c>
      <c r="CV594" s="230" t="s">
        <v>1732</v>
      </c>
    </row>
    <row r="596" spans="1:100" ht="13.2" customHeight="1" x14ac:dyDescent="0.25">
      <c r="AY596" s="270" t="s">
        <v>1017</v>
      </c>
      <c r="AZ596" s="270"/>
      <c r="BA596" s="267" t="s">
        <v>1018</v>
      </c>
      <c r="BB596" s="267"/>
      <c r="BC596" s="269" t="s">
        <v>978</v>
      </c>
      <c r="BD596" s="269"/>
      <c r="BE596" s="268" t="s">
        <v>1002</v>
      </c>
      <c r="BF596" s="268"/>
      <c r="BG596" s="264" t="s">
        <v>980</v>
      </c>
      <c r="BH596" s="264"/>
      <c r="BI596" s="263" t="s">
        <v>1656</v>
      </c>
      <c r="BJ596" s="263"/>
    </row>
    <row r="597" spans="1:100" x14ac:dyDescent="0.25">
      <c r="D597" s="265" t="s">
        <v>28</v>
      </c>
      <c r="E597" s="265"/>
      <c r="F597" s="265"/>
      <c r="G597" s="265"/>
      <c r="H597" s="265"/>
      <c r="I597" s="265"/>
      <c r="J597" s="265"/>
      <c r="K597" s="265"/>
      <c r="L597" s="265"/>
      <c r="M597" s="265"/>
      <c r="N597" s="265"/>
      <c r="O597" s="265"/>
      <c r="P597" s="265"/>
      <c r="Q597" s="265"/>
      <c r="R597" s="258" t="s">
        <v>283</v>
      </c>
      <c r="S597" s="258"/>
      <c r="T597" s="258"/>
      <c r="U597" s="258"/>
      <c r="V597" s="258"/>
      <c r="W597" s="258"/>
      <c r="X597" s="258"/>
      <c r="Y597" s="258"/>
      <c r="Z597" s="259" t="s">
        <v>21</v>
      </c>
      <c r="AA597" s="259"/>
      <c r="AB597" s="259"/>
      <c r="AC597" s="259"/>
      <c r="AD597" s="259"/>
      <c r="AE597" s="259"/>
      <c r="AF597" s="260" t="s">
        <v>22</v>
      </c>
      <c r="AG597" s="260"/>
      <c r="AH597" s="260"/>
      <c r="AI597" s="260"/>
      <c r="AJ597" s="260"/>
      <c r="AK597" s="260"/>
      <c r="AL597" s="261" t="s">
        <v>23</v>
      </c>
      <c r="AM597" s="261"/>
      <c r="AN597" s="261"/>
      <c r="AO597" s="261"/>
      <c r="AP597" s="261"/>
      <c r="AQ597" s="261"/>
      <c r="AR597" s="262" t="s">
        <v>24</v>
      </c>
      <c r="AS597" s="262"/>
      <c r="AT597" s="262"/>
      <c r="AU597" s="262"/>
      <c r="AV597" s="262"/>
      <c r="AW597" s="262"/>
      <c r="AX597" s="262"/>
      <c r="AY597" s="270"/>
      <c r="AZ597" s="270"/>
      <c r="BA597" s="267"/>
      <c r="BB597" s="267"/>
      <c r="BC597" s="269"/>
      <c r="BD597" s="269"/>
      <c r="BE597" s="268"/>
      <c r="BF597" s="268"/>
      <c r="BG597" s="264"/>
      <c r="BH597" s="264"/>
      <c r="BI597" s="263"/>
      <c r="BJ597" s="263"/>
      <c r="BK597" s="256" t="s">
        <v>314</v>
      </c>
      <c r="BL597" s="256"/>
      <c r="BM597" s="256"/>
      <c r="BN597" s="256"/>
      <c r="BO597" s="256"/>
      <c r="BP597" s="256"/>
      <c r="BQ597" s="256"/>
      <c r="BR597" s="256"/>
      <c r="BS597" s="257" t="s">
        <v>94</v>
      </c>
      <c r="BT597" s="257"/>
      <c r="BU597" s="257"/>
      <c r="BV597" s="257"/>
      <c r="BW597" s="257"/>
      <c r="BX597" s="257"/>
      <c r="BY597" s="257"/>
      <c r="BZ597" s="257"/>
      <c r="CA597" s="257"/>
      <c r="CB597" s="257"/>
      <c r="CC597" s="257"/>
      <c r="CD597" s="257"/>
      <c r="CE597" s="257"/>
      <c r="CF597" s="257"/>
      <c r="CG597" s="257"/>
      <c r="CH597" s="257"/>
      <c r="CI597" s="257"/>
      <c r="CJ597" s="257"/>
      <c r="CK597" s="257"/>
      <c r="CL597" s="257"/>
      <c r="CM597" s="257"/>
      <c r="CN597" s="12" t="s">
        <v>95</v>
      </c>
      <c r="CO597" s="13" t="s">
        <v>96</v>
      </c>
      <c r="CP597" s="14" t="s">
        <v>97</v>
      </c>
      <c r="CQ597" s="2" t="s">
        <v>19</v>
      </c>
    </row>
    <row r="598" spans="1:100" ht="15.6" x14ac:dyDescent="0.25">
      <c r="A598" s="266" t="s">
        <v>1671</v>
      </c>
      <c r="B598" s="266"/>
      <c r="C598" s="266"/>
      <c r="D598" s="2" t="s">
        <v>11</v>
      </c>
      <c r="E598" s="2" t="s">
        <v>1</v>
      </c>
      <c r="F598" s="2" t="s">
        <v>2</v>
      </c>
      <c r="G598" s="2" t="s">
        <v>3</v>
      </c>
      <c r="H598" s="2" t="s">
        <v>4</v>
      </c>
      <c r="I598" s="2" t="s">
        <v>5</v>
      </c>
      <c r="J598" s="2" t="s">
        <v>6</v>
      </c>
      <c r="K598" s="2" t="s">
        <v>7</v>
      </c>
      <c r="L598" s="2" t="s">
        <v>940</v>
      </c>
      <c r="M598" s="2" t="s">
        <v>959</v>
      </c>
      <c r="N598" s="2" t="s">
        <v>358</v>
      </c>
      <c r="O598" s="207" t="s">
        <v>358</v>
      </c>
      <c r="P598" s="2" t="s">
        <v>8</v>
      </c>
      <c r="Q598" s="2" t="s">
        <v>8</v>
      </c>
      <c r="R598" s="2" t="s">
        <v>12</v>
      </c>
      <c r="S598" s="2" t="s">
        <v>3</v>
      </c>
      <c r="T598" s="2" t="s">
        <v>1</v>
      </c>
      <c r="U598" s="2" t="s">
        <v>2</v>
      </c>
      <c r="V598" s="2" t="s">
        <v>4</v>
      </c>
      <c r="W598" s="2" t="s">
        <v>5</v>
      </c>
      <c r="X598" s="2" t="s">
        <v>8</v>
      </c>
      <c r="Y598" s="2" t="s">
        <v>8</v>
      </c>
      <c r="Z598" s="2" t="s">
        <v>12</v>
      </c>
      <c r="AA598" s="2" t="s">
        <v>3</v>
      </c>
      <c r="AB598" s="2" t="s">
        <v>1</v>
      </c>
      <c r="AE598" s="2" t="s">
        <v>2</v>
      </c>
      <c r="AF598" s="2" t="s">
        <v>12</v>
      </c>
      <c r="AG598" s="2" t="s">
        <v>4</v>
      </c>
      <c r="AH598" s="2" t="s">
        <v>5</v>
      </c>
      <c r="AI598" s="2" t="s">
        <v>2</v>
      </c>
      <c r="AJ598" s="2" t="s">
        <v>3</v>
      </c>
      <c r="AK598" s="2" t="s">
        <v>1</v>
      </c>
      <c r="AL598" s="2" t="s">
        <v>12</v>
      </c>
      <c r="AM598" s="2" t="s">
        <v>5</v>
      </c>
      <c r="AN598" s="2" t="s">
        <v>4</v>
      </c>
      <c r="AO598" s="2" t="s">
        <v>2</v>
      </c>
      <c r="AP598" s="2" t="s">
        <v>3</v>
      </c>
      <c r="AQ598" s="2" t="s">
        <v>1</v>
      </c>
      <c r="AR598" s="2" t="s">
        <v>12</v>
      </c>
      <c r="AS598" s="2" t="s">
        <v>6</v>
      </c>
      <c r="AT598" s="2" t="s">
        <v>3</v>
      </c>
      <c r="AU598" s="2" t="s">
        <v>7</v>
      </c>
      <c r="AV598" s="2" t="s">
        <v>749</v>
      </c>
      <c r="AW598" s="2" t="s">
        <v>1</v>
      </c>
      <c r="AX598" s="2" t="s">
        <v>2</v>
      </c>
      <c r="AY598" s="2" t="s">
        <v>135</v>
      </c>
      <c r="AZ598" s="2" t="s">
        <v>940</v>
      </c>
      <c r="BA598" s="2" t="s">
        <v>135</v>
      </c>
      <c r="BB598" s="2" t="s">
        <v>940</v>
      </c>
      <c r="BC598" s="2" t="s">
        <v>135</v>
      </c>
      <c r="BD598" s="2" t="s">
        <v>959</v>
      </c>
      <c r="BE598" s="2" t="s">
        <v>135</v>
      </c>
      <c r="BF598" s="2" t="s">
        <v>959</v>
      </c>
      <c r="BG598" s="2" t="s">
        <v>135</v>
      </c>
      <c r="BH598" s="2" t="s">
        <v>358</v>
      </c>
      <c r="BI598" s="205" t="s">
        <v>135</v>
      </c>
      <c r="BJ598" s="205" t="s">
        <v>1643</v>
      </c>
      <c r="BK598" s="2" t="s">
        <v>135</v>
      </c>
      <c r="BL598" s="2" t="s">
        <v>3</v>
      </c>
      <c r="BM598" s="2" t="s">
        <v>4</v>
      </c>
      <c r="BN598" s="2" t="s">
        <v>5</v>
      </c>
      <c r="BO598" s="2" t="s">
        <v>1</v>
      </c>
      <c r="BP598" s="2" t="s">
        <v>2</v>
      </c>
      <c r="BQ598" s="2" t="s">
        <v>8</v>
      </c>
      <c r="BR598" s="2" t="s">
        <v>8</v>
      </c>
      <c r="BS598" s="2" t="s">
        <v>27</v>
      </c>
      <c r="BT598" s="2" t="s">
        <v>98</v>
      </c>
      <c r="BU598" s="2" t="s">
        <v>14</v>
      </c>
      <c r="BV598" s="2" t="s">
        <v>15</v>
      </c>
      <c r="BW598" s="2" t="s">
        <v>16</v>
      </c>
      <c r="BX598" s="2" t="s">
        <v>17</v>
      </c>
      <c r="BY598" s="2" t="s">
        <v>18</v>
      </c>
      <c r="BZ598" s="2" t="s">
        <v>712</v>
      </c>
      <c r="CA598" s="2" t="s">
        <v>938</v>
      </c>
      <c r="CB598" s="2" t="s">
        <v>961</v>
      </c>
      <c r="CC598" s="2" t="s">
        <v>363</v>
      </c>
      <c r="CD598" s="2" t="s">
        <v>1244</v>
      </c>
      <c r="CE598" s="2" t="s">
        <v>1232</v>
      </c>
      <c r="CF598" s="2" t="s">
        <v>735</v>
      </c>
      <c r="CG598" s="2" t="s">
        <v>424</v>
      </c>
      <c r="CH598" s="2" t="s">
        <v>1193</v>
      </c>
      <c r="CI598" s="2" t="s">
        <v>1156</v>
      </c>
      <c r="CJ598" s="2" t="s">
        <v>1341</v>
      </c>
      <c r="CL598" s="2" t="s">
        <v>8</v>
      </c>
      <c r="CM598" s="2" t="s">
        <v>8</v>
      </c>
      <c r="CN598" s="14" t="s">
        <v>13</v>
      </c>
      <c r="CO598" s="14" t="s">
        <v>13</v>
      </c>
      <c r="CP598" s="14" t="s">
        <v>13</v>
      </c>
      <c r="CQ598" s="2" t="s">
        <v>20</v>
      </c>
    </row>
    <row r="599" spans="1:100" x14ac:dyDescent="0.25">
      <c r="A599" s="2" t="s">
        <v>46</v>
      </c>
      <c r="B599" s="44" t="s">
        <v>792</v>
      </c>
      <c r="C599" s="2" t="s">
        <v>47</v>
      </c>
      <c r="D599" s="5">
        <v>124.28840898941998</v>
      </c>
      <c r="E599" s="5">
        <v>10.618287411247792</v>
      </c>
      <c r="F599" s="4">
        <v>1.7399028117700688</v>
      </c>
      <c r="BS599" s="16">
        <v>1317.9359322593752</v>
      </c>
      <c r="BT599" s="5">
        <v>219.96376795205543</v>
      </c>
      <c r="CN599" s="4">
        <v>10.173050283999999</v>
      </c>
      <c r="CO599" s="3">
        <v>1.3710552269999998</v>
      </c>
      <c r="CP599" s="3">
        <v>0.99537572500000038</v>
      </c>
      <c r="CQ599" s="18" t="s">
        <v>35</v>
      </c>
    </row>
    <row r="600" spans="1:100" x14ac:dyDescent="0.25">
      <c r="A600" s="2" t="s">
        <v>38</v>
      </c>
      <c r="B600" s="44" t="s">
        <v>792</v>
      </c>
      <c r="C600" s="2" t="s">
        <v>47</v>
      </c>
      <c r="D600" s="3">
        <v>4.4357609015800001</v>
      </c>
      <c r="E600" s="5">
        <v>12.57576781794948</v>
      </c>
      <c r="F600" s="4">
        <v>0.79374719064453614</v>
      </c>
      <c r="BS600" s="4">
        <v>55.888289794208333</v>
      </c>
      <c r="BT600" s="3">
        <v>3.520872754</v>
      </c>
      <c r="CN600" s="3">
        <v>1.1038179569999995</v>
      </c>
      <c r="CO600" s="3">
        <v>0.80353051687500021</v>
      </c>
      <c r="CP600" s="3">
        <v>0.63726301699999988</v>
      </c>
      <c r="CQ600" s="18" t="s">
        <v>35</v>
      </c>
    </row>
    <row r="601" spans="1:100" x14ac:dyDescent="0.25">
      <c r="A601" s="2" t="s">
        <v>48</v>
      </c>
      <c r="B601" s="44" t="s">
        <v>792</v>
      </c>
      <c r="C601" s="2" t="s">
        <v>47</v>
      </c>
      <c r="D601" s="3">
        <v>0.56951565079999977</v>
      </c>
      <c r="E601" s="5">
        <v>16.787368957631124</v>
      </c>
      <c r="F601" s="3">
        <v>4.4294357783784391E-2</v>
      </c>
      <c r="BS601" s="3">
        <v>9.5606693571250059</v>
      </c>
      <c r="BT601" s="3">
        <v>2.5226330000000002E-2</v>
      </c>
      <c r="CN601" s="3">
        <v>3.7946049000000003E-2</v>
      </c>
      <c r="CO601" s="3">
        <v>0.30769611850000006</v>
      </c>
      <c r="CP601" s="3">
        <v>7.987562400000002E-2</v>
      </c>
      <c r="CQ601" s="18" t="s">
        <v>35</v>
      </c>
    </row>
    <row r="602" spans="1:100" x14ac:dyDescent="0.25">
      <c r="A602" s="2" t="s">
        <v>49</v>
      </c>
      <c r="B602" s="44" t="s">
        <v>792</v>
      </c>
      <c r="C602" s="2" t="s">
        <v>79</v>
      </c>
      <c r="D602" s="4">
        <v>12.288881799919995</v>
      </c>
      <c r="E602" s="4">
        <v>7.0308353650495787</v>
      </c>
      <c r="F602" s="4">
        <v>0.62003088898207193</v>
      </c>
      <c r="BS602" s="4">
        <v>86.636103475791643</v>
      </c>
      <c r="BT602" s="3">
        <v>7.619486306999999</v>
      </c>
      <c r="CN602" s="3">
        <v>2.3662628749999994</v>
      </c>
      <c r="CO602" s="3">
        <v>0.44454168899999991</v>
      </c>
      <c r="CP602" s="3">
        <v>5.8295968000000004E-2</v>
      </c>
      <c r="CQ602" s="18" t="s">
        <v>35</v>
      </c>
    </row>
    <row r="603" spans="1:100" x14ac:dyDescent="0.25">
      <c r="A603" s="2" t="s">
        <v>50</v>
      </c>
      <c r="B603" s="44" t="s">
        <v>792</v>
      </c>
      <c r="C603" s="2" t="s">
        <v>80</v>
      </c>
      <c r="D603" s="4">
        <v>2.5768934413199975</v>
      </c>
      <c r="E603" s="5">
        <v>12.792292462895761</v>
      </c>
      <c r="F603" s="4">
        <v>4.1951112504917791</v>
      </c>
      <c r="BS603" s="5">
        <v>32.964374547083324</v>
      </c>
      <c r="BT603" s="4">
        <v>10.810354666999999</v>
      </c>
      <c r="CN603" s="3">
        <v>0.46690691600000001</v>
      </c>
      <c r="CO603" s="3">
        <v>0.53797676199999989</v>
      </c>
      <c r="CP603" s="3">
        <v>8.4214505999999981E-2</v>
      </c>
      <c r="CQ603" s="18" t="s">
        <v>35</v>
      </c>
    </row>
    <row r="604" spans="1:100" x14ac:dyDescent="0.25">
      <c r="A604" s="2" t="s">
        <v>51</v>
      </c>
      <c r="B604" s="44" t="s">
        <v>792</v>
      </c>
      <c r="C604" s="2" t="s">
        <v>81</v>
      </c>
      <c r="D604" s="3">
        <v>3.0514885703582801</v>
      </c>
      <c r="E604" s="5">
        <v>12.123287027764203</v>
      </c>
      <c r="F604" s="4">
        <v>0.31655080093797833</v>
      </c>
      <c r="BS604" s="4">
        <v>37.168100630124989</v>
      </c>
      <c r="BT604" s="3">
        <v>0.96595115100000006</v>
      </c>
      <c r="CN604" s="3">
        <v>0.67952366400000008</v>
      </c>
      <c r="CO604" s="3">
        <v>0.28450065575000016</v>
      </c>
      <c r="CP604" s="3">
        <v>0.23058663400000001</v>
      </c>
      <c r="CQ604" s="18" t="s">
        <v>35</v>
      </c>
    </row>
    <row r="605" spans="1:100" x14ac:dyDescent="0.25">
      <c r="A605" s="2" t="s">
        <v>52</v>
      </c>
      <c r="B605" s="44" t="s">
        <v>792</v>
      </c>
      <c r="C605" s="2" t="s">
        <v>82</v>
      </c>
      <c r="D605" s="3">
        <v>2.1242531324000007</v>
      </c>
      <c r="E605" s="5">
        <v>14.286910795306875</v>
      </c>
      <c r="F605" s="4">
        <v>0.3411533592426586</v>
      </c>
      <c r="BS605" s="4">
        <v>30.477047289250009</v>
      </c>
      <c r="BT605" s="3">
        <v>0.72469609200000029</v>
      </c>
      <c r="CN605" s="3">
        <v>0.32464572675000003</v>
      </c>
      <c r="CO605" s="3">
        <v>0.58242506400000027</v>
      </c>
      <c r="CP605" s="3">
        <v>0.14042000600000004</v>
      </c>
      <c r="CQ605" s="18" t="s">
        <v>35</v>
      </c>
    </row>
    <row r="606" spans="1:100" x14ac:dyDescent="0.25">
      <c r="A606" s="2" t="s">
        <v>43</v>
      </c>
      <c r="B606" s="44" t="s">
        <v>792</v>
      </c>
      <c r="C606" s="2" t="s">
        <v>83</v>
      </c>
      <c r="D606" s="3">
        <v>9.4352043015199989</v>
      </c>
      <c r="E606" s="4">
        <v>5.9568355451450721</v>
      </c>
      <c r="F606" s="3">
        <v>5.1255479324606855E-2</v>
      </c>
      <c r="BS606" s="4">
        <v>56.203960359000014</v>
      </c>
      <c r="BT606" s="3">
        <v>0.483605919</v>
      </c>
      <c r="CN606" s="3">
        <v>2.5323332339999998</v>
      </c>
      <c r="CO606" s="3">
        <v>2.4007293999999998E-2</v>
      </c>
      <c r="CP606" s="3">
        <v>2.2674727000000002E-2</v>
      </c>
      <c r="CQ606" s="18" t="s">
        <v>35</v>
      </c>
    </row>
    <row r="607" spans="1:100" x14ac:dyDescent="0.25">
      <c r="A607" s="2" t="s">
        <v>53</v>
      </c>
      <c r="B607" s="44" t="s">
        <v>792</v>
      </c>
      <c r="C607" s="2" t="s">
        <v>84</v>
      </c>
      <c r="D607" s="3">
        <v>6.9070992479199989</v>
      </c>
      <c r="E607" s="5">
        <v>10.445971573947769</v>
      </c>
      <c r="F607" s="4">
        <v>0.42809875649180024</v>
      </c>
      <c r="BS607" s="4">
        <v>72.151362402208321</v>
      </c>
      <c r="BT607" s="3">
        <v>2.956920599</v>
      </c>
      <c r="CN607" s="3">
        <v>0.5343233879999999</v>
      </c>
      <c r="CO607" s="3">
        <v>0.65071986116666669</v>
      </c>
      <c r="CP607" s="3">
        <v>0.167724072</v>
      </c>
      <c r="CQ607" s="18" t="s">
        <v>35</v>
      </c>
    </row>
    <row r="608" spans="1:100" x14ac:dyDescent="0.25">
      <c r="A608" s="2" t="s">
        <v>54</v>
      </c>
      <c r="B608" s="44" t="s">
        <v>792</v>
      </c>
      <c r="C608" s="2" t="s">
        <v>84</v>
      </c>
      <c r="D608" s="3">
        <v>2.1970894520800006</v>
      </c>
      <c r="E608" s="5">
        <v>21.770811343639217</v>
      </c>
      <c r="F608" s="4">
        <v>2.4799116653360578</v>
      </c>
      <c r="BS608" s="4">
        <v>47.832419966333347</v>
      </c>
      <c r="BT608" s="3">
        <v>5.4485877620000007</v>
      </c>
      <c r="CN608" s="3">
        <v>0.127962626</v>
      </c>
      <c r="CO608" s="3">
        <v>0.50098232083333338</v>
      </c>
      <c r="CP608" s="3">
        <v>0.18853407099999997</v>
      </c>
      <c r="CQ608" s="18" t="s">
        <v>35</v>
      </c>
    </row>
    <row r="609" spans="1:95" x14ac:dyDescent="0.25">
      <c r="A609" s="2" t="s">
        <v>55</v>
      </c>
      <c r="B609" s="44" t="s">
        <v>792</v>
      </c>
      <c r="C609" s="2" t="s">
        <v>80</v>
      </c>
      <c r="D609" s="3">
        <v>6.9878711456799998</v>
      </c>
      <c r="E609" s="4">
        <v>6.331510400390032</v>
      </c>
      <c r="F609" s="4">
        <v>1.2227127820297774</v>
      </c>
      <c r="BS609" s="4">
        <v>44.558044875458329</v>
      </c>
      <c r="BT609" s="3">
        <v>8.5441593690000008</v>
      </c>
      <c r="CN609" s="3">
        <v>0.64642619199999962</v>
      </c>
      <c r="CO609" s="3">
        <v>0.30149689000000002</v>
      </c>
      <c r="CP609" s="3">
        <v>0.37237610200000004</v>
      </c>
      <c r="CQ609" s="18" t="s">
        <v>35</v>
      </c>
    </row>
    <row r="610" spans="1:95" x14ac:dyDescent="0.25">
      <c r="A610" s="2" t="s">
        <v>56</v>
      </c>
      <c r="B610" s="44" t="s">
        <v>792</v>
      </c>
      <c r="C610" s="2" t="s">
        <v>84</v>
      </c>
      <c r="D610" s="3">
        <v>6.6513101075199987</v>
      </c>
      <c r="E610" s="4">
        <v>7.6269351129128866</v>
      </c>
      <c r="F610" s="3">
        <v>2.8697238876923943E-2</v>
      </c>
      <c r="BS610" s="4">
        <v>50.729110605916674</v>
      </c>
      <c r="BT610" s="3">
        <v>0.19087423500000009</v>
      </c>
      <c r="CN610" s="3">
        <v>0.69480683399999998</v>
      </c>
      <c r="CO610" s="3">
        <v>0.64396101591666666</v>
      </c>
      <c r="CP610" s="3">
        <v>0.81502588499999995</v>
      </c>
      <c r="CQ610" s="18" t="s">
        <v>35</v>
      </c>
    </row>
    <row r="611" spans="1:95" x14ac:dyDescent="0.25">
      <c r="A611" s="2" t="s">
        <v>57</v>
      </c>
      <c r="B611" s="44" t="s">
        <v>792</v>
      </c>
      <c r="C611" s="2" t="s">
        <v>85</v>
      </c>
      <c r="D611" s="3">
        <v>2.5253826399999995E-2</v>
      </c>
      <c r="E611" s="5">
        <v>23.400163506179286</v>
      </c>
      <c r="F611" s="4">
        <v>0.23938693108304576</v>
      </c>
      <c r="BS611" s="3">
        <v>0.59094366691666689</v>
      </c>
      <c r="BT611" s="7">
        <v>6.0454360000000004E-3</v>
      </c>
      <c r="CN611" s="7">
        <v>6.5199300000000002E-4</v>
      </c>
      <c r="CO611" s="3">
        <v>0.12321867600000001</v>
      </c>
      <c r="CP611" s="3">
        <v>0.3345890829999999</v>
      </c>
      <c r="CQ611" s="18" t="s">
        <v>35</v>
      </c>
    </row>
    <row r="612" spans="1:95" x14ac:dyDescent="0.25">
      <c r="A612" s="2" t="s">
        <v>1496</v>
      </c>
      <c r="B612" s="44" t="s">
        <v>792</v>
      </c>
      <c r="C612" s="2" t="s">
        <v>84</v>
      </c>
      <c r="D612" s="3">
        <v>2.3911876633200007</v>
      </c>
      <c r="E612" s="4">
        <v>2.6620572765337829</v>
      </c>
      <c r="F612" s="4">
        <v>1.1207408645121306</v>
      </c>
      <c r="BS612" s="3">
        <v>9.2852877988869071</v>
      </c>
      <c r="BT612" s="3">
        <v>2.6799017289999991</v>
      </c>
      <c r="CN612" s="3">
        <v>0.77180963299999983</v>
      </c>
      <c r="CO612" s="3">
        <v>0.36421349099999978</v>
      </c>
      <c r="CP612" s="3">
        <v>0.72055838199999989</v>
      </c>
      <c r="CQ612" s="18" t="s">
        <v>35</v>
      </c>
    </row>
    <row r="613" spans="1:95" x14ac:dyDescent="0.25">
      <c r="A613" s="2" t="s">
        <v>58</v>
      </c>
      <c r="B613" s="44" t="s">
        <v>792</v>
      </c>
      <c r="C613" s="2" t="s">
        <v>79</v>
      </c>
      <c r="D613" s="3">
        <v>0.23879036192000008</v>
      </c>
      <c r="E613" s="5">
        <v>23.176427187015655</v>
      </c>
      <c r="F613" s="4">
        <v>0.15698126046041366</v>
      </c>
      <c r="BS613" s="3">
        <v>5.534307435999998</v>
      </c>
      <c r="BT613" s="7">
        <v>3.7485611999999981E-2</v>
      </c>
      <c r="CN613" s="3">
        <v>0.10529216000000002</v>
      </c>
      <c r="CO613" s="3">
        <v>0.126675433</v>
      </c>
      <c r="CP613" s="3">
        <v>0.88855235900000007</v>
      </c>
      <c r="CQ613" s="18" t="s">
        <v>35</v>
      </c>
    </row>
    <row r="614" spans="1:95" x14ac:dyDescent="0.25">
      <c r="A614" s="2" t="s">
        <v>59</v>
      </c>
      <c r="B614" s="44" t="s">
        <v>792</v>
      </c>
      <c r="C614" s="2" t="s">
        <v>86</v>
      </c>
      <c r="D614" s="3">
        <v>2.0690545759999995E-2</v>
      </c>
      <c r="E614" s="5">
        <v>35.332270375066251</v>
      </c>
      <c r="F614" s="4">
        <v>2.9516431663231297</v>
      </c>
      <c r="BS614" s="3">
        <v>0.73104395700000047</v>
      </c>
      <c r="BT614" s="7">
        <v>6.1071107999999992E-2</v>
      </c>
      <c r="CN614" s="3">
        <v>5.4876358999999993E-2</v>
      </c>
      <c r="CO614" s="3">
        <v>1.6202563E-2</v>
      </c>
      <c r="CP614" s="3">
        <v>0.25078051199999996</v>
      </c>
      <c r="CQ614" s="18" t="s">
        <v>35</v>
      </c>
    </row>
    <row r="615" spans="1:95" x14ac:dyDescent="0.25">
      <c r="A615" s="2" t="s">
        <v>60</v>
      </c>
      <c r="B615" s="44" t="s">
        <v>792</v>
      </c>
      <c r="C615" s="2" t="s">
        <v>86</v>
      </c>
      <c r="D615" s="7">
        <v>8.3234376000000006E-3</v>
      </c>
      <c r="E615" s="5">
        <v>14.690456020238559</v>
      </c>
      <c r="F615" s="15">
        <v>156.2892719950228</v>
      </c>
      <c r="BS615" s="3">
        <v>0.122275094</v>
      </c>
      <c r="BT615" s="3">
        <v>1.3008640029999998</v>
      </c>
      <c r="CN615" s="7">
        <v>1.2998719999999999E-3</v>
      </c>
      <c r="CO615" s="3">
        <v>3.9512052999999998E-2</v>
      </c>
      <c r="CP615" s="3">
        <v>0.37453690400000017</v>
      </c>
      <c r="CQ615" s="18" t="s">
        <v>35</v>
      </c>
    </row>
    <row r="616" spans="1:95" x14ac:dyDescent="0.25">
      <c r="A616" s="2" t="s">
        <v>61</v>
      </c>
      <c r="B616" s="44" t="s">
        <v>792</v>
      </c>
      <c r="C616" s="2" t="s">
        <v>86</v>
      </c>
      <c r="D616" s="7">
        <v>5.7376584000000007E-3</v>
      </c>
      <c r="E616" s="5">
        <v>36.867052942712661</v>
      </c>
      <c r="F616" s="4">
        <v>0.74438467790274843</v>
      </c>
      <c r="BS616" s="3">
        <v>0.21153055600000001</v>
      </c>
      <c r="BT616" s="7">
        <v>4.2710249999999995E-3</v>
      </c>
      <c r="CN616" s="7">
        <v>4.5019999999999999E-3</v>
      </c>
      <c r="CO616" s="3">
        <v>1.0983742000000001E-2</v>
      </c>
      <c r="CP616" s="3">
        <v>3.3053088000000008E-2</v>
      </c>
      <c r="CQ616" s="18" t="s">
        <v>35</v>
      </c>
    </row>
    <row r="617" spans="1:95" x14ac:dyDescent="0.25">
      <c r="A617" s="2" t="s">
        <v>62</v>
      </c>
      <c r="B617" s="44" t="s">
        <v>792</v>
      </c>
      <c r="C617" s="2" t="s">
        <v>80</v>
      </c>
      <c r="D617" s="3">
        <v>1.0684629367399998</v>
      </c>
      <c r="E617" s="4">
        <v>9.4746734950433549</v>
      </c>
      <c r="F617" s="4">
        <v>0.33222983296273179</v>
      </c>
      <c r="BS617" s="4">
        <v>10.536589825499995</v>
      </c>
      <c r="BT617" s="3">
        <v>0.35497526299999999</v>
      </c>
      <c r="CN617" s="3">
        <v>0.15587144300000008</v>
      </c>
      <c r="CO617" s="3">
        <v>0.1940146870000001</v>
      </c>
      <c r="CP617" s="3">
        <v>0.26445239499999995</v>
      </c>
      <c r="CQ617" s="18" t="s">
        <v>35</v>
      </c>
    </row>
    <row r="618" spans="1:95" x14ac:dyDescent="0.25">
      <c r="A618" s="2" t="s">
        <v>63</v>
      </c>
      <c r="B618" s="44" t="s">
        <v>792</v>
      </c>
      <c r="C618" s="2" t="s">
        <v>80</v>
      </c>
      <c r="D618" s="3">
        <v>0.47462991056000003</v>
      </c>
      <c r="E618" s="5">
        <v>18.159183057923709</v>
      </c>
      <c r="F618" s="4">
        <v>0.14890856734378838</v>
      </c>
      <c r="BS618" s="4">
        <v>8.6188914306249966</v>
      </c>
      <c r="BT618" s="3">
        <v>7.0676460000000024E-2</v>
      </c>
      <c r="CN618" s="3">
        <v>0.20367146200000003</v>
      </c>
      <c r="CO618" s="3">
        <v>0.11448762500000004</v>
      </c>
      <c r="CP618" s="3">
        <v>7.9779759999999991E-2</v>
      </c>
      <c r="CQ618" s="18" t="s">
        <v>35</v>
      </c>
    </row>
    <row r="619" spans="1:95" x14ac:dyDescent="0.25">
      <c r="A619" s="2" t="s">
        <v>64</v>
      </c>
      <c r="B619" s="44" t="s">
        <v>792</v>
      </c>
      <c r="C619" s="2" t="s">
        <v>81</v>
      </c>
      <c r="D619" s="4">
        <v>2.9166252126096834</v>
      </c>
      <c r="E619" s="4">
        <v>7.7065706847429833</v>
      </c>
      <c r="F619" s="4">
        <v>1.893768965465118</v>
      </c>
      <c r="BS619" s="4">
        <v>22.541409521880055</v>
      </c>
      <c r="BT619" s="3">
        <v>5.5234143115333199</v>
      </c>
      <c r="CN619" s="3">
        <v>1.1928876070000001</v>
      </c>
      <c r="CO619" s="3">
        <v>0.47165685466666646</v>
      </c>
      <c r="CP619" s="3">
        <v>0.29321250200000004</v>
      </c>
      <c r="CQ619" s="18" t="s">
        <v>35</v>
      </c>
    </row>
    <row r="620" spans="1:95" x14ac:dyDescent="0.25">
      <c r="A620" s="2" t="s">
        <v>65</v>
      </c>
      <c r="B620" s="44" t="s">
        <v>792</v>
      </c>
      <c r="C620" s="2" t="s">
        <v>47</v>
      </c>
      <c r="D620" s="3">
        <v>4.5353161310399992</v>
      </c>
      <c r="E620" s="5">
        <v>10.653946170543993</v>
      </c>
      <c r="F620" s="4">
        <v>0.65851539577576168</v>
      </c>
      <c r="BS620" s="4">
        <v>48.319013926500006</v>
      </c>
      <c r="BT620" s="3">
        <v>2.9865754970000014</v>
      </c>
      <c r="CN620" s="3">
        <v>0.92436725000000008</v>
      </c>
      <c r="CO620" s="3">
        <v>0.31668478799999994</v>
      </c>
      <c r="CP620" s="3">
        <v>0.26111267699999996</v>
      </c>
      <c r="CQ620" s="18" t="s">
        <v>35</v>
      </c>
    </row>
    <row r="621" spans="1:95" x14ac:dyDescent="0.25">
      <c r="A621" s="2" t="s">
        <v>66</v>
      </c>
      <c r="B621" s="44" t="s">
        <v>792</v>
      </c>
      <c r="C621" s="2" t="s">
        <v>87</v>
      </c>
      <c r="D621" s="3">
        <v>1.0125947552799999</v>
      </c>
      <c r="E621" s="5">
        <v>14.982162928352315</v>
      </c>
      <c r="F621" s="4">
        <v>0.18146880579999528</v>
      </c>
      <c r="BS621" s="4">
        <v>15.170859603999999</v>
      </c>
      <c r="BT621" s="3">
        <v>0.18375436100000003</v>
      </c>
      <c r="CN621" s="3">
        <v>0.5414953899999998</v>
      </c>
      <c r="CO621" s="3">
        <v>0.12600703799999996</v>
      </c>
      <c r="CP621" s="3">
        <v>0.17143559899999999</v>
      </c>
      <c r="CQ621" s="18" t="s">
        <v>35</v>
      </c>
    </row>
    <row r="622" spans="1:95" x14ac:dyDescent="0.25">
      <c r="A622" s="2" t="s">
        <v>67</v>
      </c>
      <c r="B622" s="44" t="s">
        <v>792</v>
      </c>
      <c r="C622" s="2" t="s">
        <v>88</v>
      </c>
      <c r="D622" s="3">
        <v>2.1356627847999996</v>
      </c>
      <c r="E622" s="5">
        <v>21.966951771844641</v>
      </c>
      <c r="F622" s="4">
        <v>0.58518097749080578</v>
      </c>
      <c r="BS622" s="4">
        <v>46.914001394625011</v>
      </c>
      <c r="BT622" s="3">
        <v>1.2497492360000002</v>
      </c>
      <c r="CN622" s="3">
        <v>0.7378506130000001</v>
      </c>
      <c r="CO622" s="3">
        <v>0.35190652700000008</v>
      </c>
      <c r="CP622" s="3">
        <v>6.652467699999999E-2</v>
      </c>
      <c r="CQ622" s="18" t="s">
        <v>35</v>
      </c>
    </row>
    <row r="623" spans="1:95" x14ac:dyDescent="0.25">
      <c r="A623" s="2" t="s">
        <v>68</v>
      </c>
      <c r="B623" s="44" t="s">
        <v>792</v>
      </c>
      <c r="C623" s="2" t="s">
        <v>81</v>
      </c>
      <c r="D623" s="3">
        <v>0.62078758087499986</v>
      </c>
      <c r="E623" s="5">
        <v>23.919367783561682</v>
      </c>
      <c r="F623" s="4">
        <v>1.1200542478957984</v>
      </c>
      <c r="BS623" s="4">
        <v>14.848846462416665</v>
      </c>
      <c r="BT623" s="3">
        <v>0.69531576700000008</v>
      </c>
      <c r="CN623" s="3">
        <v>0.36562759299999997</v>
      </c>
      <c r="CO623" s="3">
        <v>0.22583967633333329</v>
      </c>
      <c r="CP623" s="7">
        <v>6.5434280000000004E-3</v>
      </c>
      <c r="CQ623" s="18" t="s">
        <v>35</v>
      </c>
    </row>
    <row r="624" spans="1:95" x14ac:dyDescent="0.25">
      <c r="A624" s="2" t="s">
        <v>69</v>
      </c>
      <c r="B624" s="44" t="s">
        <v>792</v>
      </c>
      <c r="C624" s="2" t="s">
        <v>89</v>
      </c>
      <c r="D624" s="3">
        <v>0.96353050871999979</v>
      </c>
      <c r="E624" s="5">
        <v>18.333318774297712</v>
      </c>
      <c r="F624" s="4">
        <v>0.18529344466443071</v>
      </c>
      <c r="BS624" s="4">
        <v>17.664711965125001</v>
      </c>
      <c r="BT624" s="3">
        <v>0.17853588700000006</v>
      </c>
      <c r="CN624" s="3">
        <v>0.17967456700000003</v>
      </c>
      <c r="CO624" s="3">
        <v>5.7789441000000004E-2</v>
      </c>
      <c r="CP624" s="3">
        <v>6.1604943000000016E-2</v>
      </c>
      <c r="CQ624" s="18" t="s">
        <v>35</v>
      </c>
    </row>
    <row r="625" spans="1:95" x14ac:dyDescent="0.25">
      <c r="A625" s="2" t="s">
        <v>70</v>
      </c>
      <c r="B625" s="44" t="s">
        <v>792</v>
      </c>
      <c r="C625" s="2" t="s">
        <v>89</v>
      </c>
      <c r="D625" s="3">
        <v>1.40580495156</v>
      </c>
      <c r="E625" s="4">
        <v>8.2567290705012137</v>
      </c>
      <c r="F625" s="4">
        <v>0.31738705536986211</v>
      </c>
      <c r="BS625" s="4">
        <v>11.607350611000001</v>
      </c>
      <c r="BT625" s="3">
        <v>0.44618429400000004</v>
      </c>
      <c r="CN625" s="3">
        <v>0.13689856600000003</v>
      </c>
      <c r="CO625" s="3">
        <v>0.1868265930000001</v>
      </c>
      <c r="CP625" s="3">
        <v>4.8308750000000004E-2</v>
      </c>
      <c r="CQ625" s="18" t="s">
        <v>35</v>
      </c>
    </row>
    <row r="626" spans="1:95" x14ac:dyDescent="0.25">
      <c r="A626" s="2" t="s">
        <v>71</v>
      </c>
      <c r="B626" s="44" t="s">
        <v>792</v>
      </c>
      <c r="C626" s="2" t="s">
        <v>47</v>
      </c>
      <c r="D626" s="3">
        <v>6.3016637363800001</v>
      </c>
      <c r="E626" s="4">
        <v>5.771929002200201</v>
      </c>
      <c r="F626" s="3">
        <v>5.9199397271283448E-2</v>
      </c>
      <c r="BS626" s="4">
        <v>36.389793607125014</v>
      </c>
      <c r="BT626" s="3">
        <v>0.37305469500000005</v>
      </c>
      <c r="CN626" s="3">
        <v>1.2934641650000001</v>
      </c>
      <c r="CO626" s="3">
        <v>0.8902197509583335</v>
      </c>
      <c r="CP626" s="3">
        <v>0.68430950299999993</v>
      </c>
      <c r="CQ626" s="18" t="s">
        <v>35</v>
      </c>
    </row>
    <row r="627" spans="1:95" x14ac:dyDescent="0.25">
      <c r="A627" s="2" t="s">
        <v>72</v>
      </c>
      <c r="B627" s="44" t="s">
        <v>792</v>
      </c>
      <c r="C627" s="2" t="s">
        <v>47</v>
      </c>
      <c r="D627" s="3">
        <v>1.1621790079450001</v>
      </c>
      <c r="E627" s="5">
        <v>18.546483056775134</v>
      </c>
      <c r="F627" s="3">
        <v>8.5970355097592988E-2</v>
      </c>
      <c r="BS627" s="4">
        <v>21.554333279791678</v>
      </c>
      <c r="BT627" s="3">
        <v>9.9912941999999991E-2</v>
      </c>
      <c r="CN627" s="3">
        <v>8.3398359000000019E-2</v>
      </c>
      <c r="CO627" s="3">
        <v>0.52654822395833334</v>
      </c>
      <c r="CP627" s="3">
        <v>1.4904155019999992</v>
      </c>
      <c r="CQ627" s="18" t="s">
        <v>35</v>
      </c>
    </row>
    <row r="628" spans="1:95" x14ac:dyDescent="0.25">
      <c r="A628" s="2" t="s">
        <v>73</v>
      </c>
      <c r="B628" s="44" t="s">
        <v>792</v>
      </c>
      <c r="C628" s="2" t="s">
        <v>47</v>
      </c>
      <c r="D628" s="3">
        <v>0.19717865480000002</v>
      </c>
      <c r="E628" s="5">
        <v>22.817978377807982</v>
      </c>
      <c r="F628" s="3">
        <v>2.205885826948039E-2</v>
      </c>
      <c r="BS628" s="3">
        <v>4.4992182817916646</v>
      </c>
      <c r="BT628" s="7">
        <v>4.3495359999999993E-3</v>
      </c>
      <c r="CN628" s="3">
        <v>3.0409741000000001E-2</v>
      </c>
      <c r="CO628" s="3">
        <v>0.52468817399999979</v>
      </c>
      <c r="CP628" s="3">
        <v>0.81132087599999947</v>
      </c>
      <c r="CQ628" s="18" t="s">
        <v>35</v>
      </c>
    </row>
    <row r="629" spans="1:95" x14ac:dyDescent="0.25">
      <c r="A629" s="2" t="s">
        <v>74</v>
      </c>
      <c r="B629" s="44" t="s">
        <v>792</v>
      </c>
      <c r="C629" s="2" t="s">
        <v>89</v>
      </c>
      <c r="D629" s="3">
        <v>5.6354671120000012E-2</v>
      </c>
      <c r="E629" s="5">
        <v>12.57716574917821</v>
      </c>
      <c r="F629" s="3">
        <v>2.8148172431389385E-2</v>
      </c>
      <c r="BS629" s="3">
        <v>0.70878203941666662</v>
      </c>
      <c r="BT629" s="7">
        <v>1.5862809999999999E-3</v>
      </c>
      <c r="CN629" s="7">
        <v>1.8349000000000002E-4</v>
      </c>
      <c r="CO629" s="3">
        <v>0.27325931049999996</v>
      </c>
      <c r="CP629" s="3">
        <v>0.429988916</v>
      </c>
      <c r="CQ629" s="18" t="s">
        <v>35</v>
      </c>
    </row>
    <row r="630" spans="1:95" x14ac:dyDescent="0.25">
      <c r="A630" s="2" t="s">
        <v>75</v>
      </c>
      <c r="B630" s="44" t="s">
        <v>792</v>
      </c>
      <c r="C630" s="2" t="s">
        <v>90</v>
      </c>
      <c r="D630" s="7">
        <v>1.6797528000000001E-3</v>
      </c>
      <c r="E630" s="5">
        <v>20.547165035236137</v>
      </c>
      <c r="F630" s="17">
        <v>0</v>
      </c>
      <c r="BS630" s="3">
        <v>3.4514158000000003E-2</v>
      </c>
      <c r="BT630" s="17">
        <v>0</v>
      </c>
      <c r="CN630" s="17">
        <v>0</v>
      </c>
      <c r="CO630" s="17">
        <v>0</v>
      </c>
      <c r="CP630" s="7">
        <v>9.9831000000000008E-4</v>
      </c>
      <c r="CQ630" s="18" t="s">
        <v>35</v>
      </c>
    </row>
    <row r="631" spans="1:95" x14ac:dyDescent="0.25">
      <c r="A631" s="2" t="s">
        <v>76</v>
      </c>
      <c r="B631" s="44" t="s">
        <v>792</v>
      </c>
      <c r="C631" s="2" t="s">
        <v>91</v>
      </c>
      <c r="D631" s="3">
        <v>0.13823824384</v>
      </c>
      <c r="E631" s="5">
        <v>23.571461409560669</v>
      </c>
      <c r="F631" s="4">
        <v>3.7407365692414163</v>
      </c>
      <c r="BS631" s="3">
        <v>3.2584774299999979</v>
      </c>
      <c r="BT631" s="3">
        <v>0.51711285399999996</v>
      </c>
      <c r="CN631" s="3">
        <v>0.189833367</v>
      </c>
      <c r="CO631" s="3">
        <v>3.0316058999999996E-2</v>
      </c>
      <c r="CP631" s="3">
        <v>1.6404515999999994E-2</v>
      </c>
      <c r="CQ631" s="18" t="s">
        <v>35</v>
      </c>
    </row>
    <row r="632" spans="1:95" x14ac:dyDescent="0.25">
      <c r="A632" s="2" t="s">
        <v>77</v>
      </c>
      <c r="B632" s="44" t="s">
        <v>792</v>
      </c>
      <c r="C632" s="2" t="s">
        <v>92</v>
      </c>
      <c r="D632" s="3">
        <v>0.24500061000000001</v>
      </c>
      <c r="E632" s="4">
        <v>2.9125922083051403</v>
      </c>
      <c r="F632" s="17">
        <v>0</v>
      </c>
      <c r="BS632" s="3">
        <v>0.74080966000000004</v>
      </c>
      <c r="BT632" s="17">
        <v>0</v>
      </c>
      <c r="CN632" s="17">
        <v>0</v>
      </c>
      <c r="CO632" s="7">
        <v>6.1799999999999995E-4</v>
      </c>
      <c r="CP632" s="7">
        <v>3.2499999999999993E-4</v>
      </c>
      <c r="CQ632" s="18" t="s">
        <v>35</v>
      </c>
    </row>
    <row r="633" spans="1:95" x14ac:dyDescent="0.25">
      <c r="A633" s="2" t="s">
        <v>78</v>
      </c>
      <c r="B633" s="44" t="s">
        <v>792</v>
      </c>
      <c r="C633" s="2" t="s">
        <v>93</v>
      </c>
      <c r="D633" s="7">
        <v>7.61749048E-3</v>
      </c>
      <c r="E633" s="5">
        <v>45.943422957845314</v>
      </c>
      <c r="F633" s="15">
        <v>150.8468299391954</v>
      </c>
      <c r="BS633" s="3">
        <v>0.34997358700000014</v>
      </c>
      <c r="BT633" s="3">
        <v>1.149074291</v>
      </c>
      <c r="CN633" s="3">
        <v>3.3501740999999995E-2</v>
      </c>
      <c r="CO633" s="3">
        <v>6.7780566000000042E-2</v>
      </c>
      <c r="CP633" s="3">
        <v>7.0946860999999986E-2</v>
      </c>
      <c r="CQ633" s="18" t="s">
        <v>35</v>
      </c>
    </row>
    <row r="635" spans="1:95" x14ac:dyDescent="0.25">
      <c r="A635" s="266" t="s">
        <v>1672</v>
      </c>
      <c r="B635" s="266"/>
      <c r="C635" s="266"/>
    </row>
    <row r="636" spans="1:95" ht="13.2" customHeight="1" x14ac:dyDescent="0.25">
      <c r="A636" s="2" t="s">
        <v>395</v>
      </c>
      <c r="B636" s="214" t="s">
        <v>795</v>
      </c>
      <c r="C636" s="2" t="s">
        <v>1591</v>
      </c>
      <c r="D636" s="4">
        <v>17.344556331819998</v>
      </c>
      <c r="E636" s="5">
        <v>10.220414496828498</v>
      </c>
      <c r="BS636" s="5">
        <v>177.26855497479161</v>
      </c>
      <c r="CN636" s="3">
        <v>0.65890138104166673</v>
      </c>
      <c r="CP636" s="30">
        <v>68.650370399166704</v>
      </c>
      <c r="CQ636" s="18" t="s">
        <v>35</v>
      </c>
    </row>
    <row r="637" spans="1:95" ht="13.2" customHeight="1" x14ac:dyDescent="0.25">
      <c r="A637" s="2" t="s">
        <v>396</v>
      </c>
      <c r="B637" s="214" t="s">
        <v>795</v>
      </c>
      <c r="C637" s="2" t="s">
        <v>1591</v>
      </c>
      <c r="D637" s="3">
        <v>4.3979350359902405</v>
      </c>
      <c r="E637" s="5">
        <v>21.866385785029482</v>
      </c>
      <c r="BS637" s="5">
        <v>96.166944154460126</v>
      </c>
      <c r="CN637" s="3">
        <v>0.33761622229166666</v>
      </c>
      <c r="CP637" s="30">
        <v>78.191867050625007</v>
      </c>
      <c r="CQ637" s="18" t="s">
        <v>35</v>
      </c>
    </row>
    <row r="638" spans="1:95" ht="13.2" customHeight="1" x14ac:dyDescent="0.25">
      <c r="A638" s="2" t="s">
        <v>397</v>
      </c>
      <c r="B638" s="214" t="s">
        <v>795</v>
      </c>
      <c r="C638" s="2" t="s">
        <v>1591</v>
      </c>
      <c r="D638" s="4">
        <v>23.883628581080401</v>
      </c>
      <c r="E638" s="5">
        <v>14.282942818679029</v>
      </c>
      <c r="BS638" s="5">
        <v>341.12850132613954</v>
      </c>
      <c r="CN638" s="4">
        <v>4.2938793589583355</v>
      </c>
      <c r="CP638" s="31">
        <v>9.8617328979166707</v>
      </c>
      <c r="CQ638" s="18" t="s">
        <v>35</v>
      </c>
    </row>
    <row r="639" spans="1:95" ht="13.2" customHeight="1" x14ac:dyDescent="0.25">
      <c r="A639" s="2" t="s">
        <v>398</v>
      </c>
      <c r="B639" s="214" t="s">
        <v>795</v>
      </c>
      <c r="C639" s="2" t="s">
        <v>1591</v>
      </c>
      <c r="D639" s="3">
        <v>3.5724598093123676</v>
      </c>
      <c r="E639" s="5">
        <v>16.338793823182876</v>
      </c>
      <c r="BS639" s="5">
        <v>58.369684265961986</v>
      </c>
      <c r="CN639" s="4">
        <v>2.0155080666666665</v>
      </c>
      <c r="CP639" s="30">
        <v>46.710912330416697</v>
      </c>
      <c r="CQ639" s="18" t="s">
        <v>35</v>
      </c>
    </row>
    <row r="640" spans="1:95" ht="13.2" customHeight="1" x14ac:dyDescent="0.25">
      <c r="A640" s="2" t="s">
        <v>399</v>
      </c>
      <c r="B640" s="214" t="s">
        <v>795</v>
      </c>
      <c r="C640" s="2" t="s">
        <v>1591</v>
      </c>
      <c r="D640" s="3">
        <v>7.501946229350013</v>
      </c>
      <c r="E640" s="5">
        <v>15.653077301952068</v>
      </c>
      <c r="BS640" s="5">
        <v>117.42854424310359</v>
      </c>
      <c r="CN640" s="4">
        <v>2.5194011516666674</v>
      </c>
      <c r="CP640" s="30">
        <v>29.908797886875</v>
      </c>
      <c r="CQ640" s="18" t="s">
        <v>35</v>
      </c>
    </row>
    <row r="641" spans="1:96" ht="13.2" customHeight="1" x14ac:dyDescent="0.25">
      <c r="A641" s="2" t="s">
        <v>400</v>
      </c>
      <c r="B641" s="214" t="s">
        <v>795</v>
      </c>
      <c r="C641" s="2" t="s">
        <v>1591</v>
      </c>
      <c r="D641" s="3">
        <v>3.0517490605573019</v>
      </c>
      <c r="E641" s="5">
        <v>15.718361903457739</v>
      </c>
      <c r="BS641" s="5">
        <v>47.968496172376838</v>
      </c>
      <c r="CN641" s="4">
        <v>1.5614216316666665</v>
      </c>
      <c r="CP641" s="30">
        <v>16.9247585245833</v>
      </c>
      <c r="CQ641" s="18" t="s">
        <v>35</v>
      </c>
    </row>
    <row r="642" spans="1:96" ht="13.2" customHeight="1" x14ac:dyDescent="0.25">
      <c r="A642" s="2" t="s">
        <v>401</v>
      </c>
      <c r="B642" s="214" t="s">
        <v>795</v>
      </c>
      <c r="C642" s="2" t="s">
        <v>1591</v>
      </c>
      <c r="D642" s="3">
        <v>2.8182486395549224</v>
      </c>
      <c r="E642" s="5">
        <v>28.43292063417146</v>
      </c>
      <c r="BS642" s="5">
        <v>80.131039895826802</v>
      </c>
      <c r="CN642" s="3">
        <v>4.2090351250000005E-2</v>
      </c>
      <c r="CP642" s="31">
        <v>9.4420433868749996</v>
      </c>
      <c r="CQ642" s="18" t="s">
        <v>35</v>
      </c>
    </row>
    <row r="645" spans="1:96" x14ac:dyDescent="0.25">
      <c r="A645" s="266" t="s">
        <v>1673</v>
      </c>
      <c r="B645" s="266"/>
      <c r="C645" s="266"/>
    </row>
    <row r="646" spans="1:96" x14ac:dyDescent="0.25">
      <c r="A646" s="2" t="s">
        <v>395</v>
      </c>
      <c r="B646" s="214" t="s">
        <v>795</v>
      </c>
      <c r="C646" s="2" t="s">
        <v>402</v>
      </c>
      <c r="D646" s="3">
        <v>3.0497823180000005</v>
      </c>
      <c r="E646" s="4">
        <v>2.2307653518322348</v>
      </c>
      <c r="BS646" s="3">
        <v>6.8033487256249998</v>
      </c>
      <c r="CQ646" s="18" t="s">
        <v>35</v>
      </c>
    </row>
    <row r="647" spans="1:96" x14ac:dyDescent="0.25">
      <c r="A647" s="2" t="s">
        <v>396</v>
      </c>
      <c r="B647" s="214" t="s">
        <v>795</v>
      </c>
      <c r="C647" s="2" t="s">
        <v>402</v>
      </c>
      <c r="D647" s="3">
        <v>4.2092468519999997</v>
      </c>
      <c r="E647" s="4">
        <v>1.6638911576221491</v>
      </c>
      <c r="BS647" s="3">
        <v>7.0037286172916664</v>
      </c>
      <c r="CQ647" s="18" t="s">
        <v>35</v>
      </c>
    </row>
    <row r="648" spans="1:96" x14ac:dyDescent="0.25">
      <c r="A648" s="2" t="s">
        <v>397</v>
      </c>
      <c r="B648" s="214" t="s">
        <v>795</v>
      </c>
      <c r="C648" s="2" t="s">
        <v>402</v>
      </c>
      <c r="D648" s="3">
        <v>0.349429832</v>
      </c>
      <c r="E648" s="4">
        <v>2.5944750028526467</v>
      </c>
      <c r="BS648" s="3">
        <v>0.90658696437499986</v>
      </c>
      <c r="CQ648" s="18" t="s">
        <v>35</v>
      </c>
    </row>
    <row r="649" spans="1:96" x14ac:dyDescent="0.25">
      <c r="A649" s="2" t="s">
        <v>398</v>
      </c>
      <c r="B649" s="214" t="s">
        <v>795</v>
      </c>
      <c r="C649" s="2" t="s">
        <v>402</v>
      </c>
      <c r="D649" s="3">
        <v>3.1845488252000003</v>
      </c>
      <c r="E649" s="4">
        <v>5.0150633584508846</v>
      </c>
      <c r="BS649" s="4">
        <v>15.970714126458333</v>
      </c>
      <c r="CQ649" s="18" t="s">
        <v>35</v>
      </c>
    </row>
    <row r="650" spans="1:96" x14ac:dyDescent="0.25">
      <c r="A650" s="2" t="s">
        <v>399</v>
      </c>
      <c r="B650" s="214" t="s">
        <v>795</v>
      </c>
      <c r="C650" s="2" t="s">
        <v>402</v>
      </c>
      <c r="D650" s="3">
        <v>6.6033685560000004</v>
      </c>
      <c r="E650" s="4">
        <v>1.4275705653507573</v>
      </c>
      <c r="BS650" s="3">
        <v>9.4267745827083349</v>
      </c>
      <c r="CQ650" s="18" t="s">
        <v>35</v>
      </c>
    </row>
    <row r="651" spans="1:96" x14ac:dyDescent="0.25">
      <c r="A651" s="2" t="s">
        <v>400</v>
      </c>
      <c r="B651" s="214" t="s">
        <v>795</v>
      </c>
      <c r="C651" s="2" t="s">
        <v>402</v>
      </c>
      <c r="D651" s="3">
        <v>0.3440942064000001</v>
      </c>
      <c r="E651" s="4">
        <v>6.6782676667486776</v>
      </c>
      <c r="BS651" s="3">
        <v>2.2979532129166667</v>
      </c>
      <c r="CQ651" s="18" t="s">
        <v>35</v>
      </c>
    </row>
    <row r="652" spans="1:96" x14ac:dyDescent="0.25">
      <c r="A652" s="2" t="s">
        <v>401</v>
      </c>
      <c r="B652" s="214" t="s">
        <v>795</v>
      </c>
      <c r="C652" s="2" t="s">
        <v>402</v>
      </c>
      <c r="D652" s="7">
        <v>2.9763719999999997E-3</v>
      </c>
      <c r="E652" s="4">
        <v>8.876567960366966</v>
      </c>
      <c r="BS652" s="3">
        <v>2.6419968333333346E-2</v>
      </c>
      <c r="CQ652" s="18" t="s">
        <v>35</v>
      </c>
    </row>
    <row r="653" spans="1:96" x14ac:dyDescent="0.25">
      <c r="A653" s="2" t="s">
        <v>403</v>
      </c>
      <c r="B653" s="214" t="s">
        <v>795</v>
      </c>
      <c r="C653" s="2" t="s">
        <v>404</v>
      </c>
      <c r="D653" s="3">
        <v>9.3522923464319998</v>
      </c>
      <c r="E653" s="4">
        <v>2.1578870430618018</v>
      </c>
      <c r="BS653" s="4">
        <v>20.181190477291668</v>
      </c>
      <c r="CQ653" s="18" t="s">
        <v>35</v>
      </c>
    </row>
    <row r="654" spans="1:96" ht="13.2" customHeight="1" x14ac:dyDescent="0.25">
      <c r="A654" s="2" t="s">
        <v>405</v>
      </c>
      <c r="B654" s="214" t="s">
        <v>795</v>
      </c>
      <c r="C654" s="2" t="s">
        <v>1590</v>
      </c>
      <c r="D654" s="5">
        <v>423.48370566529371</v>
      </c>
      <c r="E654" s="4">
        <v>0.1276109857523354</v>
      </c>
      <c r="BS654" s="4">
        <v>54.041173129999997</v>
      </c>
      <c r="CQ654" s="18" t="s">
        <v>35</v>
      </c>
    </row>
    <row r="655" spans="1:96" ht="13.2" customHeight="1" x14ac:dyDescent="0.25">
      <c r="A655" s="2" t="s">
        <v>903</v>
      </c>
      <c r="B655" s="214" t="s">
        <v>795</v>
      </c>
      <c r="C655" s="2" t="s">
        <v>1581</v>
      </c>
      <c r="CP655" s="6">
        <v>1116.8861038247301</v>
      </c>
      <c r="CQ655" s="18" t="s">
        <v>35</v>
      </c>
      <c r="CR655" s="233" t="s">
        <v>2177</v>
      </c>
    </row>
    <row r="657" spans="1:95" x14ac:dyDescent="0.25">
      <c r="A657" s="266" t="s">
        <v>1674</v>
      </c>
      <c r="B657" s="266"/>
      <c r="C657" s="266"/>
    </row>
    <row r="658" spans="1:95" ht="15.6" x14ac:dyDescent="0.25">
      <c r="A658" s="2" t="s">
        <v>490</v>
      </c>
      <c r="B658" s="213" t="s">
        <v>798</v>
      </c>
      <c r="C658" s="2" t="s">
        <v>493</v>
      </c>
      <c r="D658" s="3">
        <v>6.1806632908000037</v>
      </c>
      <c r="E658" s="5">
        <v>35.18366842678757</v>
      </c>
      <c r="BS658" s="5">
        <v>217.45840788112503</v>
      </c>
      <c r="CN658" s="4">
        <v>35.179324799999982</v>
      </c>
      <c r="CP658" s="31">
        <v>4.9948133069564999</v>
      </c>
      <c r="CQ658" s="18" t="s">
        <v>35</v>
      </c>
    </row>
    <row r="659" spans="1:95" ht="15.6" x14ac:dyDescent="0.25">
      <c r="A659" s="2" t="s">
        <v>491</v>
      </c>
      <c r="B659" s="213" t="s">
        <v>798</v>
      </c>
      <c r="C659" s="2" t="s">
        <v>492</v>
      </c>
      <c r="D659" s="3">
        <v>4.5253750920000009</v>
      </c>
      <c r="E659" s="5">
        <v>22.815987097223061</v>
      </c>
      <c r="BS659" s="5">
        <v>103.25089970916665</v>
      </c>
      <c r="CN659" s="3">
        <v>1.8313235000000005</v>
      </c>
      <c r="CP659" s="31">
        <v>5.0834837000000004</v>
      </c>
      <c r="CQ659" s="18" t="s">
        <v>35</v>
      </c>
    </row>
    <row r="660" spans="1:95" ht="15.6" x14ac:dyDescent="0.25">
      <c r="A660" s="2" t="s">
        <v>494</v>
      </c>
      <c r="B660" s="213" t="s">
        <v>798</v>
      </c>
      <c r="C660" s="2" t="s">
        <v>495</v>
      </c>
      <c r="D660" s="3">
        <v>0.22151539793333336</v>
      </c>
      <c r="E660" s="5">
        <v>34.658767337032941</v>
      </c>
      <c r="BS660" s="3">
        <v>7.6774506385416679</v>
      </c>
      <c r="CN660" s="3">
        <v>0.10207020000000001</v>
      </c>
      <c r="CP660" s="31">
        <v>1.9079227999999999</v>
      </c>
      <c r="CQ660" s="18" t="s">
        <v>35</v>
      </c>
    </row>
    <row r="661" spans="1:95" ht="15.6" x14ac:dyDescent="0.25">
      <c r="A661" s="2" t="s">
        <v>496</v>
      </c>
      <c r="B661" s="213" t="s">
        <v>798</v>
      </c>
      <c r="C661" s="2" t="s">
        <v>497</v>
      </c>
      <c r="D661" s="3">
        <v>0.76938793333333333</v>
      </c>
      <c r="E661" s="5">
        <v>32.448945923486868</v>
      </c>
      <c r="BS661" s="4">
        <v>24.965827442916652</v>
      </c>
      <c r="CN661" s="3">
        <v>0.95688479999999965</v>
      </c>
      <c r="CP661" s="31">
        <v>2.1061051000000002</v>
      </c>
      <c r="CQ661" s="18" t="s">
        <v>35</v>
      </c>
    </row>
    <row r="662" spans="1:95" ht="15.6" x14ac:dyDescent="0.25">
      <c r="A662" s="2" t="s">
        <v>498</v>
      </c>
      <c r="B662" s="213" t="s">
        <v>798</v>
      </c>
      <c r="C662" s="2" t="s">
        <v>500</v>
      </c>
      <c r="D662" s="3">
        <v>7.9671164000000017E-2</v>
      </c>
      <c r="E662" s="5">
        <v>54.994413605111404</v>
      </c>
      <c r="BS662" s="3">
        <v>4.3814689454166631</v>
      </c>
      <c r="CN662" s="3">
        <v>3.7755400000000001E-2</v>
      </c>
      <c r="CP662" s="30">
        <v>39.761008599999997</v>
      </c>
      <c r="CQ662" s="18" t="s">
        <v>35</v>
      </c>
    </row>
    <row r="663" spans="1:95" ht="15.6" x14ac:dyDescent="0.25">
      <c r="A663" s="2" t="s">
        <v>499</v>
      </c>
      <c r="B663" s="213" t="s">
        <v>798</v>
      </c>
      <c r="C663" s="2" t="s">
        <v>501</v>
      </c>
      <c r="D663" s="3">
        <v>0.73125261600000024</v>
      </c>
      <c r="E663" s="5">
        <v>26.217935506446562</v>
      </c>
      <c r="BS663" s="4">
        <v>19.171933925208339</v>
      </c>
      <c r="CN663" s="3">
        <v>2.3428562999999984</v>
      </c>
      <c r="CP663" s="31">
        <v>3.0471404999999998</v>
      </c>
      <c r="CQ663" s="18" t="s">
        <v>35</v>
      </c>
    </row>
    <row r="664" spans="1:95" ht="15.6" x14ac:dyDescent="0.25">
      <c r="A664" s="2" t="s">
        <v>502</v>
      </c>
      <c r="B664" s="213" t="s">
        <v>798</v>
      </c>
      <c r="C664" s="2" t="s">
        <v>503</v>
      </c>
      <c r="D664" s="3">
        <v>1.3559553333333332E-2</v>
      </c>
      <c r="E664" s="5">
        <v>26.641385649133969</v>
      </c>
      <c r="BS664" s="3">
        <v>0.3612452895833333</v>
      </c>
      <c r="CN664" s="3">
        <v>1.06362E-2</v>
      </c>
      <c r="CP664" s="3">
        <v>0.43702951041666699</v>
      </c>
      <c r="CQ664" s="18" t="s">
        <v>35</v>
      </c>
    </row>
    <row r="665" spans="1:95" ht="15.6" x14ac:dyDescent="0.25">
      <c r="A665" s="2" t="s">
        <v>505</v>
      </c>
      <c r="B665" s="213" t="s">
        <v>798</v>
      </c>
      <c r="C665" s="2" t="s">
        <v>504</v>
      </c>
      <c r="D665" s="3">
        <v>6.1661983999999996E-2</v>
      </c>
      <c r="E665" s="5">
        <v>35.417472133235293</v>
      </c>
      <c r="BS665" s="3">
        <v>2.1839116000000005</v>
      </c>
      <c r="CN665" s="3">
        <v>2.7772299999999993E-2</v>
      </c>
      <c r="CP665" s="3">
        <v>0.3312639</v>
      </c>
      <c r="CQ665" s="18" t="s">
        <v>35</v>
      </c>
    </row>
    <row r="666" spans="1:95" ht="15.6" x14ac:dyDescent="0.25">
      <c r="A666" s="2" t="s">
        <v>506</v>
      </c>
      <c r="B666" s="213" t="s">
        <v>798</v>
      </c>
      <c r="C666" s="2" t="s">
        <v>507</v>
      </c>
      <c r="D666" s="3">
        <v>2.5124714800000007E-2</v>
      </c>
      <c r="E666" s="5">
        <v>23.836795950416121</v>
      </c>
      <c r="BS666" s="3">
        <v>0.59889270000000006</v>
      </c>
      <c r="CN666" s="3">
        <v>0.12950040000000004</v>
      </c>
      <c r="CP666" s="31">
        <v>8.4461300000000001</v>
      </c>
      <c r="CQ666" s="18" t="s">
        <v>35</v>
      </c>
    </row>
    <row r="667" spans="1:95" ht="15.6" x14ac:dyDescent="0.25">
      <c r="A667" s="2" t="s">
        <v>508</v>
      </c>
      <c r="B667" s="213" t="s">
        <v>798</v>
      </c>
      <c r="C667" s="2" t="s">
        <v>509</v>
      </c>
      <c r="D667" s="3">
        <v>0.16696751374666663</v>
      </c>
      <c r="E667" s="5">
        <v>47.728121214592264</v>
      </c>
      <c r="BS667" s="3">
        <v>7.9690457350000052</v>
      </c>
      <c r="CN667" s="3">
        <v>0.61581110000000017</v>
      </c>
      <c r="CP667" s="31">
        <v>1.0354201949999999</v>
      </c>
      <c r="CQ667" s="18" t="s">
        <v>35</v>
      </c>
    </row>
    <row r="668" spans="1:95" ht="15.6" x14ac:dyDescent="0.25">
      <c r="A668" s="2" t="s">
        <v>510</v>
      </c>
      <c r="B668" s="213" t="s">
        <v>798</v>
      </c>
      <c r="C668" s="2" t="s">
        <v>512</v>
      </c>
      <c r="D668" s="3">
        <v>0.103605584</v>
      </c>
      <c r="E668" s="5">
        <v>33.585229151355371</v>
      </c>
      <c r="BS668" s="3">
        <v>3.479617279999998</v>
      </c>
      <c r="CN668" s="3">
        <v>0.43707940000000006</v>
      </c>
      <c r="CP668" s="3">
        <v>0.97188121999999999</v>
      </c>
      <c r="CQ668" s="18" t="s">
        <v>35</v>
      </c>
    </row>
    <row r="669" spans="1:95" ht="15.6" x14ac:dyDescent="0.25">
      <c r="A669" s="2" t="s">
        <v>511</v>
      </c>
      <c r="B669" s="213" t="s">
        <v>798</v>
      </c>
      <c r="C669" s="2" t="s">
        <v>513</v>
      </c>
      <c r="D669" s="3">
        <v>3.4308287999999985E-2</v>
      </c>
      <c r="E669" s="5">
        <v>32.378791387084092</v>
      </c>
      <c r="BS669" s="3">
        <v>1.1108609</v>
      </c>
      <c r="CN669" s="3">
        <v>8.4467600000000018E-2</v>
      </c>
      <c r="CP669" s="3">
        <v>0.70833360000000001</v>
      </c>
      <c r="CQ669" s="18" t="s">
        <v>35</v>
      </c>
    </row>
    <row r="670" spans="1:95" ht="15.6" x14ac:dyDescent="0.25">
      <c r="A670" s="2" t="s">
        <v>514</v>
      </c>
      <c r="B670" s="213" t="s">
        <v>798</v>
      </c>
      <c r="C670" s="2" t="s">
        <v>515</v>
      </c>
      <c r="D670" s="3">
        <v>0.18292848</v>
      </c>
      <c r="E670" s="4">
        <v>7.7296843006622016</v>
      </c>
      <c r="BS670" s="3">
        <v>1.4139793999999997</v>
      </c>
      <c r="CN670" s="3">
        <v>5.431840000000001E-2</v>
      </c>
      <c r="CP670" s="3">
        <v>0.42944450000000001</v>
      </c>
      <c r="CQ670" s="18" t="s">
        <v>35</v>
      </c>
    </row>
    <row r="671" spans="1:95" ht="15.6" x14ac:dyDescent="0.25">
      <c r="A671" s="2" t="s">
        <v>516</v>
      </c>
      <c r="B671" s="213" t="s">
        <v>798</v>
      </c>
      <c r="C671" s="2" t="s">
        <v>517</v>
      </c>
      <c r="D671" s="7">
        <v>2.2849839999999999E-3</v>
      </c>
      <c r="E671" s="5">
        <v>38.368277414633972</v>
      </c>
      <c r="BS671" s="3">
        <v>8.7670899999999982E-2</v>
      </c>
      <c r="CP671" s="3">
        <v>0.1157542</v>
      </c>
      <c r="CQ671" s="18" t="s">
        <v>35</v>
      </c>
    </row>
    <row r="672" spans="1:95" ht="15.6" x14ac:dyDescent="0.25">
      <c r="A672" s="2" t="s">
        <v>518</v>
      </c>
      <c r="B672" s="213" t="s">
        <v>798</v>
      </c>
      <c r="C672" s="2" t="s">
        <v>519</v>
      </c>
      <c r="D672" s="7">
        <v>2.7787599999999999E-3</v>
      </c>
      <c r="E672" s="5">
        <v>24.712029826253445</v>
      </c>
      <c r="BS672" s="3">
        <v>6.8668800000000016E-2</v>
      </c>
      <c r="CN672" s="7">
        <v>4.322900000000001E-3</v>
      </c>
      <c r="CP672" s="48">
        <v>1.7540400000000001E-2</v>
      </c>
      <c r="CQ672" s="18" t="s">
        <v>35</v>
      </c>
    </row>
    <row r="673" spans="1:95" ht="15.6" x14ac:dyDescent="0.25">
      <c r="A673" s="2" t="s">
        <v>457</v>
      </c>
      <c r="B673" s="213" t="s">
        <v>798</v>
      </c>
      <c r="C673" s="2" t="s">
        <v>520</v>
      </c>
      <c r="D673" s="3">
        <v>0.74045876799999977</v>
      </c>
      <c r="E673" s="5">
        <v>45.610931168013373</v>
      </c>
      <c r="BS673" s="4">
        <v>33.773013899999974</v>
      </c>
      <c r="CN673" s="3">
        <v>6.6819593999999984</v>
      </c>
      <c r="CP673" s="49">
        <v>7.7127999999999997E-3</v>
      </c>
      <c r="CQ673" s="18" t="s">
        <v>35</v>
      </c>
    </row>
    <row r="674" spans="1:95" ht="15.6" x14ac:dyDescent="0.25">
      <c r="A674" s="2" t="s">
        <v>521</v>
      </c>
      <c r="B674" s="213" t="s">
        <v>798</v>
      </c>
      <c r="C674" s="2" t="s">
        <v>522</v>
      </c>
      <c r="D674" s="3">
        <v>2.8522168000000004E-2</v>
      </c>
      <c r="E674" s="5">
        <v>20.800087847459562</v>
      </c>
      <c r="BS674" s="3">
        <v>0.59326360000000011</v>
      </c>
      <c r="CN674" s="7">
        <v>1.1507000000000002E-3</v>
      </c>
      <c r="CP674" s="49">
        <v>3.7320000000000002E-4</v>
      </c>
      <c r="CQ674" s="18" t="s">
        <v>35</v>
      </c>
    </row>
    <row r="675" spans="1:95" ht="15.6" x14ac:dyDescent="0.25">
      <c r="A675" s="2" t="s">
        <v>523</v>
      </c>
      <c r="B675" s="213" t="s">
        <v>798</v>
      </c>
      <c r="C675" s="2" t="s">
        <v>524</v>
      </c>
      <c r="D675" s="3">
        <v>0.10379980400000006</v>
      </c>
      <c r="E675" s="5">
        <v>32.550795567976188</v>
      </c>
      <c r="BS675" s="3">
        <v>3.3787661999999989</v>
      </c>
      <c r="CN675" s="3">
        <v>0.49909279999999995</v>
      </c>
      <c r="CP675" s="48">
        <v>2.2112099999999999E-2</v>
      </c>
      <c r="CQ675" s="18" t="s">
        <v>35</v>
      </c>
    </row>
    <row r="676" spans="1:95" ht="15.6" x14ac:dyDescent="0.25">
      <c r="A676" s="2" t="s">
        <v>525</v>
      </c>
      <c r="B676" s="213" t="s">
        <v>798</v>
      </c>
      <c r="C676" s="2" t="s">
        <v>526</v>
      </c>
      <c r="D676" s="7">
        <v>2.2128479999999999E-3</v>
      </c>
      <c r="E676" s="5">
        <v>64.874586957622043</v>
      </c>
      <c r="BS676" s="3">
        <v>0.14355760000000001</v>
      </c>
      <c r="CP676" s="48">
        <v>0.68976689999999996</v>
      </c>
      <c r="CQ676" s="18" t="s">
        <v>35</v>
      </c>
    </row>
    <row r="677" spans="1:95" ht="15.6" x14ac:dyDescent="0.25">
      <c r="A677" s="2" t="s">
        <v>1418</v>
      </c>
      <c r="B677" s="213" t="s">
        <v>798</v>
      </c>
      <c r="C677" s="2" t="s">
        <v>527</v>
      </c>
      <c r="D677" s="7">
        <v>7.1033683999999972E-3</v>
      </c>
      <c r="E677" s="5">
        <v>51.912371601056236</v>
      </c>
      <c r="BS677" s="3">
        <v>0.3687527000000001</v>
      </c>
      <c r="CN677" s="7">
        <v>7.3085000000000008E-3</v>
      </c>
      <c r="CP677" s="48">
        <v>0.2343681</v>
      </c>
      <c r="CQ677" s="18" t="s">
        <v>35</v>
      </c>
    </row>
    <row r="678" spans="1:95" ht="15.6" x14ac:dyDescent="0.25">
      <c r="A678" s="2" t="s">
        <v>528</v>
      </c>
      <c r="B678" s="213" t="s">
        <v>798</v>
      </c>
      <c r="C678" s="2" t="s">
        <v>529</v>
      </c>
      <c r="D678" s="3">
        <v>1.9539213333333326E-2</v>
      </c>
      <c r="E678" s="5">
        <v>31.425953006637606</v>
      </c>
      <c r="BS678" s="3">
        <v>0.61403839999999998</v>
      </c>
      <c r="CN678" s="7">
        <v>3.0167000000000002E-3</v>
      </c>
      <c r="CP678" s="48">
        <v>0.28003519999999998</v>
      </c>
      <c r="CQ678" s="18" t="s">
        <v>35</v>
      </c>
    </row>
    <row r="679" spans="1:95" ht="15.6" x14ac:dyDescent="0.25">
      <c r="A679" s="2" t="s">
        <v>530</v>
      </c>
      <c r="B679" s="213" t="s">
        <v>798</v>
      </c>
      <c r="C679" s="2" t="s">
        <v>531</v>
      </c>
      <c r="D679" s="3">
        <v>2.5348064727272728E-2</v>
      </c>
      <c r="E679" s="5">
        <v>25.535010540808294</v>
      </c>
      <c r="BS679" s="3">
        <v>0.64726310000000009</v>
      </c>
      <c r="CN679" s="3">
        <v>0.21514979999999997</v>
      </c>
      <c r="CP679" s="48">
        <v>1.12893E-2</v>
      </c>
      <c r="CQ679" s="18" t="s">
        <v>35</v>
      </c>
    </row>
    <row r="680" spans="1:95" ht="15.6" x14ac:dyDescent="0.25">
      <c r="A680" s="2" t="s">
        <v>532</v>
      </c>
      <c r="B680" s="213" t="s">
        <v>798</v>
      </c>
      <c r="C680" s="2" t="s">
        <v>533</v>
      </c>
      <c r="D680" s="3">
        <v>6.4255904000000016E-2</v>
      </c>
      <c r="E680" s="5">
        <v>36.274514167600856</v>
      </c>
      <c r="BS680" s="3">
        <v>2.3308517000000006</v>
      </c>
      <c r="CN680" s="3">
        <v>0.11939289999999998</v>
      </c>
      <c r="CP680" s="48">
        <v>0.15148809999999999</v>
      </c>
      <c r="CQ680" s="18" t="s">
        <v>35</v>
      </c>
    </row>
    <row r="681" spans="1:95" ht="15.6" x14ac:dyDescent="0.25">
      <c r="A681" s="2" t="s">
        <v>534</v>
      </c>
      <c r="B681" s="213" t="s">
        <v>798</v>
      </c>
      <c r="C681" s="2" t="s">
        <v>535</v>
      </c>
      <c r="D681" s="3">
        <v>3.1981649847272732E-2</v>
      </c>
      <c r="E681" s="5">
        <v>22.356226255193384</v>
      </c>
      <c r="BS681" s="3">
        <v>0.7149890000000001</v>
      </c>
      <c r="CN681" s="7">
        <v>1.5550000000000004E-4</v>
      </c>
      <c r="CP681" s="49">
        <v>6.5288000000000004E-3</v>
      </c>
      <c r="CQ681" s="18" t="s">
        <v>35</v>
      </c>
    </row>
    <row r="682" spans="1:95" ht="15.6" x14ac:dyDescent="0.25">
      <c r="A682" s="2" t="s">
        <v>536</v>
      </c>
      <c r="B682" s="213" t="s">
        <v>798</v>
      </c>
      <c r="C682" s="2" t="s">
        <v>537</v>
      </c>
      <c r="D682" s="3">
        <v>3.4481192000000001E-2</v>
      </c>
      <c r="E682" s="5">
        <v>11.309437910383144</v>
      </c>
      <c r="BS682" s="3">
        <v>0.38996290000000006</v>
      </c>
      <c r="CP682" s="49">
        <v>7.5573000000000003E-3</v>
      </c>
      <c r="CQ682" s="18" t="s">
        <v>35</v>
      </c>
    </row>
    <row r="683" spans="1:95" ht="15.6" x14ac:dyDescent="0.25">
      <c r="A683" s="2" t="s">
        <v>538</v>
      </c>
      <c r="B683" s="213" t="s">
        <v>798</v>
      </c>
      <c r="C683" s="2" t="s">
        <v>539</v>
      </c>
      <c r="D683" s="7">
        <v>2.0476404999999996E-3</v>
      </c>
      <c r="E683" s="5">
        <v>38.988142693993417</v>
      </c>
      <c r="BS683" s="3">
        <v>7.9833700000000007E-2</v>
      </c>
      <c r="CN683" s="7">
        <v>3.7630999999999997E-3</v>
      </c>
      <c r="CP683" s="49">
        <v>6.4377000000000002E-3</v>
      </c>
      <c r="CQ683" s="18" t="s">
        <v>35</v>
      </c>
    </row>
    <row r="684" spans="1:95" ht="15.6" x14ac:dyDescent="0.25">
      <c r="A684" s="2" t="s">
        <v>901</v>
      </c>
      <c r="B684" s="213" t="s">
        <v>798</v>
      </c>
      <c r="C684" s="2" t="s">
        <v>902</v>
      </c>
      <c r="D684" s="233" t="s">
        <v>1925</v>
      </c>
      <c r="E684" s="233" t="s">
        <v>1924</v>
      </c>
      <c r="BS684" s="49">
        <v>4.5094999999999996E-3</v>
      </c>
      <c r="CN684" s="7"/>
      <c r="CP684" s="48">
        <v>8.3223599999999995E-2</v>
      </c>
      <c r="CQ684" s="18" t="s">
        <v>35</v>
      </c>
    </row>
    <row r="685" spans="1:95" ht="15.6" x14ac:dyDescent="0.25">
      <c r="A685" s="2" t="s">
        <v>540</v>
      </c>
      <c r="B685" s="213" t="s">
        <v>798</v>
      </c>
      <c r="C685" s="2" t="s">
        <v>541</v>
      </c>
      <c r="D685" s="3">
        <v>1.6362281666666669E-2</v>
      </c>
      <c r="E685" s="4">
        <v>8.2879944718386334</v>
      </c>
      <c r="BS685" s="3">
        <v>0.13561049999999997</v>
      </c>
      <c r="CP685" s="48">
        <v>0.27181680000000003</v>
      </c>
      <c r="CQ685" s="18" t="s">
        <v>35</v>
      </c>
    </row>
    <row r="686" spans="1:95" ht="15.6" x14ac:dyDescent="0.25">
      <c r="A686" s="2" t="s">
        <v>542</v>
      </c>
      <c r="B686" s="213" t="s">
        <v>798</v>
      </c>
      <c r="C686" s="2" t="s">
        <v>543</v>
      </c>
      <c r="D686" s="3">
        <v>6.3722920864799998E-2</v>
      </c>
      <c r="E686" s="5">
        <v>22.949170531475293</v>
      </c>
      <c r="BS686" s="3">
        <v>1.4623881776900001</v>
      </c>
      <c r="CN686" s="3">
        <v>4.826720000000001E-2</v>
      </c>
      <c r="CP686" s="48">
        <v>3.9963499999999999E-2</v>
      </c>
      <c r="CQ686" s="18" t="s">
        <v>35</v>
      </c>
    </row>
    <row r="687" spans="1:95" ht="15.6" x14ac:dyDescent="0.25">
      <c r="A687" s="2" t="s">
        <v>544</v>
      </c>
      <c r="B687" s="213" t="s">
        <v>798</v>
      </c>
      <c r="C687" s="2" t="s">
        <v>545</v>
      </c>
      <c r="D687" s="7">
        <v>4.5547280000000001E-3</v>
      </c>
      <c r="E687" s="5">
        <v>16.27128996506487</v>
      </c>
      <c r="BS687" s="3">
        <v>7.4111299999999991E-2</v>
      </c>
      <c r="CN687" s="7">
        <v>2.3947000000000005E-3</v>
      </c>
      <c r="CP687" s="49">
        <v>8.4902999999999992E-3</v>
      </c>
      <c r="CQ687" s="18" t="s">
        <v>35</v>
      </c>
    </row>
    <row r="688" spans="1:95" ht="15.6" x14ac:dyDescent="0.25">
      <c r="A688" s="2" t="s">
        <v>1413</v>
      </c>
      <c r="B688" s="213" t="s">
        <v>798</v>
      </c>
      <c r="C688" s="2" t="s">
        <v>546</v>
      </c>
      <c r="D688" s="7">
        <v>2.0828000000000001E-3</v>
      </c>
      <c r="E688" s="5">
        <v>26.324803149606296</v>
      </c>
      <c r="BS688" s="3">
        <v>5.4829299999999997E-2</v>
      </c>
      <c r="CP688" s="49">
        <v>6.3133E-3</v>
      </c>
      <c r="CQ688" s="18" t="s">
        <v>35</v>
      </c>
    </row>
    <row r="689" spans="1:95" ht="15.6" x14ac:dyDescent="0.25">
      <c r="A689" s="2" t="s">
        <v>547</v>
      </c>
      <c r="B689" s="213" t="s">
        <v>798</v>
      </c>
      <c r="C689" s="2" t="s">
        <v>548</v>
      </c>
      <c r="D689" s="3">
        <v>0.28563620799999995</v>
      </c>
      <c r="E689" s="5">
        <v>15.510138686619175</v>
      </c>
      <c r="BS689" s="3">
        <v>4.4302571999999998</v>
      </c>
      <c r="CN689" s="3">
        <v>0.93981090000000023</v>
      </c>
      <c r="CP689" s="49">
        <v>2.3013999999999999E-3</v>
      </c>
      <c r="CQ689" s="18" t="s">
        <v>35</v>
      </c>
    </row>
    <row r="690" spans="1:95" ht="15.6" x14ac:dyDescent="0.25">
      <c r="A690" s="2" t="s">
        <v>549</v>
      </c>
      <c r="B690" s="213" t="s">
        <v>798</v>
      </c>
      <c r="C690" s="2" t="s">
        <v>550</v>
      </c>
      <c r="D690" s="7">
        <v>5.5237000000000005E-4</v>
      </c>
      <c r="E690" s="5">
        <v>37.159874721653964</v>
      </c>
      <c r="BS690" s="3">
        <v>2.0525999999999999E-2</v>
      </c>
      <c r="CP690" s="49">
        <v>6.2200000000000005E-4</v>
      </c>
      <c r="CQ690" s="18" t="s">
        <v>35</v>
      </c>
    </row>
    <row r="692" spans="1:95" x14ac:dyDescent="0.25">
      <c r="A692" s="266" t="s">
        <v>1675</v>
      </c>
      <c r="B692" s="266"/>
      <c r="C692" s="266"/>
    </row>
    <row r="693" spans="1:95" ht="15.6" x14ac:dyDescent="0.25">
      <c r="A693" s="2" t="s">
        <v>551</v>
      </c>
      <c r="B693" s="215" t="s">
        <v>793</v>
      </c>
      <c r="C693" s="2" t="s">
        <v>598</v>
      </c>
      <c r="D693" s="3">
        <v>6.5126057200000004E-2</v>
      </c>
      <c r="E693" s="5">
        <v>37.754398119134606</v>
      </c>
      <c r="BS693" s="3">
        <v>2.4587950914583332</v>
      </c>
      <c r="CN693" s="3">
        <v>6.8333049583333333E-2</v>
      </c>
      <c r="CQ693" s="18" t="s">
        <v>35</v>
      </c>
    </row>
    <row r="694" spans="1:95" ht="15.6" x14ac:dyDescent="0.25">
      <c r="A694" s="2" t="s">
        <v>552</v>
      </c>
      <c r="B694" s="215" t="s">
        <v>793</v>
      </c>
      <c r="C694" s="2" t="s">
        <v>599</v>
      </c>
      <c r="D694" s="3">
        <v>2.40869724E-2</v>
      </c>
      <c r="E694" s="5">
        <v>20.146785654140572</v>
      </c>
      <c r="BS694" s="3">
        <v>0.48527506999999992</v>
      </c>
      <c r="CN694" s="7">
        <v>1.4483529166666666E-3</v>
      </c>
      <c r="CQ694" s="18" t="s">
        <v>35</v>
      </c>
    </row>
    <row r="695" spans="1:95" ht="15.6" x14ac:dyDescent="0.25">
      <c r="A695" s="2" t="s">
        <v>553</v>
      </c>
      <c r="B695" s="215" t="s">
        <v>793</v>
      </c>
      <c r="C695" s="2" t="s">
        <v>554</v>
      </c>
      <c r="D695" s="3">
        <v>1.4079311333333332E-2</v>
      </c>
      <c r="E695" s="5">
        <v>29.116461786459531</v>
      </c>
      <c r="BS695" s="3">
        <v>0.40993973041666654</v>
      </c>
      <c r="CN695" s="7">
        <v>5.3335718750000009E-3</v>
      </c>
      <c r="CQ695" s="18" t="s">
        <v>35</v>
      </c>
    </row>
    <row r="696" spans="1:95" x14ac:dyDescent="0.25">
      <c r="A696" s="2" t="s">
        <v>555</v>
      </c>
      <c r="B696" s="215" t="s">
        <v>793</v>
      </c>
      <c r="C696" s="2" t="s">
        <v>556</v>
      </c>
      <c r="D696" s="7">
        <v>7.0713599999999992E-4</v>
      </c>
      <c r="E696" s="5">
        <v>32.406828389447007</v>
      </c>
      <c r="BS696" s="3">
        <v>2.2916034999999998E-2</v>
      </c>
      <c r="CQ696" s="18" t="s">
        <v>35</v>
      </c>
    </row>
    <row r="697" spans="1:95" x14ac:dyDescent="0.25">
      <c r="A697" s="2" t="s">
        <v>557</v>
      </c>
      <c r="B697" s="215" t="s">
        <v>793</v>
      </c>
      <c r="C697" s="2" t="s">
        <v>561</v>
      </c>
      <c r="D697" s="3">
        <v>1.3774826399999999E-2</v>
      </c>
      <c r="E697" s="5">
        <v>18.121930514099503</v>
      </c>
      <c r="BS697" s="3">
        <v>0.24962644686458335</v>
      </c>
      <c r="CN697" s="7">
        <v>5.8335999999999995E-3</v>
      </c>
      <c r="CQ697" s="18" t="s">
        <v>35</v>
      </c>
    </row>
    <row r="698" spans="1:95" x14ac:dyDescent="0.25">
      <c r="A698" s="2" t="s">
        <v>558</v>
      </c>
      <c r="B698" s="215" t="s">
        <v>793</v>
      </c>
      <c r="C698" s="2" t="s">
        <v>562</v>
      </c>
      <c r="D698" s="7">
        <v>7.5987656000000015E-3</v>
      </c>
      <c r="E698" s="5">
        <v>41.965601047754376</v>
      </c>
      <c r="BS698" s="3">
        <v>0.31888676562500001</v>
      </c>
      <c r="CQ698" s="18" t="s">
        <v>35</v>
      </c>
    </row>
    <row r="699" spans="1:95" ht="15.6" x14ac:dyDescent="0.25">
      <c r="A699" s="2" t="s">
        <v>559</v>
      </c>
      <c r="B699" s="215" t="s">
        <v>793</v>
      </c>
      <c r="C699" s="2" t="s">
        <v>563</v>
      </c>
      <c r="D699" s="7">
        <v>1.7178019999999998E-3</v>
      </c>
      <c r="E699" s="5">
        <v>10.354848933889553</v>
      </c>
      <c r="BS699" s="3">
        <v>1.7787580208333337E-2</v>
      </c>
      <c r="CN699" s="7">
        <v>7.4553179166666674E-3</v>
      </c>
      <c r="CQ699" s="18" t="s">
        <v>35</v>
      </c>
    </row>
    <row r="700" spans="1:95" x14ac:dyDescent="0.25">
      <c r="A700" s="2" t="s">
        <v>560</v>
      </c>
      <c r="B700" s="215" t="s">
        <v>793</v>
      </c>
      <c r="C700" s="2" t="s">
        <v>564</v>
      </c>
      <c r="D700" s="7">
        <v>1.9492976E-3</v>
      </c>
      <c r="E700" s="5">
        <v>6.3762018688167466</v>
      </c>
      <c r="BS700" s="3">
        <v>1.2429114999999999E-2</v>
      </c>
      <c r="CQ700" s="18" t="s">
        <v>35</v>
      </c>
    </row>
    <row r="701" spans="1:95" x14ac:dyDescent="0.25">
      <c r="A701" s="2" t="s">
        <v>565</v>
      </c>
      <c r="B701" s="215" t="s">
        <v>793</v>
      </c>
      <c r="C701" s="2" t="s">
        <v>567</v>
      </c>
      <c r="D701" s="7">
        <v>6.0756799999999995E-4</v>
      </c>
      <c r="E701" s="5">
        <v>15.535462697179575</v>
      </c>
      <c r="BS701" s="7">
        <v>9.4388500000000004E-3</v>
      </c>
      <c r="CQ701" s="18" t="s">
        <v>35</v>
      </c>
    </row>
    <row r="702" spans="1:95" ht="15.6" x14ac:dyDescent="0.25">
      <c r="A702" s="2" t="s">
        <v>566</v>
      </c>
      <c r="B702" s="215" t="s">
        <v>793</v>
      </c>
      <c r="C702" s="2" t="s">
        <v>568</v>
      </c>
      <c r="D702" s="7">
        <v>3.010408E-3</v>
      </c>
      <c r="E702" s="5">
        <v>14.328855092067256</v>
      </c>
      <c r="BS702" s="3">
        <v>4.3135700000000006E-2</v>
      </c>
      <c r="CQ702" s="18" t="s">
        <v>35</v>
      </c>
    </row>
    <row r="703" spans="1:95" x14ac:dyDescent="0.25">
      <c r="A703" s="2" t="s">
        <v>570</v>
      </c>
      <c r="B703" s="215" t="s">
        <v>793</v>
      </c>
      <c r="C703" s="2" t="s">
        <v>569</v>
      </c>
      <c r="D703" s="7">
        <v>1.5128240000000001E-3</v>
      </c>
      <c r="E703" s="5">
        <v>5.7816908146618502</v>
      </c>
      <c r="BS703" s="7">
        <v>8.7466806249999994E-3</v>
      </c>
      <c r="CN703" s="7">
        <v>2.4177010416666666E-3</v>
      </c>
      <c r="CQ703" s="18" t="s">
        <v>35</v>
      </c>
    </row>
    <row r="704" spans="1:95" ht="15.6" x14ac:dyDescent="0.25">
      <c r="A704" s="2" t="s">
        <v>571</v>
      </c>
      <c r="B704" s="215" t="s">
        <v>793</v>
      </c>
      <c r="C704" s="2" t="s">
        <v>573</v>
      </c>
      <c r="D704" s="7">
        <v>5.113528E-3</v>
      </c>
      <c r="E704" s="5">
        <v>8.4848046283635608</v>
      </c>
      <c r="BS704" s="3">
        <v>4.3387286041666667E-2</v>
      </c>
      <c r="CQ704" s="18" t="s">
        <v>35</v>
      </c>
    </row>
    <row r="705" spans="1:96" x14ac:dyDescent="0.25">
      <c r="A705" s="2" t="s">
        <v>572</v>
      </c>
      <c r="B705" s="215" t="s">
        <v>793</v>
      </c>
      <c r="C705" s="2" t="s">
        <v>574</v>
      </c>
      <c r="D705" s="3">
        <v>2.9618432000000004E-2</v>
      </c>
      <c r="E705" s="5">
        <v>19.685557835517198</v>
      </c>
      <c r="G705" s="3">
        <v>8.5309069703622398E-2</v>
      </c>
      <c r="R705" s="15">
        <v>260.82243999999992</v>
      </c>
      <c r="S705" s="5">
        <v>9.6875133903355906</v>
      </c>
      <c r="T705" s="5">
        <v>82.024238277452937</v>
      </c>
      <c r="U705" s="5"/>
      <c r="V705" s="5"/>
      <c r="W705" s="5"/>
      <c r="BS705" s="3">
        <v>0.58305535613333304</v>
      </c>
      <c r="BU705" s="3">
        <v>2.52672088E-2</v>
      </c>
      <c r="CQ705" s="18" t="s">
        <v>35</v>
      </c>
    </row>
    <row r="706" spans="1:96" x14ac:dyDescent="0.25">
      <c r="A706" s="2" t="s">
        <v>575</v>
      </c>
      <c r="B706" s="215" t="s">
        <v>793</v>
      </c>
      <c r="C706" s="2" t="s">
        <v>576</v>
      </c>
      <c r="D706" s="7">
        <v>3.4584640000000005E-3</v>
      </c>
      <c r="E706" s="5">
        <v>14.413068923082616</v>
      </c>
      <c r="BS706" s="3">
        <v>4.9847080000000002E-2</v>
      </c>
      <c r="CN706" s="3">
        <v>2.7951124999999997E-2</v>
      </c>
      <c r="CQ706" s="18" t="s">
        <v>35</v>
      </c>
    </row>
    <row r="707" spans="1:96" x14ac:dyDescent="0.25">
      <c r="A707" s="2" t="s">
        <v>577</v>
      </c>
      <c r="B707" s="215" t="s">
        <v>793</v>
      </c>
      <c r="C707" s="2">
        <v>1915</v>
      </c>
      <c r="D707" s="23">
        <v>6.8072000000000008E-5</v>
      </c>
      <c r="E707" s="5">
        <v>11.467416852744154</v>
      </c>
      <c r="R707" s="2">
        <v>8.9999999999999993E-3</v>
      </c>
      <c r="S707" s="18">
        <v>20</v>
      </c>
      <c r="BS707" s="7">
        <v>7.8061000000000016E-4</v>
      </c>
      <c r="BU707" s="18">
        <v>1.8E-3</v>
      </c>
      <c r="CQ707" s="18" t="s">
        <v>35</v>
      </c>
    </row>
    <row r="709" spans="1:96" x14ac:dyDescent="0.25">
      <c r="A709" s="266" t="s">
        <v>1676</v>
      </c>
      <c r="B709" s="266"/>
      <c r="C709" s="266"/>
    </row>
    <row r="710" spans="1:96" ht="15.6" x14ac:dyDescent="0.25">
      <c r="A710" s="2" t="s">
        <v>578</v>
      </c>
      <c r="B710" s="45" t="s">
        <v>794</v>
      </c>
      <c r="C710" s="2" t="s">
        <v>1583</v>
      </c>
      <c r="D710" s="3">
        <v>1.0861424100296453</v>
      </c>
      <c r="E710" s="5">
        <v>24.719942354634906</v>
      </c>
      <c r="BS710" s="4">
        <v>26.84937776485706</v>
      </c>
      <c r="CN710" s="3">
        <v>1.914493854878591</v>
      </c>
      <c r="CQ710" s="18" t="s">
        <v>35</v>
      </c>
    </row>
    <row r="711" spans="1:96" ht="15.6" x14ac:dyDescent="0.25">
      <c r="A711" s="2" t="s">
        <v>579</v>
      </c>
      <c r="B711" s="45" t="s">
        <v>794</v>
      </c>
      <c r="C711" s="2" t="s">
        <v>1584</v>
      </c>
      <c r="D711" s="3">
        <v>0.43486381207880681</v>
      </c>
      <c r="E711" s="5">
        <v>19.274014217822728</v>
      </c>
      <c r="BS711" s="3">
        <v>8.3815712968235125</v>
      </c>
      <c r="CN711" s="3">
        <v>0.42872416198576774</v>
      </c>
      <c r="CQ711" s="18" t="s">
        <v>35</v>
      </c>
    </row>
    <row r="712" spans="1:96" ht="15.6" x14ac:dyDescent="0.25">
      <c r="A712" s="2" t="s">
        <v>580</v>
      </c>
      <c r="B712" s="45" t="s">
        <v>794</v>
      </c>
      <c r="C712" s="2" t="s">
        <v>1585</v>
      </c>
      <c r="D712" s="7">
        <v>3.9073292000000003E-3</v>
      </c>
      <c r="E712" s="4">
        <v>9.6652598404045378</v>
      </c>
      <c r="BS712" s="3">
        <v>3.7765351999999995E-2</v>
      </c>
      <c r="CN712" s="3"/>
      <c r="CQ712" s="18" t="s">
        <v>35</v>
      </c>
    </row>
    <row r="713" spans="1:96" ht="15.6" x14ac:dyDescent="0.25">
      <c r="A713" s="2" t="s">
        <v>581</v>
      </c>
      <c r="B713" s="45" t="s">
        <v>794</v>
      </c>
      <c r="C713" s="2" t="s">
        <v>1586</v>
      </c>
      <c r="D713" s="7">
        <v>6.861120405581074E-3</v>
      </c>
      <c r="E713" s="5">
        <v>26.183894604341585</v>
      </c>
      <c r="BS713" s="3">
        <v>0.17965085356743221</v>
      </c>
      <c r="CN713" s="7">
        <v>6.8295599999999997E-4</v>
      </c>
      <c r="CQ713" s="18" t="s">
        <v>35</v>
      </c>
    </row>
    <row r="714" spans="1:96" ht="15.6" x14ac:dyDescent="0.25">
      <c r="A714" s="2" t="s">
        <v>582</v>
      </c>
      <c r="B714" s="45" t="s">
        <v>794</v>
      </c>
      <c r="C714" s="2" t="s">
        <v>1587</v>
      </c>
      <c r="D714" s="7">
        <v>9.4848863413083042E-3</v>
      </c>
      <c r="E714" s="4">
        <v>5.0286163928981802</v>
      </c>
      <c r="BS714" s="3">
        <v>4.7695854940678975E-2</v>
      </c>
      <c r="CN714" s="3">
        <v>2.4517685000000001E-2</v>
      </c>
      <c r="CQ714" s="18" t="s">
        <v>35</v>
      </c>
    </row>
    <row r="715" spans="1:96" ht="15.6" x14ac:dyDescent="0.25">
      <c r="A715" s="2" t="s">
        <v>583</v>
      </c>
      <c r="B715" s="45" t="s">
        <v>794</v>
      </c>
      <c r="C715" s="2" t="s">
        <v>1588</v>
      </c>
      <c r="D715" s="3">
        <v>1.6667562435090145E-2</v>
      </c>
      <c r="E715" s="4">
        <v>0.69561404356246892</v>
      </c>
      <c r="BS715" s="3">
        <v>1.1594190501802966E-2</v>
      </c>
      <c r="CN715" s="3"/>
      <c r="CQ715" s="18" t="s">
        <v>35</v>
      </c>
    </row>
    <row r="716" spans="1:96" ht="15.6" x14ac:dyDescent="0.25">
      <c r="A716" s="2" t="s">
        <v>584</v>
      </c>
      <c r="B716" s="45" t="s">
        <v>794</v>
      </c>
      <c r="C716" s="2" t="s">
        <v>1589</v>
      </c>
      <c r="D716" s="7">
        <v>1.4463559912859848E-3</v>
      </c>
      <c r="E716" s="4">
        <v>9.948318334081991</v>
      </c>
      <c r="BS716" s="3">
        <v>1.4388809825719695E-2</v>
      </c>
      <c r="CN716" s="3"/>
      <c r="CQ716" s="18" t="s">
        <v>35</v>
      </c>
    </row>
    <row r="717" spans="1:96" x14ac:dyDescent="0.25">
      <c r="A717" s="2" t="s">
        <v>903</v>
      </c>
      <c r="B717" s="45" t="s">
        <v>794</v>
      </c>
      <c r="CP717" s="5">
        <v>7.0018816873107497</v>
      </c>
      <c r="CQ717" s="18" t="s">
        <v>35</v>
      </c>
      <c r="CR717" s="233" t="s">
        <v>2177</v>
      </c>
    </row>
    <row r="719" spans="1:96" x14ac:dyDescent="0.25">
      <c r="A719" s="266" t="s">
        <v>1677</v>
      </c>
      <c r="B719" s="266"/>
      <c r="C719" s="266"/>
    </row>
    <row r="720" spans="1:96" ht="13.2" customHeight="1" x14ac:dyDescent="0.25">
      <c r="A720" s="2" t="s">
        <v>594</v>
      </c>
      <c r="B720" s="217" t="s">
        <v>796</v>
      </c>
      <c r="C720" s="2" t="s">
        <v>1581</v>
      </c>
      <c r="D720" s="3">
        <v>0.96144594872899414</v>
      </c>
      <c r="E720" s="5">
        <v>38.76163921981329</v>
      </c>
      <c r="BS720" s="5">
        <v>37.267220993984374</v>
      </c>
      <c r="CP720" s="3">
        <v>0.60819879187500003</v>
      </c>
      <c r="CQ720" s="18" t="s">
        <v>35</v>
      </c>
    </row>
    <row r="721" spans="1:95" ht="15.6" x14ac:dyDescent="0.25">
      <c r="A721" s="2" t="s">
        <v>585</v>
      </c>
      <c r="B721" s="217" t="s">
        <v>796</v>
      </c>
      <c r="C721" s="2" t="s">
        <v>1580</v>
      </c>
      <c r="D721" s="3">
        <v>1.1252125572920277</v>
      </c>
      <c r="E721" s="5">
        <v>19.161881434099595</v>
      </c>
      <c r="BS721" s="5">
        <v>21.561189610989832</v>
      </c>
      <c r="CN721" s="3">
        <v>8.2475022999999981E-2</v>
      </c>
      <c r="CP721" s="31">
        <v>6.7995278218484296</v>
      </c>
      <c r="CQ721" s="18" t="s">
        <v>35</v>
      </c>
    </row>
    <row r="722" spans="1:95" ht="15.6" x14ac:dyDescent="0.25">
      <c r="A722" s="2" t="s">
        <v>586</v>
      </c>
      <c r="B722" s="217" t="s">
        <v>796</v>
      </c>
      <c r="C722" s="2" t="s">
        <v>1582</v>
      </c>
      <c r="D722" s="3">
        <v>0.27199128960745544</v>
      </c>
      <c r="E722" s="5">
        <v>26.155795693972337</v>
      </c>
      <c r="BS722" s="4">
        <v>7.1141486015126656</v>
      </c>
      <c r="CN722" s="3">
        <v>3.3809494199999999E-3</v>
      </c>
      <c r="CP722" s="31">
        <v>7.9430475135889704</v>
      </c>
      <c r="CQ722" s="18" t="s">
        <v>35</v>
      </c>
    </row>
    <row r="723" spans="1:95" ht="15.6" x14ac:dyDescent="0.25">
      <c r="A723" s="2" t="s">
        <v>587</v>
      </c>
      <c r="B723" s="217" t="s">
        <v>796</v>
      </c>
      <c r="C723" s="2" t="s">
        <v>1573</v>
      </c>
      <c r="D723" s="3">
        <v>1.463519585899639</v>
      </c>
      <c r="E723" s="5">
        <v>10.475049949417821</v>
      </c>
      <c r="BS723" s="5">
        <v>15.330440764250005</v>
      </c>
      <c r="CN723" s="3">
        <v>0.117655965</v>
      </c>
      <c r="CP723" s="5">
        <v>10.338281565942999</v>
      </c>
      <c r="CQ723" s="18" t="s">
        <v>35</v>
      </c>
    </row>
    <row r="724" spans="1:95" ht="15.6" x14ac:dyDescent="0.25">
      <c r="A724" s="2" t="s">
        <v>588</v>
      </c>
      <c r="B724" s="217" t="s">
        <v>796</v>
      </c>
      <c r="C724" s="2" t="s">
        <v>1571</v>
      </c>
      <c r="D724" s="3">
        <v>1.348130024060981</v>
      </c>
      <c r="E724" s="5">
        <v>23.163679997765403</v>
      </c>
      <c r="BS724" s="5">
        <v>31.227652472728337</v>
      </c>
      <c r="CN724" s="3">
        <v>0.63252802797999996</v>
      </c>
      <c r="CP724" s="5">
        <v>11.379231055957501</v>
      </c>
      <c r="CQ724" s="18" t="s">
        <v>35</v>
      </c>
    </row>
    <row r="725" spans="1:95" ht="15.6" x14ac:dyDescent="0.25">
      <c r="A725" s="2" t="s">
        <v>589</v>
      </c>
      <c r="B725" s="217" t="s">
        <v>796</v>
      </c>
      <c r="C725" s="2" t="s">
        <v>1573</v>
      </c>
      <c r="D725" s="3">
        <v>0.61241886878254603</v>
      </c>
      <c r="E725" s="5">
        <v>16.50648350288839</v>
      </c>
      <c r="BS725" s="5">
        <v>10.108881954416665</v>
      </c>
      <c r="CN725" s="3">
        <v>4.2832475000000002E-2</v>
      </c>
      <c r="CP725" s="31">
        <v>3.4594265768749999</v>
      </c>
      <c r="CQ725" s="18" t="s">
        <v>35</v>
      </c>
    </row>
    <row r="726" spans="1:95" ht="15.6" x14ac:dyDescent="0.25">
      <c r="A726" s="2" t="s">
        <v>590</v>
      </c>
      <c r="B726" s="217" t="s">
        <v>796</v>
      </c>
      <c r="C726" s="2" t="s">
        <v>1574</v>
      </c>
      <c r="D726" s="3">
        <v>0.42060276411461817</v>
      </c>
      <c r="E726" s="5">
        <v>24.087570728547238</v>
      </c>
      <c r="BS726" s="5">
        <v>10.131298829233335</v>
      </c>
      <c r="CN726" s="3">
        <v>1.0037524999999999E-2</v>
      </c>
      <c r="CP726" s="31">
        <v>3.9009094828916702</v>
      </c>
      <c r="CQ726" s="18" t="s">
        <v>35</v>
      </c>
    </row>
    <row r="727" spans="1:95" ht="15.6" x14ac:dyDescent="0.25">
      <c r="A727" s="2" t="s">
        <v>591</v>
      </c>
      <c r="B727" s="217" t="s">
        <v>796</v>
      </c>
      <c r="C727" s="2" t="s">
        <v>1574</v>
      </c>
      <c r="D727" s="3">
        <v>0.80012297912454322</v>
      </c>
      <c r="E727" s="5">
        <v>27.139807078991875</v>
      </c>
      <c r="BS727" s="5">
        <v>21.715183292908346</v>
      </c>
      <c r="CN727" s="3">
        <v>0.18060547500000002</v>
      </c>
      <c r="CP727" s="31">
        <v>1.26919363054167</v>
      </c>
      <c r="CQ727" s="18" t="s">
        <v>35</v>
      </c>
    </row>
    <row r="728" spans="1:95" ht="15.6" x14ac:dyDescent="0.25">
      <c r="A728" s="2" t="s">
        <v>592</v>
      </c>
      <c r="B728" s="217" t="s">
        <v>796</v>
      </c>
      <c r="C728" s="2" t="s">
        <v>1575</v>
      </c>
      <c r="D728" s="3">
        <v>9.8681067611727333E-2</v>
      </c>
      <c r="E728" s="5">
        <v>23.676040564178191</v>
      </c>
      <c r="BS728" s="4">
        <v>2.336376959691667</v>
      </c>
      <c r="CP728" s="31">
        <v>3.5507488112500001</v>
      </c>
      <c r="CQ728" s="18" t="s">
        <v>35</v>
      </c>
    </row>
    <row r="729" spans="1:95" ht="15.6" x14ac:dyDescent="0.25">
      <c r="A729" s="2" t="s">
        <v>593</v>
      </c>
      <c r="B729" s="217" t="s">
        <v>796</v>
      </c>
      <c r="C729" s="2" t="s">
        <v>1576</v>
      </c>
      <c r="D729" s="3">
        <v>5.9126476744911845E-2</v>
      </c>
      <c r="E729" s="5">
        <v>37.526188502050488</v>
      </c>
      <c r="BS729" s="4">
        <v>2.2187913117916662</v>
      </c>
      <c r="CN729" s="7">
        <v>2.0482459999999997E-3</v>
      </c>
      <c r="CP729" s="31">
        <v>6.0665548677083398</v>
      </c>
      <c r="CQ729" s="18" t="s">
        <v>35</v>
      </c>
    </row>
    <row r="730" spans="1:95" ht="15.6" x14ac:dyDescent="0.25">
      <c r="A730" s="2" t="s">
        <v>595</v>
      </c>
      <c r="B730" s="217" t="s">
        <v>796</v>
      </c>
      <c r="C730" s="2" t="s">
        <v>1577</v>
      </c>
      <c r="D730" s="3">
        <v>6.4852821047732823E-2</v>
      </c>
      <c r="E730" s="5">
        <v>28.042776693472941</v>
      </c>
      <c r="BS730" s="4">
        <v>1.8186531785833333</v>
      </c>
      <c r="CN730" s="3">
        <v>1.2044874500000002E-2</v>
      </c>
      <c r="CQ730" s="18" t="s">
        <v>35</v>
      </c>
    </row>
    <row r="731" spans="1:95" ht="15.6" x14ac:dyDescent="0.25">
      <c r="A731" s="2" t="s">
        <v>596</v>
      </c>
      <c r="B731" s="217" t="s">
        <v>796</v>
      </c>
      <c r="C731" s="2" t="s">
        <v>1578</v>
      </c>
      <c r="D731" s="7">
        <v>8.8765610170807446E-3</v>
      </c>
      <c r="E731" s="5">
        <v>28.978095435461913</v>
      </c>
      <c r="BS731" s="3">
        <v>0.25722583229166668</v>
      </c>
      <c r="CQ731" s="18" t="s">
        <v>35</v>
      </c>
    </row>
    <row r="732" spans="1:95" ht="15.6" x14ac:dyDescent="0.25">
      <c r="A732" s="2" t="s">
        <v>597</v>
      </c>
      <c r="B732" s="217" t="s">
        <v>796</v>
      </c>
      <c r="C732" s="2" t="s">
        <v>1579</v>
      </c>
      <c r="D732" s="3">
        <v>5.3080831731154205</v>
      </c>
      <c r="E732" s="5">
        <v>10.868315266468523</v>
      </c>
      <c r="BS732" s="5">
        <v>57.689921386055005</v>
      </c>
      <c r="CN732" s="3">
        <v>0.35066071039999991</v>
      </c>
      <c r="CQ732" s="18" t="s">
        <v>35</v>
      </c>
    </row>
    <row r="734" spans="1:95" x14ac:dyDescent="0.25">
      <c r="A734" s="266" t="s">
        <v>1678</v>
      </c>
      <c r="B734" s="266"/>
      <c r="C734" s="266"/>
    </row>
    <row r="735" spans="1:95" x14ac:dyDescent="0.25">
      <c r="A735" s="2" t="s">
        <v>594</v>
      </c>
      <c r="B735" s="217" t="s">
        <v>796</v>
      </c>
      <c r="C735" s="2">
        <v>1879</v>
      </c>
      <c r="D735" s="23">
        <v>1.8796000000000001E-4</v>
      </c>
      <c r="E735" s="4">
        <v>7.4457331347095126</v>
      </c>
      <c r="BS735" s="7">
        <v>1.3994999999999999E-3</v>
      </c>
      <c r="CQ735" s="18" t="s">
        <v>35</v>
      </c>
    </row>
    <row r="736" spans="1:95" ht="15.6" x14ac:dyDescent="0.25">
      <c r="A736" s="2" t="s">
        <v>585</v>
      </c>
      <c r="B736" s="217" t="s">
        <v>796</v>
      </c>
      <c r="C736" s="2" t="s">
        <v>1571</v>
      </c>
      <c r="D736" s="3">
        <v>0.67261841599999994</v>
      </c>
      <c r="E736" s="4">
        <v>2.9589571930607583</v>
      </c>
      <c r="BS736" s="3">
        <v>1.9902491002083333</v>
      </c>
      <c r="CQ736" s="18" t="s">
        <v>35</v>
      </c>
    </row>
    <row r="737" spans="1:95" ht="15.6" x14ac:dyDescent="0.25">
      <c r="A737" s="2" t="s">
        <v>586</v>
      </c>
      <c r="B737" s="217" t="s">
        <v>796</v>
      </c>
      <c r="C737" s="2" t="s">
        <v>1572</v>
      </c>
      <c r="D737" s="3">
        <v>1.7104410800000001</v>
      </c>
      <c r="E737" s="4">
        <v>0.23138039438731589</v>
      </c>
      <c r="BS737" s="3">
        <v>0.39576253166666658</v>
      </c>
      <c r="CQ737" s="18" t="s">
        <v>35</v>
      </c>
    </row>
    <row r="738" spans="1:95" ht="15.6" x14ac:dyDescent="0.25">
      <c r="A738" s="2" t="s">
        <v>587</v>
      </c>
      <c r="B738" s="217" t="s">
        <v>796</v>
      </c>
      <c r="C738" s="2" t="s">
        <v>1573</v>
      </c>
      <c r="D738" s="3">
        <v>0.76361747200000019</v>
      </c>
      <c r="E738" s="4">
        <v>2.4386432241800935</v>
      </c>
      <c r="BS738" s="3">
        <v>1.8621905739583329</v>
      </c>
      <c r="CQ738" s="18" t="s">
        <v>35</v>
      </c>
    </row>
    <row r="739" spans="1:95" ht="15.6" x14ac:dyDescent="0.25">
      <c r="A739" s="2" t="s">
        <v>588</v>
      </c>
      <c r="B739" s="217" t="s">
        <v>796</v>
      </c>
      <c r="C739" s="2" t="s">
        <v>1571</v>
      </c>
      <c r="D739" s="3">
        <v>0.4268292199999999</v>
      </c>
      <c r="E739" s="4">
        <v>7.4730282943531083</v>
      </c>
      <c r="BS739" s="3">
        <v>3.1897068379166673</v>
      </c>
      <c r="CQ739" s="18" t="s">
        <v>35</v>
      </c>
    </row>
    <row r="740" spans="1:95" ht="15.6" x14ac:dyDescent="0.25">
      <c r="A740" s="2" t="s">
        <v>589</v>
      </c>
      <c r="B740" s="217" t="s">
        <v>796</v>
      </c>
      <c r="C740" s="2" t="s">
        <v>1573</v>
      </c>
      <c r="D740" s="3">
        <v>1.818590216</v>
      </c>
      <c r="E740" s="4">
        <v>0.47401387310389004</v>
      </c>
      <c r="BS740" s="3">
        <v>0.86203699187499994</v>
      </c>
      <c r="CQ740" s="18" t="s">
        <v>35</v>
      </c>
    </row>
    <row r="741" spans="1:95" ht="15.6" x14ac:dyDescent="0.25">
      <c r="A741" s="2" t="s">
        <v>590</v>
      </c>
      <c r="B741" s="217" t="s">
        <v>796</v>
      </c>
      <c r="C741" s="2" t="s">
        <v>1574</v>
      </c>
      <c r="D741" s="3">
        <v>2.5993455760000002</v>
      </c>
      <c r="E741" s="4">
        <v>0.44922896905853105</v>
      </c>
      <c r="BS741" s="3">
        <v>1.1677013333333337</v>
      </c>
      <c r="CQ741" s="18" t="s">
        <v>35</v>
      </c>
    </row>
    <row r="742" spans="1:95" ht="15.6" x14ac:dyDescent="0.25">
      <c r="A742" s="2" t="s">
        <v>591</v>
      </c>
      <c r="B742" s="217" t="s">
        <v>796</v>
      </c>
      <c r="C742" s="2" t="s">
        <v>1574</v>
      </c>
      <c r="D742" s="3">
        <v>1.4574387920000003</v>
      </c>
      <c r="E742" s="4">
        <v>0.3726145413888044</v>
      </c>
      <c r="BS742" s="3">
        <v>0.54306288708333317</v>
      </c>
      <c r="CQ742" s="18" t="s">
        <v>35</v>
      </c>
    </row>
    <row r="743" spans="1:95" ht="15.6" x14ac:dyDescent="0.25">
      <c r="A743" s="2" t="s">
        <v>592</v>
      </c>
      <c r="B743" s="217" t="s">
        <v>796</v>
      </c>
      <c r="C743" s="2" t="s">
        <v>1575</v>
      </c>
      <c r="D743" s="3">
        <v>1.6668495999999998E-2</v>
      </c>
      <c r="E743" s="4">
        <v>4.145796957325965</v>
      </c>
      <c r="BS743" s="3">
        <v>6.9104200000000005E-2</v>
      </c>
      <c r="CQ743" s="18" t="s">
        <v>35</v>
      </c>
    </row>
    <row r="744" spans="1:95" ht="15.6" x14ac:dyDescent="0.25">
      <c r="A744" s="2" t="s">
        <v>593</v>
      </c>
      <c r="B744" s="217" t="s">
        <v>796</v>
      </c>
      <c r="C744" s="2" t="s">
        <v>1576</v>
      </c>
      <c r="D744" s="7">
        <v>6.4099440000000008E-3</v>
      </c>
      <c r="E744" s="4">
        <v>2.7582690269993</v>
      </c>
      <c r="BS744" s="3">
        <v>1.7680350000000001E-2</v>
      </c>
      <c r="CQ744" s="18" t="s">
        <v>35</v>
      </c>
    </row>
    <row r="745" spans="1:95" ht="15.6" x14ac:dyDescent="0.25">
      <c r="A745" s="2" t="s">
        <v>595</v>
      </c>
      <c r="B745" s="217" t="s">
        <v>796</v>
      </c>
      <c r="C745" s="2" t="s">
        <v>1577</v>
      </c>
      <c r="D745" s="3">
        <v>3.1014415999999996E-2</v>
      </c>
      <c r="E745" s="4">
        <v>0.86625885523686796</v>
      </c>
      <c r="BS745" s="3">
        <v>2.6866512500000002E-2</v>
      </c>
      <c r="CQ745" s="18" t="s">
        <v>35</v>
      </c>
    </row>
    <row r="746" spans="1:95" ht="15.6" x14ac:dyDescent="0.25">
      <c r="A746" s="2" t="s">
        <v>596</v>
      </c>
      <c r="B746" s="217" t="s">
        <v>796</v>
      </c>
      <c r="C746" s="2" t="s">
        <v>1578</v>
      </c>
      <c r="D746" s="3">
        <v>0.24678233600000002</v>
      </c>
      <c r="E746" s="4">
        <v>1.139093824770343</v>
      </c>
      <c r="BS746" s="3">
        <v>0.28110823499999993</v>
      </c>
      <c r="CQ746" s="18" t="s">
        <v>35</v>
      </c>
    </row>
    <row r="747" spans="1:95" ht="15.6" x14ac:dyDescent="0.25">
      <c r="A747" s="2" t="s">
        <v>597</v>
      </c>
      <c r="B747" s="217" t="s">
        <v>796</v>
      </c>
      <c r="C747" s="2" t="s">
        <v>1579</v>
      </c>
      <c r="D747" s="7">
        <v>1.100328E-3</v>
      </c>
      <c r="E747" s="15">
        <v>173.7167475407762</v>
      </c>
      <c r="BS747" s="3">
        <v>0.19114540138804717</v>
      </c>
      <c r="CQ747" s="18" t="s">
        <v>35</v>
      </c>
    </row>
    <row r="749" spans="1:95" x14ac:dyDescent="0.25">
      <c r="A749" s="266" t="s">
        <v>1679</v>
      </c>
      <c r="B749" s="266"/>
      <c r="C749" s="266"/>
    </row>
    <row r="750" spans="1:95" ht="15.6" x14ac:dyDescent="0.25">
      <c r="A750" s="2" t="s">
        <v>600</v>
      </c>
      <c r="B750" s="216" t="s">
        <v>797</v>
      </c>
      <c r="C750" s="2" t="s">
        <v>1568</v>
      </c>
      <c r="D750" s="3">
        <v>0.66793163711531767</v>
      </c>
      <c r="E750" s="30">
        <v>28.139718322707623</v>
      </c>
      <c r="BS750" s="4">
        <v>18.795408127250003</v>
      </c>
      <c r="CN750" s="3">
        <v>1.765251031666667</v>
      </c>
      <c r="CQ750" s="18" t="s">
        <v>35</v>
      </c>
    </row>
    <row r="751" spans="1:95" ht="15.6" x14ac:dyDescent="0.25">
      <c r="A751" s="2" t="s">
        <v>601</v>
      </c>
      <c r="B751" s="216" t="s">
        <v>797</v>
      </c>
      <c r="C751" s="2" t="s">
        <v>1569</v>
      </c>
      <c r="D751" s="7">
        <v>3.7049025599999994E-3</v>
      </c>
      <c r="E751" s="30">
        <v>23.315204543463086</v>
      </c>
      <c r="BS751" s="3">
        <v>8.6380561000000008E-2</v>
      </c>
      <c r="CN751" s="7">
        <v>7.4472060000000005E-3</v>
      </c>
      <c r="CQ751" s="18" t="s">
        <v>35</v>
      </c>
    </row>
    <row r="752" spans="1:95" ht="15.6" x14ac:dyDescent="0.25">
      <c r="A752" s="2" t="s">
        <v>602</v>
      </c>
      <c r="B752" s="216" t="s">
        <v>797</v>
      </c>
      <c r="C752" s="2" t="s">
        <v>1570</v>
      </c>
      <c r="D752" s="7">
        <v>9.0192674399999888E-3</v>
      </c>
      <c r="E752" s="30">
        <v>42.910796533604064</v>
      </c>
      <c r="BS752" s="3">
        <v>0.38702394999999951</v>
      </c>
      <c r="CQ752" s="18" t="s">
        <v>35</v>
      </c>
    </row>
    <row r="753" spans="1:96" x14ac:dyDescent="0.25">
      <c r="A753" s="2" t="s">
        <v>604</v>
      </c>
      <c r="B753" s="216" t="s">
        <v>797</v>
      </c>
      <c r="C753" s="2" t="s">
        <v>603</v>
      </c>
      <c r="D753" s="7">
        <v>7.1430895999999994E-4</v>
      </c>
      <c r="E753" s="30">
        <v>42.177131587429628</v>
      </c>
      <c r="BS753" s="3">
        <v>3.0127503000000003E-2</v>
      </c>
      <c r="CQ753" s="18" t="s">
        <v>35</v>
      </c>
    </row>
    <row r="754" spans="1:96" x14ac:dyDescent="0.25">
      <c r="A754" s="2" t="s">
        <v>605</v>
      </c>
      <c r="B754" s="216" t="s">
        <v>797</v>
      </c>
      <c r="C754" s="2" t="s">
        <v>606</v>
      </c>
      <c r="D754" s="3">
        <v>0.30542914283314992</v>
      </c>
      <c r="E754" s="30">
        <v>18.198654630139359</v>
      </c>
      <c r="BS754" s="3">
        <v>5.5583994843999998</v>
      </c>
      <c r="CQ754" s="18" t="s">
        <v>35</v>
      </c>
    </row>
    <row r="755" spans="1:96" ht="15.6" x14ac:dyDescent="0.25">
      <c r="A755" s="2" t="s">
        <v>607</v>
      </c>
      <c r="B755" s="216" t="s">
        <v>797</v>
      </c>
      <c r="C755" s="2" t="s">
        <v>608</v>
      </c>
      <c r="D755" s="7">
        <v>6.3521040000000001E-4</v>
      </c>
      <c r="E755" s="33">
        <v>189.19574994364069</v>
      </c>
      <c r="BS755" s="3">
        <v>0.12017910799999999</v>
      </c>
      <c r="CQ755" s="18" t="s">
        <v>35</v>
      </c>
    </row>
    <row r="756" spans="1:96" x14ac:dyDescent="0.25">
      <c r="A756" s="2" t="s">
        <v>903</v>
      </c>
      <c r="B756" s="216" t="s">
        <v>797</v>
      </c>
      <c r="CP756" s="5">
        <v>1.80244</v>
      </c>
      <c r="CQ756" s="18" t="s">
        <v>35</v>
      </c>
      <c r="CR756" s="233" t="s">
        <v>2177</v>
      </c>
    </row>
  </sheetData>
  <mergeCells count="41">
    <mergeCell ref="BE2:BF3"/>
    <mergeCell ref="BE596:BF597"/>
    <mergeCell ref="BC2:BD3"/>
    <mergeCell ref="AY2:AZ3"/>
    <mergeCell ref="AY596:AZ597"/>
    <mergeCell ref="BC596:BD597"/>
    <mergeCell ref="E3:Q3"/>
    <mergeCell ref="A635:C635"/>
    <mergeCell ref="BA2:BB3"/>
    <mergeCell ref="BA596:BB597"/>
    <mergeCell ref="A749:C749"/>
    <mergeCell ref="D597:Q597"/>
    <mergeCell ref="A598:C598"/>
    <mergeCell ref="A734:C734"/>
    <mergeCell ref="A692:C692"/>
    <mergeCell ref="A709:C709"/>
    <mergeCell ref="A719:C719"/>
    <mergeCell ref="AR597:AX597"/>
    <mergeCell ref="A645:C645"/>
    <mergeCell ref="A657:C657"/>
    <mergeCell ref="BS597:CM597"/>
    <mergeCell ref="R3:Y3"/>
    <mergeCell ref="Z3:AE3"/>
    <mergeCell ref="AF3:AK3"/>
    <mergeCell ref="AL3:AQ3"/>
    <mergeCell ref="AR3:AX3"/>
    <mergeCell ref="AL597:AQ597"/>
    <mergeCell ref="R597:Y597"/>
    <mergeCell ref="Z597:AE597"/>
    <mergeCell ref="AF597:AK597"/>
    <mergeCell ref="BI2:BJ3"/>
    <mergeCell ref="BI596:BJ597"/>
    <mergeCell ref="BK3:BR3"/>
    <mergeCell ref="BK597:BR597"/>
    <mergeCell ref="BG2:BH3"/>
    <mergeCell ref="BG596:BH597"/>
    <mergeCell ref="CU3:CU4"/>
    <mergeCell ref="CV3:CV4"/>
    <mergeCell ref="BS3:BY3"/>
    <mergeCell ref="BZ3:CF3"/>
    <mergeCell ref="CG3:CM3"/>
  </mergeCells>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E217F-5333-423D-9CD7-E44C3BDEA473}">
  <sheetPr>
    <pageSetUpPr autoPageBreaks="0"/>
  </sheetPr>
  <dimension ref="A1:NK242"/>
  <sheetViews>
    <sheetView workbookViewId="0">
      <pane xSplit="1" ySplit="10" topLeftCell="B11" activePane="bottomRight" state="frozen"/>
      <selection pane="topRight" activeCell="B1" sqref="B1"/>
      <selection pane="bottomLeft" activeCell="A6" sqref="A6"/>
      <selection pane="bottomRight" activeCell="B11" sqref="B11"/>
    </sheetView>
  </sheetViews>
  <sheetFormatPr defaultColWidth="12.77734375" defaultRowHeight="13.2" x14ac:dyDescent="0.25"/>
  <cols>
    <col min="1" max="1" width="10.77734375" style="2" customWidth="1"/>
    <col min="2" max="10" width="12.77734375" style="2"/>
    <col min="11" max="11" width="12.77734375" style="209"/>
    <col min="12" max="12" width="1.77734375" style="2" customWidth="1"/>
    <col min="13" max="21" width="12.77734375" style="2"/>
    <col min="22" max="22" width="12.77734375" style="209"/>
    <col min="23" max="23" width="1.77734375" style="2" customWidth="1"/>
    <col min="24" max="29" width="12.77734375" style="2"/>
    <col min="30" max="30" width="8.77734375" style="2" customWidth="1"/>
    <col min="31" max="31" width="12.77734375" style="2"/>
    <col min="32" max="32" width="1.77734375" style="2" customWidth="1"/>
    <col min="33" max="38" width="12.77734375" style="2"/>
    <col min="39" max="39" width="1.77734375" style="2" customWidth="1"/>
    <col min="40" max="41" width="14.77734375" style="2" customWidth="1"/>
    <col min="42" max="45" width="12.77734375" style="2"/>
    <col min="46" max="46" width="16.77734375" style="2" customWidth="1"/>
    <col min="47" max="47" width="12.77734375" style="2"/>
    <col min="48" max="48" width="1.77734375" style="2" customWidth="1"/>
    <col min="49" max="49" width="14.77734375" style="2" customWidth="1"/>
    <col min="50" max="50" width="12.77734375" style="2"/>
    <col min="51" max="51" width="1.77734375" style="2" customWidth="1"/>
    <col min="52" max="58" width="12.77734375" style="2"/>
    <col min="59" max="59" width="1.77734375" style="2" customWidth="1"/>
    <col min="60" max="68" width="12.77734375" style="2"/>
    <col min="69" max="69" width="12.77734375" style="209"/>
    <col min="70" max="70" width="1.77734375" style="2" customWidth="1"/>
    <col min="71" max="75" width="12.77734375" style="2"/>
    <col min="76" max="76" width="12.77734375" style="209"/>
    <col min="77" max="77" width="1.77734375" style="2" customWidth="1"/>
    <col min="78" max="82" width="12.77734375" style="2"/>
    <col min="83" max="83" width="16.77734375" style="2" customWidth="1"/>
    <col min="84" max="84" width="12.77734375" style="2"/>
    <col min="85" max="85" width="16.77734375" style="2" customWidth="1"/>
    <col min="86" max="86" width="12.77734375" style="2"/>
    <col min="87" max="87" width="1.77734375" style="2" customWidth="1"/>
    <col min="88" max="93" width="12.77734375" style="2"/>
    <col min="94" max="94" width="14.77734375" style="2" customWidth="1"/>
    <col min="95" max="95" width="12.77734375" style="2"/>
    <col min="96" max="96" width="14.77734375" style="2" customWidth="1"/>
    <col min="97" max="97" width="12.77734375" style="2"/>
    <col min="98" max="98" width="12.77734375" style="209"/>
    <col min="99" max="99" width="1.77734375" style="2" customWidth="1"/>
    <col min="100" max="103" width="12.77734375" style="2"/>
    <col min="104" max="104" width="16.77734375" style="2" customWidth="1"/>
    <col min="105" max="105" width="12.77734375" style="2"/>
    <col min="106" max="106" width="12.77734375" style="209"/>
    <col min="107" max="107" width="1.77734375" style="2" customWidth="1"/>
    <col min="108" max="116" width="12.77734375" style="2"/>
    <col min="117" max="117" width="12.77734375" style="209"/>
    <col min="118" max="118" width="1.77734375" style="2" customWidth="1"/>
    <col min="119" max="127" width="12.77734375" style="2"/>
    <col min="128" max="128" width="12.77734375" style="209"/>
    <col min="129" max="129" width="1.77734375" style="2" customWidth="1"/>
    <col min="130" max="137" width="12.77734375" style="2"/>
    <col min="138" max="138" width="1.77734375" style="2" customWidth="1"/>
    <col min="139" max="144" width="12.77734375" style="2"/>
    <col min="145" max="145" width="12.77734375" style="209"/>
    <col min="146" max="146" width="1.77734375" style="2" customWidth="1"/>
    <col min="147" max="149" width="12.77734375" style="2"/>
    <col min="150" max="150" width="1.77734375" style="2" customWidth="1"/>
    <col min="151" max="153" width="12.77734375" style="2"/>
    <col min="154" max="154" width="1.77734375" style="2" customWidth="1"/>
    <col min="155" max="163" width="12.77734375" style="2"/>
    <col min="164" max="164" width="1.77734375" style="2" customWidth="1"/>
    <col min="165" max="170" width="12.77734375" style="2"/>
    <col min="171" max="171" width="1.77734375" style="2" customWidth="1"/>
    <col min="172" max="179" width="12.77734375" style="2"/>
    <col min="180" max="180" width="1.77734375" style="2" customWidth="1"/>
    <col min="181" max="185" width="12.77734375" style="2"/>
    <col min="186" max="186" width="1.77734375" style="2" customWidth="1"/>
    <col min="187" max="194" width="12.77734375" style="2"/>
    <col min="195" max="195" width="1.77734375" style="2" customWidth="1"/>
    <col min="196" max="202" width="14.77734375" style="2" customWidth="1"/>
    <col min="203" max="203" width="12.77734375" style="2"/>
    <col min="204" max="204" width="1.77734375" style="2" customWidth="1"/>
    <col min="205" max="228" width="12.77734375" style="2"/>
    <col min="229" max="229" width="1.77734375" style="2" customWidth="1"/>
    <col min="230" max="235" width="12.77734375" style="2"/>
    <col min="236" max="236" width="1.77734375" style="2" customWidth="1"/>
    <col min="237" max="245" width="12.77734375" style="2"/>
    <col min="246" max="246" width="1.77734375" style="2" customWidth="1"/>
    <col min="247" max="251" width="12.77734375" style="2"/>
    <col min="252" max="252" width="1.77734375" style="2" customWidth="1"/>
    <col min="253" max="255" width="12.77734375" style="2"/>
    <col min="256" max="256" width="1.77734375" style="2" customWidth="1"/>
    <col min="257" max="260" width="12.77734375" style="2"/>
    <col min="261" max="261" width="1.77734375" style="2" customWidth="1"/>
    <col min="262" max="265" width="12.77734375" style="2"/>
    <col min="266" max="266" width="1.77734375" style="2" customWidth="1"/>
    <col min="267" max="267" width="12.77734375" style="2"/>
    <col min="268" max="268" width="7.77734375" style="2" customWidth="1"/>
    <col min="269" max="270" width="12.77734375" style="2"/>
    <col min="271" max="271" width="7.77734375" style="2" customWidth="1"/>
    <col min="272" max="275" width="12.77734375" style="2"/>
    <col min="276" max="276" width="7.77734375" style="2" customWidth="1"/>
    <col min="277" max="278" width="12.77734375" style="2"/>
    <col min="279" max="279" width="7.77734375" style="2" customWidth="1"/>
    <col min="280" max="285" width="12.77734375" style="2"/>
    <col min="286" max="286" width="1.77734375" style="2" customWidth="1"/>
    <col min="287" max="291" width="12.77734375" style="2"/>
    <col min="292" max="292" width="7.77734375" style="2" customWidth="1"/>
    <col min="293" max="296" width="12.77734375" style="2"/>
    <col min="297" max="297" width="1.77734375" style="2" customWidth="1"/>
    <col min="298" max="298" width="12.77734375" style="2"/>
    <col min="299" max="299" width="7.77734375" style="2" customWidth="1"/>
    <col min="300" max="301" width="12.77734375" style="2"/>
    <col min="302" max="302" width="7.77734375" style="2" customWidth="1"/>
    <col min="303" max="305" width="12.77734375" style="2"/>
    <col min="306" max="306" width="7.77734375" style="2" customWidth="1"/>
    <col min="307" max="308" width="12.77734375" style="2"/>
    <col min="309" max="309" width="7.77734375" style="2" customWidth="1"/>
    <col min="310" max="311" width="12.77734375" style="2"/>
    <col min="312" max="312" width="7.77734375" style="2" customWidth="1"/>
    <col min="313" max="318" width="12.77734375" style="2"/>
    <col min="319" max="319" width="1.77734375" style="2" customWidth="1"/>
    <col min="320" max="320" width="14.77734375" style="2" customWidth="1"/>
    <col min="321" max="321" width="12.77734375" style="2"/>
    <col min="322" max="322" width="15.77734375" style="2" customWidth="1"/>
    <col min="323" max="323" width="1.77734375" style="2" customWidth="1"/>
    <col min="324" max="343" width="12.77734375" style="2"/>
    <col min="344" max="344" width="1.77734375" style="2" customWidth="1"/>
    <col min="345" max="361" width="12.77734375" style="2"/>
    <col min="362" max="362" width="1.77734375" style="2" customWidth="1"/>
    <col min="363" max="375" width="12.77734375" style="2"/>
    <col min="376" max="376" width="1.77734375" style="2" customWidth="1"/>
    <col min="377" max="16384" width="12.77734375" style="2"/>
  </cols>
  <sheetData>
    <row r="1" spans="1:375" x14ac:dyDescent="0.25">
      <c r="A1" s="53" t="s">
        <v>1164</v>
      </c>
      <c r="B1" s="37">
        <f t="shared" ref="B1:K1" si="0">SUM(B11:B233)</f>
        <v>1581351.7888214581</v>
      </c>
      <c r="C1" s="37">
        <f t="shared" si="0"/>
        <v>1321659.9616306706</v>
      </c>
      <c r="D1" s="37">
        <f t="shared" si="0"/>
        <v>2535198.1207461646</v>
      </c>
      <c r="E1" s="37">
        <f t="shared" si="0"/>
        <v>232207.81057519332</v>
      </c>
      <c r="F1" s="37">
        <f t="shared" si="0"/>
        <v>225677.21053736209</v>
      </c>
      <c r="G1" s="37">
        <f t="shared" si="0"/>
        <v>8691894.2224747352</v>
      </c>
      <c r="H1" s="37">
        <f t="shared" si="0"/>
        <v>716251.3026839355</v>
      </c>
      <c r="I1" s="37">
        <f t="shared" si="0"/>
        <v>15304240.417469516</v>
      </c>
      <c r="K1" s="37">
        <f t="shared" si="0"/>
        <v>13871039.188132092</v>
      </c>
      <c r="M1" s="37">
        <f t="shared" ref="M1:T1" si="1">SUM(M11:M233)</f>
        <v>49823106.381190561</v>
      </c>
      <c r="N1" s="37">
        <f t="shared" si="1"/>
        <v>30808539.654387996</v>
      </c>
      <c r="O1" s="37">
        <f t="shared" si="1"/>
        <v>22942.468000000001</v>
      </c>
      <c r="P1" s="37">
        <f t="shared" si="1"/>
        <v>7158863.4835927114</v>
      </c>
      <c r="Q1" s="37">
        <f t="shared" si="1"/>
        <v>966618.40697082889</v>
      </c>
      <c r="R1" s="37">
        <f t="shared" si="1"/>
        <v>2999629.7346519814</v>
      </c>
      <c r="S1" s="37">
        <f t="shared" si="1"/>
        <v>1690968.1416149759</v>
      </c>
      <c r="T1" s="37">
        <f t="shared" si="1"/>
        <v>98664374.544159085</v>
      </c>
      <c r="V1" s="37">
        <f t="shared" ref="V1" si="2">SUM(V11:V233)</f>
        <v>87913517.966720015</v>
      </c>
      <c r="X1" s="37">
        <f t="shared" ref="X1:AC1" si="3">SUM(X11:X233)</f>
        <v>772766510.1479001</v>
      </c>
      <c r="Y1" s="37">
        <f t="shared" si="3"/>
        <v>235176.016</v>
      </c>
      <c r="Z1" s="37">
        <f t="shared" si="3"/>
        <v>216847.49599999998</v>
      </c>
      <c r="AA1" s="37">
        <f t="shared" si="3"/>
        <v>1488431628.7879999</v>
      </c>
      <c r="AB1" s="37">
        <f t="shared" si="3"/>
        <v>318300544.8989467</v>
      </c>
      <c r="AC1" s="37">
        <f t="shared" si="3"/>
        <v>2579950707.3468471</v>
      </c>
      <c r="AG1" s="37">
        <f t="shared" ref="AG1:AJ1" si="4">SUM(AG11:AG233)</f>
        <v>197803033.01999339</v>
      </c>
      <c r="AH1" s="37">
        <f t="shared" si="4"/>
        <v>414147.45600000001</v>
      </c>
      <c r="AI1" s="37">
        <f t="shared" si="4"/>
        <v>430753967.03799993</v>
      </c>
      <c r="AJ1" s="37">
        <f t="shared" si="4"/>
        <v>63357332.868900008</v>
      </c>
      <c r="AK1" s="37">
        <f t="shared" ref="AK1" si="5">SUM(AK11:AK233)</f>
        <v>692328480.38289344</v>
      </c>
      <c r="AN1" s="37">
        <f t="shared" ref="AN1:AT1" si="6">SUM(AN11:AN233)</f>
        <v>7818414400.3845205</v>
      </c>
      <c r="AO1" s="37">
        <f t="shared" si="6"/>
        <v>7698864112.9226055</v>
      </c>
      <c r="AP1" s="37">
        <f t="shared" si="6"/>
        <v>22737941.824000005</v>
      </c>
      <c r="AQ1" s="37">
        <f t="shared" si="6"/>
        <v>33458243.571999989</v>
      </c>
      <c r="AR1" s="37">
        <f t="shared" si="6"/>
        <v>148765368.31999999</v>
      </c>
      <c r="AS1" s="37">
        <f t="shared" si="6"/>
        <v>319654507.65468293</v>
      </c>
      <c r="AT1" s="37">
        <f t="shared" si="6"/>
        <v>16041894574.677805</v>
      </c>
      <c r="AW1" s="37">
        <f>SUM(AW11:AW233)</f>
        <v>2938400845.1444001</v>
      </c>
      <c r="AZ1" s="37">
        <f t="shared" ref="AZ1:BE1" si="7">SUM(AZ11:AZ233)</f>
        <v>15417.354191579079</v>
      </c>
      <c r="BA1" s="37">
        <f t="shared" si="7"/>
        <v>1009.65</v>
      </c>
      <c r="BB1" s="9">
        <f t="shared" si="7"/>
        <v>7.0104000000000015</v>
      </c>
      <c r="BC1" s="37">
        <f t="shared" si="7"/>
        <v>124359.64857999996</v>
      </c>
      <c r="BD1" s="32">
        <f t="shared" si="7"/>
        <v>809.59744714388103</v>
      </c>
      <c r="BE1" s="37">
        <f t="shared" si="7"/>
        <v>141603.26061872294</v>
      </c>
      <c r="BH1" s="37">
        <f t="shared" ref="BH1:BQ1" si="8">SUM(BH11:BH233)</f>
        <v>14391928.272459999</v>
      </c>
      <c r="BI1" s="37">
        <f t="shared" si="8"/>
        <v>5451427.303257999</v>
      </c>
      <c r="BJ1" s="37">
        <f t="shared" si="8"/>
        <v>15360.704</v>
      </c>
      <c r="BK1" s="37">
        <f t="shared" si="8"/>
        <v>1872996.2389189978</v>
      </c>
      <c r="BL1" s="37">
        <f t="shared" si="8"/>
        <v>6852040.0092400005</v>
      </c>
      <c r="BM1" s="37">
        <f t="shared" si="8"/>
        <v>3289426.9830805506</v>
      </c>
      <c r="BN1" s="37">
        <f t="shared" si="8"/>
        <v>366917.65759999998</v>
      </c>
      <c r="BO1" s="37">
        <f t="shared" si="8"/>
        <v>32258163.866957553</v>
      </c>
      <c r="BQ1" s="37">
        <f t="shared" si="8"/>
        <v>31914580.028625958</v>
      </c>
      <c r="BS1" s="37">
        <f>SUM(BS11:BS233)</f>
        <v>201593.05</v>
      </c>
      <c r="BT1" s="37">
        <f>SUM(BT11:BT233)</f>
        <v>917751385.49800003</v>
      </c>
      <c r="BU1" s="37">
        <f>SUM(BU11:BU233)</f>
        <v>528942.66</v>
      </c>
      <c r="BV1" s="37">
        <f>SUM(BV11:BV233)</f>
        <v>918481921.20800006</v>
      </c>
      <c r="BX1" s="37">
        <f>SUM(BX11:BX233)</f>
        <v>913223498.65799999</v>
      </c>
      <c r="BZ1" s="37">
        <f t="shared" ref="BZ1:CG1" si="9">SUM(BZ11:BZ233)</f>
        <v>1552941.024</v>
      </c>
      <c r="CA1" s="37">
        <f t="shared" si="9"/>
        <v>4843399.082799999</v>
      </c>
      <c r="CB1" s="37">
        <f t="shared" si="9"/>
        <v>35778.184000000001</v>
      </c>
      <c r="CC1" s="37">
        <f t="shared" si="9"/>
        <v>115672688.60840102</v>
      </c>
      <c r="CD1" s="37">
        <f t="shared" si="9"/>
        <v>359783273.43266785</v>
      </c>
      <c r="CE1" s="37">
        <f t="shared" si="9"/>
        <v>14330676785.286081</v>
      </c>
      <c r="CF1" s="37">
        <f t="shared" si="9"/>
        <v>24219646.288000003</v>
      </c>
      <c r="CG1" s="37">
        <f t="shared" si="9"/>
        <v>14836784511.905947</v>
      </c>
      <c r="CJ1" s="37">
        <f t="shared" ref="CJ1:CR1" si="10">SUM(CJ11:CJ233)</f>
        <v>158387.272</v>
      </c>
      <c r="CK1" s="37">
        <f t="shared" si="10"/>
        <v>76352.400000000009</v>
      </c>
      <c r="CL1" s="37">
        <f t="shared" si="10"/>
        <v>443.99200000000008</v>
      </c>
      <c r="CM1" s="37">
        <f t="shared" si="10"/>
        <v>756</v>
      </c>
      <c r="CN1" s="37">
        <f t="shared" si="10"/>
        <v>62695.839999999989</v>
      </c>
      <c r="CO1" s="37">
        <f t="shared" si="10"/>
        <v>15788813.005000001</v>
      </c>
      <c r="CP1" s="37">
        <f t="shared" si="10"/>
        <v>142683626.96266669</v>
      </c>
      <c r="CQ1" s="37">
        <f t="shared" si="10"/>
        <v>140027.42553145249</v>
      </c>
      <c r="CR1" s="37">
        <f t="shared" si="10"/>
        <v>158911102.89719814</v>
      </c>
      <c r="CT1" s="37">
        <f t="shared" ref="CT1" si="11">SUM(CT11:CT233)</f>
        <v>154784355.2556667</v>
      </c>
      <c r="CV1" s="37">
        <f>SUM(CV11:CV233)</f>
        <v>327384.71469017025</v>
      </c>
      <c r="CW1" s="37">
        <f>SUM(CW11:CW233)</f>
        <v>3652.6784000000002</v>
      </c>
      <c r="CX1" s="37">
        <f>SUM(CX11:CX233)</f>
        <v>5777598.2016488891</v>
      </c>
      <c r="CY1" s="37">
        <f>SUM(CY11:CY233)</f>
        <v>6108635.594739059</v>
      </c>
      <c r="CZ1" s="37">
        <f>SUM(CZ11:CZ233)</f>
        <v>1231700.84148601</v>
      </c>
      <c r="DB1" s="37">
        <f>SUM(DB11:DB233)</f>
        <v>6175021.036401392</v>
      </c>
      <c r="DD1" s="37">
        <f t="shared" ref="DD1:DK1" si="12">SUM(DD11:DD233)</f>
        <v>16570706.762679884</v>
      </c>
      <c r="DE1" s="37">
        <f t="shared" si="12"/>
        <v>23363456.035760697</v>
      </c>
      <c r="DF1" s="37">
        <f t="shared" si="12"/>
        <v>10.16</v>
      </c>
      <c r="DG1" s="37">
        <f t="shared" si="12"/>
        <v>2586623.5785873458</v>
      </c>
      <c r="DH1" s="37">
        <f t="shared" si="12"/>
        <v>95416.081900000005</v>
      </c>
      <c r="DI1" s="37">
        <f t="shared" si="12"/>
        <v>1213675.7160136048</v>
      </c>
      <c r="DJ1" s="37">
        <f t="shared" si="12"/>
        <v>1267947.7568046895</v>
      </c>
      <c r="DK1" s="37">
        <f t="shared" si="12"/>
        <v>45097836.091746211</v>
      </c>
      <c r="DM1" s="37">
        <f t="shared" ref="DM1" si="13">SUM(DM11:DM233)</f>
        <v>42921034.703146957</v>
      </c>
      <c r="DO1" s="37">
        <f t="shared" ref="DO1:DV1" si="14">SUM(DO11:DO233)</f>
        <v>24114110.04212207</v>
      </c>
      <c r="DP1" s="37">
        <f t="shared" si="14"/>
        <v>24436684.500462092</v>
      </c>
      <c r="DQ1" s="37">
        <f t="shared" si="14"/>
        <v>19522</v>
      </c>
      <c r="DR1" s="37">
        <f t="shared" si="14"/>
        <v>6681196.369818748</v>
      </c>
      <c r="DS1" s="37">
        <f t="shared" si="14"/>
        <v>544472.04399199993</v>
      </c>
      <c r="DT1" s="37">
        <f t="shared" si="14"/>
        <v>4338308.762848747</v>
      </c>
      <c r="DU1" s="37">
        <f t="shared" si="14"/>
        <v>5375487.466106873</v>
      </c>
      <c r="DV1" s="37">
        <f t="shared" si="14"/>
        <v>65509781.185350522</v>
      </c>
      <c r="DX1" s="37">
        <f t="shared" ref="DX1" si="15">SUM(DX11:DX233)</f>
        <v>63340139.461484708</v>
      </c>
      <c r="DZ1" s="37">
        <f t="shared" ref="DZ1:EE1" si="16">SUM(DZ12:DZ233)</f>
        <v>179538.16056837665</v>
      </c>
      <c r="EA1" s="37">
        <f t="shared" si="16"/>
        <v>190562.69786407056</v>
      </c>
      <c r="EB1" s="37">
        <f t="shared" si="16"/>
        <v>10704.912704226283</v>
      </c>
      <c r="EC1" s="37">
        <f t="shared" si="16"/>
        <v>469369.37877494138</v>
      </c>
      <c r="ED1" s="37">
        <f>SUM(ED12:ED233)</f>
        <v>37579.598351796885</v>
      </c>
      <c r="EE1" s="37">
        <f t="shared" si="16"/>
        <v>5960.2002967358949</v>
      </c>
      <c r="EF1" s="37">
        <f>SUM(EF12:EF233)</f>
        <v>893714.94856014766</v>
      </c>
      <c r="EI1" s="37">
        <f>SUM(EI11:EI233)</f>
        <v>8892.76</v>
      </c>
      <c r="EJ1" s="37">
        <f>SUM(EJ11:EJ233)</f>
        <v>121128.04698449314</v>
      </c>
      <c r="EK1" s="9">
        <f>SUM(EK11:EK233)</f>
        <v>11.47</v>
      </c>
      <c r="EL1" s="37">
        <f>SUM(EL11:EL233)</f>
        <v>147376.24961302397</v>
      </c>
      <c r="EM1" s="37">
        <f>SUM(EM11:EM233)</f>
        <v>277408.52659751719</v>
      </c>
      <c r="EO1" s="37">
        <f t="shared" ref="EO1" si="17">SUM(EO11:EO233)</f>
        <v>278523.89675764751</v>
      </c>
      <c r="EQ1" s="9">
        <f>SUM(EQ11:EQ233)</f>
        <v>85.367906000000005</v>
      </c>
      <c r="ER1" s="9">
        <f>SUM(ER11:ER233)</f>
        <v>85.367906000000005</v>
      </c>
      <c r="EU1" s="37">
        <f>SUM(EU11:EU233)</f>
        <v>14283.616406522724</v>
      </c>
      <c r="EV1" s="37">
        <f>SUM(EV11:EV233)</f>
        <v>14283.616406522724</v>
      </c>
      <c r="EY1" s="37">
        <f t="shared" ref="EY1:FF1" si="18">SUM(EY11:EY233)</f>
        <v>3654.175999999999</v>
      </c>
      <c r="EZ1" s="37">
        <f t="shared" si="18"/>
        <v>49723.809401077349</v>
      </c>
      <c r="FA1" s="37">
        <f t="shared" si="18"/>
        <v>79044.78174750082</v>
      </c>
      <c r="FB1" s="37">
        <f t="shared" si="18"/>
        <v>6743.8102399999998</v>
      </c>
      <c r="FC1" s="37">
        <f t="shared" si="18"/>
        <v>339422.27601600002</v>
      </c>
      <c r="FD1" s="37">
        <f t="shared" ref="FD1:FE1" si="19">SUM(FD11:FD233)</f>
        <v>11232.134000000002</v>
      </c>
      <c r="FE1" s="32">
        <f t="shared" si="19"/>
        <v>227.584</v>
      </c>
      <c r="FF1" s="37">
        <f t="shared" si="18"/>
        <v>490048.57140457811</v>
      </c>
      <c r="FI1" s="37">
        <f t="shared" ref="FI1:FK1" si="20">SUM(FI11:FI233)</f>
        <v>14634.464</v>
      </c>
      <c r="FJ1" s="37">
        <f t="shared" si="20"/>
        <v>48394.112000000008</v>
      </c>
      <c r="FK1" s="10">
        <f t="shared" si="20"/>
        <v>2.6890000000000001</v>
      </c>
      <c r="FL1" s="37">
        <f>SUM(FL11:FL233)</f>
        <v>3129898.4539999999</v>
      </c>
      <c r="FM1" s="37">
        <f>SUM(FM11:FM233)</f>
        <v>3193190.5780486609</v>
      </c>
      <c r="FP1" s="37">
        <f t="shared" ref="FP1:FV1" si="21">SUM(FP11:FP233)</f>
        <v>2106.1680000000001</v>
      </c>
      <c r="FQ1" s="37">
        <f t="shared" si="21"/>
        <v>2778.7600000000007</v>
      </c>
      <c r="FR1" s="9">
        <f t="shared" si="21"/>
        <v>40.639999999999993</v>
      </c>
      <c r="FS1" s="37">
        <f t="shared" si="21"/>
        <v>1659.4080000000001</v>
      </c>
      <c r="FT1" s="32">
        <f t="shared" si="21"/>
        <v>221.48800000000003</v>
      </c>
      <c r="FU1" s="10">
        <f t="shared" si="21"/>
        <v>3.048</v>
      </c>
      <c r="FV1" s="37">
        <f t="shared" si="21"/>
        <v>6809.5119999999988</v>
      </c>
      <c r="FY1" s="9">
        <f t="shared" ref="FY1:GB1" si="22">SUM(FY11:FY233)</f>
        <v>3.6865165568942433</v>
      </c>
      <c r="FZ1" s="37">
        <f t="shared" si="22"/>
        <v>412101.1121705767</v>
      </c>
      <c r="GA1" s="10">
        <f t="shared" si="22"/>
        <v>1.9636246961178041</v>
      </c>
      <c r="GB1" s="37">
        <f t="shared" si="22"/>
        <v>412106.76231182966</v>
      </c>
      <c r="GE1" s="32">
        <f t="shared" ref="GE1:GK1" si="23">SUM(GE11:GE233)</f>
        <v>905.99317052164713</v>
      </c>
      <c r="GF1" s="32">
        <f t="shared" si="23"/>
        <v>414.48810564003242</v>
      </c>
      <c r="GG1" s="32">
        <f t="shared" si="23"/>
        <v>165.65236708939844</v>
      </c>
      <c r="GH1" s="10">
        <f t="shared" si="23"/>
        <v>0.67296274130068112</v>
      </c>
      <c r="GI1" s="32">
        <f t="shared" si="23"/>
        <v>328.06238129954926</v>
      </c>
      <c r="GJ1" s="10">
        <f t="shared" si="23"/>
        <v>0.16565236708939843</v>
      </c>
      <c r="GK1" s="37">
        <f t="shared" si="23"/>
        <v>1815.0346396590176</v>
      </c>
      <c r="GN1" s="37">
        <f t="shared" ref="GN1:GT1" si="24">SUM(GN11:GN233)</f>
        <v>33489692.544</v>
      </c>
      <c r="GO1" s="37">
        <f t="shared" si="24"/>
        <v>10758.423999999999</v>
      </c>
      <c r="GP1" s="37">
        <f t="shared" si="24"/>
        <v>16270.223999999998</v>
      </c>
      <c r="GQ1" s="37">
        <f t="shared" si="24"/>
        <v>481881.016</v>
      </c>
      <c r="GR1" s="37">
        <f t="shared" si="24"/>
        <v>145409.91999999998</v>
      </c>
      <c r="GS1" s="37">
        <f t="shared" si="24"/>
        <v>60496714.960000001</v>
      </c>
      <c r="GT1" s="37">
        <f t="shared" si="24"/>
        <v>94640727.088000014</v>
      </c>
      <c r="GW1" s="9">
        <f>SUM(GW11:GW233)</f>
        <v>659.8176000000002</v>
      </c>
      <c r="GX1" s="9">
        <f t="shared" ref="GX1:HZ1" si="25">SUM(GX11:GX233)</f>
        <v>500.80155840000015</v>
      </c>
      <c r="GY1" s="10">
        <f t="shared" si="25"/>
        <v>0.85776287999999945</v>
      </c>
      <c r="GZ1" s="10">
        <f t="shared" si="25"/>
        <v>7.7198659200000028</v>
      </c>
      <c r="HA1" s="10">
        <f t="shared" si="25"/>
        <v>8.5776287999999976</v>
      </c>
      <c r="HB1" s="10">
        <f t="shared" si="25"/>
        <v>9.6721000000000004</v>
      </c>
      <c r="HC1" s="22">
        <f t="shared" si="25"/>
        <v>2.9016300000000002E-2</v>
      </c>
      <c r="HD1" s="10">
        <f t="shared" si="25"/>
        <v>0.26114670000000001</v>
      </c>
      <c r="HE1" s="10">
        <f t="shared" si="25"/>
        <v>3.2401535000000004</v>
      </c>
      <c r="HF1" s="10">
        <f t="shared" si="25"/>
        <v>5.6194901000000002</v>
      </c>
      <c r="HG1" s="9">
        <f t="shared" si="25"/>
        <v>967.04044279999971</v>
      </c>
      <c r="HH1" s="10">
        <f t="shared" si="25"/>
        <v>2.9011213284000013</v>
      </c>
      <c r="HI1" s="9">
        <f t="shared" si="25"/>
        <v>26.110091955600002</v>
      </c>
      <c r="HJ1" s="9">
        <f t="shared" si="25"/>
        <v>323.95854833800001</v>
      </c>
      <c r="HK1" s="9">
        <f t="shared" si="25"/>
        <v>561.85049726680006</v>
      </c>
      <c r="HL1" s="37">
        <f t="shared" si="25"/>
        <v>6243.4792389959539</v>
      </c>
      <c r="HM1" s="37">
        <f t="shared" si="25"/>
        <v>23902.506635306025</v>
      </c>
      <c r="HN1" s="9">
        <f t="shared" si="25"/>
        <v>32.594999999999999</v>
      </c>
      <c r="HO1" s="37">
        <f t="shared" si="25"/>
        <v>6741.0705309959549</v>
      </c>
      <c r="HP1" s="37">
        <f t="shared" si="25"/>
        <v>23902.506635306025</v>
      </c>
      <c r="HQ1" s="10">
        <f t="shared" si="25"/>
        <v>3.7821221283999997</v>
      </c>
      <c r="HR1" s="9">
        <f t="shared" si="25"/>
        <v>66.636618255599984</v>
      </c>
      <c r="HS1" s="9">
        <f t="shared" si="25"/>
        <v>327.19870183800003</v>
      </c>
      <c r="HT1" s="9">
        <f t="shared" si="25"/>
        <v>575.99263136680008</v>
      </c>
      <c r="HV1" s="37">
        <f t="shared" si="25"/>
        <v>2310.4017439535514</v>
      </c>
      <c r="HW1" s="37">
        <f t="shared" si="25"/>
        <v>14437.855040000006</v>
      </c>
      <c r="HX1" s="37">
        <f t="shared" si="25"/>
        <v>16189.8</v>
      </c>
      <c r="HY1" s="37">
        <f t="shared" si="25"/>
        <v>329983.32902</v>
      </c>
      <c r="HZ1" s="37">
        <f t="shared" si="25"/>
        <v>362921.38580395351</v>
      </c>
      <c r="IC1" s="37">
        <f t="shared" ref="IC1:IJ1" si="26">SUM(IC11:IC233)</f>
        <v>18169.143112646267</v>
      </c>
      <c r="ID1" s="37">
        <f t="shared" si="26"/>
        <v>3039.603796111116</v>
      </c>
      <c r="IE1" s="9">
        <f t="shared" si="26"/>
        <v>62.453600963962941</v>
      </c>
      <c r="IF1" s="37">
        <f t="shared" si="26"/>
        <v>57398.16317560176</v>
      </c>
      <c r="IG1" s="9">
        <f t="shared" si="26"/>
        <v>1.8046749466219805</v>
      </c>
      <c r="IH1" s="32">
        <f t="shared" si="26"/>
        <v>118.21984668046366</v>
      </c>
      <c r="II1" s="37">
        <f t="shared" si="26"/>
        <v>3730.4792607994655</v>
      </c>
      <c r="IJ1" s="37">
        <f t="shared" si="26"/>
        <v>82519.86746774966</v>
      </c>
      <c r="IM1" s="22">
        <f t="shared" ref="IM1:IP1" si="27">SUM(IM11:IM233)</f>
        <v>1.4273763967999999</v>
      </c>
      <c r="IN1" s="37">
        <f t="shared" si="27"/>
        <v>12797.053775260001</v>
      </c>
      <c r="IO1" s="10">
        <f t="shared" si="27"/>
        <v>3.8769389567999997</v>
      </c>
      <c r="IP1" s="37">
        <f t="shared" si="27"/>
        <v>12802.358090613599</v>
      </c>
      <c r="IS1" s="51">
        <f t="shared" ref="IS1:IU1" si="28">SUM(IS11:IS233)</f>
        <v>6.8177663999999995E-3</v>
      </c>
      <c r="IT1" s="10">
        <f t="shared" si="28"/>
        <v>1.6544446464</v>
      </c>
      <c r="IU1" s="10">
        <f t="shared" si="28"/>
        <v>1.6612624128000002</v>
      </c>
      <c r="IW1" s="37">
        <f t="shared" ref="IW1:JD1" si="29">SUM(IW11:IW233)</f>
        <v>24997.925071206293</v>
      </c>
      <c r="IX1" s="37">
        <f t="shared" si="29"/>
        <v>1927.1580000000004</v>
      </c>
      <c r="IY1" s="37">
        <f t="shared" si="29"/>
        <v>6111.2031207475284</v>
      </c>
      <c r="IZ1" s="37">
        <f t="shared" si="29"/>
        <v>33036.286191953826</v>
      </c>
      <c r="JB1" s="37">
        <f>SUM(JB11:JB233)</f>
        <v>319.52400000000006</v>
      </c>
      <c r="JC1" s="37">
        <f t="shared" si="29"/>
        <v>6734215.3550000004</v>
      </c>
      <c r="JD1" s="37">
        <f t="shared" si="29"/>
        <v>6734534.8789999997</v>
      </c>
      <c r="JG1" s="37">
        <f t="shared" ref="JG1" si="30">SUM(JG11:JG233)</f>
        <v>6546927.2780715786</v>
      </c>
      <c r="JJ1" s="37">
        <f t="shared" ref="JJ1" si="31">SUM(JJ11:JJ233)</f>
        <v>1785115.0452839902</v>
      </c>
      <c r="JM1" s="37">
        <f t="shared" ref="JM1:JO1" si="32">SUM(JM11:JM233)</f>
        <v>1406285</v>
      </c>
      <c r="JN1" s="37">
        <f t="shared" si="32"/>
        <v>73311.512000000002</v>
      </c>
      <c r="JO1" s="37">
        <f t="shared" si="32"/>
        <v>1385392.4</v>
      </c>
      <c r="JR1" s="37">
        <f t="shared" ref="JR1" si="33">SUM(JR11:JR233)</f>
        <v>43502337.638799995</v>
      </c>
      <c r="JU1" s="37">
        <f t="shared" ref="JU1:JV1" si="34">SUM(JU11:JU233)</f>
        <v>4000</v>
      </c>
      <c r="JV1" s="37">
        <f t="shared" si="34"/>
        <v>54703368.874155559</v>
      </c>
      <c r="JX1" s="37">
        <f t="shared" ref="JX1" si="35">SUM(JX11:JX233)</f>
        <v>71615000</v>
      </c>
      <c r="KA1" s="37">
        <f t="shared" ref="KA1" si="36">SUM(KA11:KA233)</f>
        <v>4219.0000000000009</v>
      </c>
      <c r="KC1" s="37">
        <f t="shared" ref="KC1" si="37">SUM(KC11:KC233)</f>
        <v>11497</v>
      </c>
      <c r="KE1" s="37">
        <f t="shared" ref="KE1" si="38">SUM(KE11:KE233)</f>
        <v>1357357.4025999999</v>
      </c>
      <c r="KH1" s="37">
        <f t="shared" ref="KH1:KI1" si="39">SUM(KH11:KH233)</f>
        <v>4000</v>
      </c>
      <c r="KI1" s="37">
        <f t="shared" si="39"/>
        <v>1377073.4025999999</v>
      </c>
      <c r="KL1" s="37">
        <f t="shared" ref="KL1" si="40">SUM(KL11:KL233)</f>
        <v>4227254.8407515399</v>
      </c>
      <c r="KO1" s="37">
        <f t="shared" ref="KO1" si="41">SUM(KO11:KO233)</f>
        <v>5150597.0207790975</v>
      </c>
      <c r="KR1" s="37">
        <f t="shared" ref="KR1:KS1" si="42">SUM(KR11:KR233)</f>
        <v>1508708</v>
      </c>
      <c r="KS1" s="37">
        <f t="shared" si="42"/>
        <v>40026.504000000001</v>
      </c>
      <c r="KV1" s="37">
        <f t="shared" ref="KV1" si="43">SUM(KV11:KV233)</f>
        <v>404708.14600000001</v>
      </c>
      <c r="KY1" s="37">
        <f t="shared" ref="KY1" si="44">SUM(KY11:KY233)</f>
        <v>3744654.1669199998</v>
      </c>
      <c r="LB1" s="37">
        <f t="shared" ref="LB1:LC1" si="45">SUM(LB11:LB233)</f>
        <v>8000</v>
      </c>
      <c r="LC1" s="37">
        <f t="shared" si="45"/>
        <v>15083942.582450634</v>
      </c>
      <c r="LE1" s="37">
        <f t="shared" ref="LE1" si="46">SUM(LE11:LE233)</f>
        <v>13573000</v>
      </c>
      <c r="LH1" s="37">
        <f t="shared" ref="LH1" si="47">SUM(LH11:LH233)</f>
        <v>15461081.089460218</v>
      </c>
      <c r="LL1" s="37">
        <f t="shared" ref="LL1" si="48">SUM(LL11:LL233)</f>
        <v>4020258.7753755404</v>
      </c>
      <c r="LO1" s="37">
        <f t="shared" ref="LO1" si="49">SUM(LO11:LO233)</f>
        <v>5239720.3755499385</v>
      </c>
      <c r="LR1" s="37">
        <f t="shared" ref="LR1:LS1" si="50">SUM(LR11:LR233)</f>
        <v>1195927</v>
      </c>
      <c r="LS1" s="37">
        <f t="shared" si="50"/>
        <v>39000.055999999997</v>
      </c>
      <c r="LV1" s="37">
        <f t="shared" ref="LV1" si="51">SUM(LV11:LV233)</f>
        <v>2742103.35</v>
      </c>
      <c r="LY1" s="37">
        <f t="shared" ref="LY1" si="52">SUM(LY11:LY233)</f>
        <v>13562228.690879999</v>
      </c>
      <c r="MB1" s="37">
        <f t="shared" ref="MB1:MD1" si="53">SUM(MB11:MB233)</f>
        <v>26000</v>
      </c>
      <c r="MC1" s="37">
        <f t="shared" si="53"/>
        <v>26825238.24780548</v>
      </c>
      <c r="MD1" s="37">
        <f t="shared" si="53"/>
        <v>21864000</v>
      </c>
      <c r="MG1" s="37">
        <f t="shared" ref="MG1:MJ1" si="54">SUM(MG11:MG233)</f>
        <v>4687.6695732559192</v>
      </c>
      <c r="MH1" s="37"/>
      <c r="MJ1" s="37">
        <f t="shared" si="54"/>
        <v>22249.758399999999</v>
      </c>
      <c r="MM1" s="37">
        <f t="shared" ref="MM1" si="55">SUM(MM11:MM233)</f>
        <v>26983</v>
      </c>
      <c r="MN1" s="37">
        <f t="shared" ref="MN1" si="56">SUM(MN11:MN233)</f>
        <v>232206.78128</v>
      </c>
      <c r="MQ1" s="37">
        <f t="shared" ref="MQ1:MS1" si="57">SUM(MQ11:MQ233)</f>
        <v>286127.20925325592</v>
      </c>
      <c r="MS1" s="32">
        <f t="shared" si="57"/>
        <v>564.30399999999997</v>
      </c>
      <c r="MV1" s="37">
        <f t="shared" ref="MV1" si="58">SUM(MV11:MV233)</f>
        <v>263900</v>
      </c>
      <c r="MY1" s="37">
        <f>SUM(MY11:MY233)</f>
        <v>1418.2585343999999</v>
      </c>
      <c r="NA1" s="32">
        <f>SUM(NA11:NA233)</f>
        <v>202.71703609380663</v>
      </c>
      <c r="NC1" s="32">
        <f>SUM(NC11:NC233)</f>
        <v>110.10893840000003</v>
      </c>
      <c r="NE1" s="9">
        <f>SUM(NE11:NE233)</f>
        <v>1.025129275151955</v>
      </c>
      <c r="NG1" s="9">
        <f>SUM(NG11:NG233)</f>
        <v>10.658491699174455</v>
      </c>
      <c r="NI1" s="131">
        <f>SUM(NI11:NI233)</f>
        <v>10.43432</v>
      </c>
      <c r="NJ1" s="132">
        <f>SUM(NJ11:NJ233)</f>
        <v>1753.2278498681333</v>
      </c>
    </row>
    <row r="2" spans="1:375" x14ac:dyDescent="0.25">
      <c r="A2" s="71" t="s">
        <v>1165</v>
      </c>
      <c r="B2" s="25">
        <f>100*B1/I1</f>
        <v>10.33276886461071</v>
      </c>
      <c r="C2" s="38">
        <f>100*C1/I1</f>
        <v>8.6359069485214004</v>
      </c>
      <c r="D2" s="25">
        <f>100*D1/I1</f>
        <v>16.56533125193382</v>
      </c>
      <c r="E2" s="38">
        <f>100*E1/I1</f>
        <v>1.5172775926215343</v>
      </c>
      <c r="F2" s="38">
        <f>100*F1/I1</f>
        <v>1.4746057588049624</v>
      </c>
      <c r="G2" s="25">
        <f>100*G1/I1</f>
        <v>56.794025612359654</v>
      </c>
      <c r="H2" s="38">
        <f>100*H1/I1</f>
        <v>4.6800839711479405</v>
      </c>
      <c r="M2" s="25">
        <f>100*M1/T1</f>
        <v>50.497564710037558</v>
      </c>
      <c r="N2" s="25">
        <f>100*N1/T1</f>
        <v>31.225596672281196</v>
      </c>
      <c r="O2" s="72">
        <f>100*O1/T1</f>
        <v>2.3253041542093466E-2</v>
      </c>
      <c r="P2" s="38">
        <f>100*P1/T1</f>
        <v>7.2557734406846404</v>
      </c>
      <c r="Q2" s="38">
        <f>100*Q1/T1</f>
        <v>0.97970357734158731</v>
      </c>
      <c r="R2" s="38">
        <f>100*R1/T1</f>
        <v>3.0402358992398431</v>
      </c>
      <c r="S2" s="38">
        <f>100*S1/T1</f>
        <v>1.7138588770540997</v>
      </c>
      <c r="X2" s="25">
        <f>100*X1/AC1</f>
        <v>29.952762583692643</v>
      </c>
      <c r="Y2" s="73">
        <f>100*Y1/AC1</f>
        <v>9.1155236156371684E-3</v>
      </c>
      <c r="Z2" s="73">
        <f>100*Z1/AC1</f>
        <v>8.4051022906170246E-3</v>
      </c>
      <c r="AA2" s="25">
        <f>100*AA1/AC1</f>
        <v>57.692250652287214</v>
      </c>
      <c r="AB2" s="25">
        <f>100*AB1/AC1</f>
        <v>12.337466138113877</v>
      </c>
      <c r="AG2" s="25">
        <f>100*AG1/AK1</f>
        <v>28.570691315572933</v>
      </c>
      <c r="AH2" s="72">
        <f>100*AH1/AK1</f>
        <v>5.9819502986639385E-2</v>
      </c>
      <c r="AI2" s="25">
        <f>100*AI1/AK1</f>
        <v>62.218149223006215</v>
      </c>
      <c r="AJ2" s="38">
        <f>100*AJ1/AK1</f>
        <v>9.1513399584341997</v>
      </c>
      <c r="AN2" s="25">
        <f>100*AN1/AT1</f>
        <v>48.737475265084456</v>
      </c>
      <c r="AO2" s="25">
        <f>100*AO1/AT1</f>
        <v>47.992237307651259</v>
      </c>
      <c r="AP2" s="38">
        <f>100*AP1/AT1</f>
        <v>0.14174100021759237</v>
      </c>
      <c r="AQ2" s="38">
        <f>100*AQ1/AT1</f>
        <v>0.20856790584332827</v>
      </c>
      <c r="AR2" s="38">
        <f>100*AR1/AT1</f>
        <v>0.92735535461520069</v>
      </c>
      <c r="AS2" s="38">
        <f>100*AS1/AT1</f>
        <v>1.9926231665881837</v>
      </c>
      <c r="AZ2" s="25">
        <f>100*AZ1/BE1</f>
        <v>10.887711288719137</v>
      </c>
      <c r="BA2" s="38">
        <f>100*BA1/BE1</f>
        <v>0.71301324248355824</v>
      </c>
      <c r="BB2" s="73">
        <f>100*BB1/BE1</f>
        <v>4.9507334572443306E-3</v>
      </c>
      <c r="BC2" s="25">
        <f>100*BC1/BE1</f>
        <v>87.822588291132192</v>
      </c>
      <c r="BD2" s="38">
        <f>100*BD1/BE1</f>
        <v>0.57173644420786396</v>
      </c>
      <c r="BH2" s="25">
        <f>100*BH1/BO1</f>
        <v>44.614840236464396</v>
      </c>
      <c r="BI2" s="25">
        <f>100*BI1/BO1</f>
        <v>16.899372592133073</v>
      </c>
      <c r="BJ2" s="72">
        <f>100*BJ1/BO1</f>
        <v>4.7618035742369585E-2</v>
      </c>
      <c r="BK2" s="38">
        <f>100*BK1/BO1</f>
        <v>5.8062704580576945</v>
      </c>
      <c r="BL2" s="25">
        <f>100*BL1/BO1</f>
        <v>21.241258608208113</v>
      </c>
      <c r="BM2" s="25">
        <f>100*BM1/BO1</f>
        <v>10.197192241465276</v>
      </c>
      <c r="BN2" s="38">
        <f>100*BN1/BO1</f>
        <v>1.1374412353823971</v>
      </c>
      <c r="BS2" s="72">
        <f>100*BS1/BV1</f>
        <v>2.1948504956402631E-2</v>
      </c>
      <c r="BT2" s="25">
        <f>100*BT1/BV1</f>
        <v>99.920462701210354</v>
      </c>
      <c r="BU2" s="72">
        <f>100*BU1/BV1</f>
        <v>5.7588793833233794E-2</v>
      </c>
      <c r="BZ2" s="72">
        <f>100*BZ1/CG1</f>
        <v>1.0466830078672537E-2</v>
      </c>
      <c r="CA2" s="72">
        <f>100*CA1/CG1</f>
        <v>3.2644533449369427E-2</v>
      </c>
      <c r="CB2" s="73">
        <f>100*CB1/CG1</f>
        <v>2.4114513472436961E-4</v>
      </c>
      <c r="CC2" s="38">
        <f>100*CC1/CG1</f>
        <v>0.77963448559610837</v>
      </c>
      <c r="CD2" s="38">
        <f>100*CD1/CG1</f>
        <v>2.4249410183450171</v>
      </c>
      <c r="CE2" s="25">
        <f>100*CE1/CG1</f>
        <v>96.588831453245589</v>
      </c>
      <c r="CF2" s="38">
        <f>100*CF1/CG1</f>
        <v>0.16324053415054099</v>
      </c>
      <c r="CJ2" s="38">
        <f>100*CJ1/CR1</f>
        <v>9.9670362304679849E-2</v>
      </c>
      <c r="CK2" s="72">
        <f>100*CK1/CR1</f>
        <v>4.8047240632011386E-2</v>
      </c>
      <c r="CL2" s="73">
        <f>100*CL1/CR1</f>
        <v>2.7939646249087129E-4</v>
      </c>
      <c r="CM2" s="73">
        <f>100*CM1/CR1</f>
        <v>4.7573768365893676E-4</v>
      </c>
      <c r="CN2" s="72">
        <f>100*CN1/CR1</f>
        <v>3.9453404360649882E-2</v>
      </c>
      <c r="CO2" s="38">
        <f>100*CO1/CR1</f>
        <v>9.9356260935486738</v>
      </c>
      <c r="CP2" s="25">
        <f>100*CP1/CR1</f>
        <v>89.788330935548757</v>
      </c>
      <c r="CQ2" s="72">
        <f>100*CQ1/CR1</f>
        <v>8.811682945907072E-2</v>
      </c>
      <c r="CV2" s="38">
        <f>100*CV1/CY1</f>
        <v>5.359375422101194</v>
      </c>
      <c r="CW2" s="38">
        <f>100*CW1/CY1</f>
        <v>5.9795323249365158E-2</v>
      </c>
      <c r="CX2" s="38">
        <f>100*CX1/CY1</f>
        <v>94.580829254649444</v>
      </c>
      <c r="DD2" s="25">
        <f>100*DD1/DK1</f>
        <v>36.743906578951467</v>
      </c>
      <c r="DE2" s="38">
        <f>100*DE1/DK1</f>
        <v>51.806157590866469</v>
      </c>
      <c r="DF2" s="74">
        <f>100*DF1/DK1</f>
        <v>2.2528797123060811E-5</v>
      </c>
      <c r="DG2" s="38">
        <f>100*DG1/DK1</f>
        <v>5.7355824641456552</v>
      </c>
      <c r="DH2" s="38">
        <f>100*DH1/DK1</f>
        <v>0.21157574324827313</v>
      </c>
      <c r="DI2" s="38">
        <f>100*DI1/DK1</f>
        <v>2.6912061003204788</v>
      </c>
      <c r="DJ2" s="38">
        <f>100*DJ1/DK1</f>
        <v>2.8115489936705607</v>
      </c>
      <c r="DO2" s="25">
        <f>100*DO1/DV1</f>
        <v>36.809938311188453</v>
      </c>
      <c r="DP2" s="25">
        <f>100*DP1/DV1</f>
        <v>37.302344868657094</v>
      </c>
      <c r="DQ2" s="72">
        <f>100*DQ1/DV1</f>
        <v>2.9800130067241873E-2</v>
      </c>
      <c r="DR2" s="25">
        <f>100*DR1/DV1</f>
        <v>10.198776806955379</v>
      </c>
      <c r="DS2" s="38">
        <f>100*DS1/DV1</f>
        <v>0.83113091532315519</v>
      </c>
      <c r="DT2" s="38">
        <f>100*DT1/DV1</f>
        <v>6.6223832294205422</v>
      </c>
      <c r="DU2" s="38">
        <f>100*DU1/DV1</f>
        <v>8.2056257383881377</v>
      </c>
      <c r="DZ2" s="25">
        <f>100*DZ1/EF1</f>
        <v>20.088973655149019</v>
      </c>
      <c r="EA2" s="25">
        <f>100*EA1/EF1</f>
        <v>21.322536695965937</v>
      </c>
      <c r="EB2" s="38">
        <f>100*EB1/EF1</f>
        <v>1.1977994461738415</v>
      </c>
      <c r="EC2" s="25">
        <f>100*EC1/EF1</f>
        <v>52.518913276670169</v>
      </c>
      <c r="ED2" s="38">
        <f>100*ED1/EF1</f>
        <v>4.2048752135500118</v>
      </c>
      <c r="EE2" s="38">
        <f>100*EE1/EF1</f>
        <v>0.66690171249102359</v>
      </c>
      <c r="EI2" s="38">
        <f>100*EI1/EM1</f>
        <v>3.2056548906667928</v>
      </c>
      <c r="EJ2" s="25">
        <f>100*EJ1/EM1</f>
        <v>43.664139841034441</v>
      </c>
      <c r="EK2" s="73">
        <f>100*EK1/EM1</f>
        <v>4.1346962693188738E-3</v>
      </c>
      <c r="EL2" s="25">
        <f>100*EL1/EM1</f>
        <v>53.12607057202942</v>
      </c>
      <c r="EQ2" s="25">
        <f>100*EQ1/ER1</f>
        <v>100</v>
      </c>
      <c r="EU2" s="25">
        <f>100*EU1/EV1</f>
        <v>100</v>
      </c>
      <c r="EY2" s="38">
        <f>100*EY1/FF1</f>
        <v>0.74567628868428149</v>
      </c>
      <c r="EZ2" s="25">
        <f>100*EZ1/FF1</f>
        <v>10.146710408431327</v>
      </c>
      <c r="FA2" s="25">
        <f>100*FA1/FF1</f>
        <v>16.129989221464829</v>
      </c>
      <c r="FB2" s="38">
        <f>100*FB1/FF1</f>
        <v>1.3761513926407087</v>
      </c>
      <c r="FC2" s="25">
        <f>100*FC1/FF1</f>
        <v>69.262986532773112</v>
      </c>
      <c r="FD2" s="38">
        <f>100*FD1/FF1</f>
        <v>2.2920450452097918</v>
      </c>
      <c r="FE2" s="72">
        <f>100*FE1/FF1</f>
        <v>4.6441110795956073E-2</v>
      </c>
      <c r="FI2" s="38">
        <f>100*FI1/FM1</f>
        <v>0.45830224167024286</v>
      </c>
      <c r="FJ2" s="38">
        <f>100*FJ1/FM1</f>
        <v>1.5155409868950995</v>
      </c>
      <c r="FK2" s="38">
        <f>100*FK1/FM1</f>
        <v>8.4210445141775134E-5</v>
      </c>
      <c r="FL2" s="25">
        <f>100*FL1/FM1</f>
        <v>98.017903332054217</v>
      </c>
      <c r="FP2" s="38">
        <f>100*FP1/FV1</f>
        <v>30.929793500620903</v>
      </c>
      <c r="FQ2" s="38">
        <f>100*FQ1/FV1</f>
        <v>40.807035805208962</v>
      </c>
      <c r="FR2" s="38">
        <f>100*FR1/FV1</f>
        <v>0.59681222384217847</v>
      </c>
      <c r="FS2" s="25">
        <f>100*FS1/FV1</f>
        <v>24.368970933599947</v>
      </c>
      <c r="FT2" s="38">
        <f>100*FT1/FV1</f>
        <v>3.2526266199398735</v>
      </c>
      <c r="FU2" s="72">
        <f>100*FU1/FV1</f>
        <v>4.4760916788163393E-2</v>
      </c>
      <c r="FY2" s="73">
        <f>100*FY1/GB1</f>
        <v>8.9455376471225172E-4</v>
      </c>
      <c r="FZ2" s="25">
        <f>100*FZ1/GB1</f>
        <v>99.99862896177163</v>
      </c>
      <c r="GA2" s="73">
        <f>100*GA1/GB1</f>
        <v>4.7648446366235168E-4</v>
      </c>
      <c r="GE2" s="25">
        <f>100*GE1/GK1</f>
        <v>49.916026434176047</v>
      </c>
      <c r="GF2" s="25">
        <f>100*GF1/GK1</f>
        <v>22.836374391063991</v>
      </c>
      <c r="GG2" s="38">
        <f>100*GG1/GK1</f>
        <v>9.1266779966534859</v>
      </c>
      <c r="GH2" s="72">
        <f>100*GH1/GK1</f>
        <v>3.7077129361404781E-2</v>
      </c>
      <c r="GI2" s="25">
        <f>100*GI1/GK1</f>
        <v>18.074717370748409</v>
      </c>
      <c r="GJ2" s="72">
        <f>100*GJ1/GK1</f>
        <v>9.1266779966534851E-3</v>
      </c>
      <c r="GN2" s="25">
        <f>100*GN1/GT1</f>
        <v>35.386131926966492</v>
      </c>
      <c r="GO2" s="72">
        <f>100*GO1/GT1</f>
        <v>1.1367647239223413E-2</v>
      </c>
      <c r="GP2" s="72">
        <f>100*GP1/GT1</f>
        <v>1.7191566993004417E-2</v>
      </c>
      <c r="GQ2" s="38">
        <f>100*GQ1/GT1</f>
        <v>0.50916875939882777</v>
      </c>
      <c r="GR2" s="38">
        <f>100*GR1/GT1</f>
        <v>0.15364412814030171</v>
      </c>
      <c r="GS2" s="25">
        <f>100*GS1/GT1</f>
        <v>63.922495971262137</v>
      </c>
      <c r="HV2" s="38">
        <f>100*HV1/HZ1</f>
        <v>0.63661217947668902</v>
      </c>
      <c r="HW2" s="38">
        <f>100*HW1/HZ1</f>
        <v>3.9782320923350576</v>
      </c>
      <c r="HX2" s="38">
        <f>100*HX1/HZ1</f>
        <v>4.460966102654961</v>
      </c>
      <c r="HY2" s="25">
        <f>100*HY1/HZ1</f>
        <v>90.924189625533302</v>
      </c>
      <c r="IC2" s="25">
        <f>100*IC1/IJ1</f>
        <v>22.017901470512072</v>
      </c>
      <c r="ID2" s="38">
        <f>100*ID1/IJ1</f>
        <v>3.6834811899074502</v>
      </c>
      <c r="IE2" s="72">
        <f>100*IE1/IJ1</f>
        <v>7.5683108662736281E-2</v>
      </c>
      <c r="IF2" s="25">
        <f>100*IF1/IJ1</f>
        <v>69.556780611692162</v>
      </c>
      <c r="IG2" s="73">
        <f>100*IG1/IJ1</f>
        <v>2.1869581253596681E-3</v>
      </c>
      <c r="IH2" s="38">
        <f>100*IH1/IJ1</f>
        <v>0.14326228374841518</v>
      </c>
      <c r="II2" s="38">
        <f>100*II1/IJ1</f>
        <v>4.5207043773518034</v>
      </c>
      <c r="IM2" s="74">
        <f>100*IM1/IP1</f>
        <v>1.1149324106521596E-2</v>
      </c>
      <c r="IN2" s="25">
        <f>100*IN1/IP1</f>
        <v>99.958567669205507</v>
      </c>
      <c r="IO2" s="72">
        <f>100*IO1/IP1</f>
        <v>3.0283006687982613E-2</v>
      </c>
      <c r="IS2" s="38">
        <f t="shared" ref="IS2" si="59">100*IS1/IU1</f>
        <v>0.41039671682626533</v>
      </c>
      <c r="IT2" s="25">
        <f>100*IT1/IU1</f>
        <v>99.58960328317373</v>
      </c>
      <c r="IW2" s="25">
        <f>100*IW1/IZ1</f>
        <v>75.668084862682534</v>
      </c>
      <c r="IX2" s="38">
        <f>100*IX1/IZ1</f>
        <v>5.8334583639409523</v>
      </c>
      <c r="IY2" s="25">
        <f>100*IY1/IZ1</f>
        <v>18.498456773376503</v>
      </c>
      <c r="JB2" s="73">
        <f>100*JB1/JD1</f>
        <v>4.744559286437992E-3</v>
      </c>
      <c r="JC2" s="25">
        <f>100*JC1/JD1</f>
        <v>99.995255440713564</v>
      </c>
    </row>
    <row r="3" spans="1:375" s="199" customFormat="1" x14ac:dyDescent="0.25">
      <c r="A3" s="201" t="s">
        <v>1634</v>
      </c>
      <c r="B3" s="37">
        <f>SUM(B11:B112)</f>
        <v>370885.00930000003</v>
      </c>
      <c r="C3" s="37">
        <f t="shared" ref="C3:I3" si="60">SUM(C11:C112)</f>
        <v>355457.69879999984</v>
      </c>
      <c r="D3" s="37">
        <f t="shared" si="60"/>
        <v>1884750.6876000003</v>
      </c>
      <c r="E3" s="37">
        <f t="shared" si="60"/>
        <v>33460.521099999998</v>
      </c>
      <c r="F3" s="37">
        <f t="shared" si="60"/>
        <v>9588.2524000000012</v>
      </c>
      <c r="G3" s="37">
        <f t="shared" si="60"/>
        <v>164639.9479</v>
      </c>
      <c r="H3" s="37">
        <f t="shared" si="60"/>
        <v>12441.959300000002</v>
      </c>
      <c r="I3" s="37">
        <f t="shared" si="60"/>
        <v>2831224.0764000001</v>
      </c>
      <c r="K3" s="37">
        <f t="shared" ref="K3" si="61">SUM(K11:K112)</f>
        <v>1320278.3743533159</v>
      </c>
      <c r="M3" s="19">
        <f t="shared" ref="M3:T3" si="62">SUM(M11:M112)</f>
        <v>0</v>
      </c>
      <c r="N3" s="19">
        <f t="shared" si="62"/>
        <v>0</v>
      </c>
      <c r="O3" s="19">
        <f t="shared" si="62"/>
        <v>0</v>
      </c>
      <c r="P3" s="19">
        <f t="shared" si="62"/>
        <v>0</v>
      </c>
      <c r="Q3" s="19">
        <f t="shared" si="62"/>
        <v>0</v>
      </c>
      <c r="R3" s="19">
        <f t="shared" si="62"/>
        <v>0</v>
      </c>
      <c r="S3" s="19">
        <f t="shared" si="62"/>
        <v>0</v>
      </c>
      <c r="T3" s="37">
        <f t="shared" si="62"/>
        <v>5400204</v>
      </c>
      <c r="V3" s="37">
        <f t="shared" ref="V3" si="63">SUM(V11:V112)</f>
        <v>4946399.8152264999</v>
      </c>
      <c r="X3" s="19">
        <f t="shared" ref="X3:AC3" si="64">SUM(X11:X112)</f>
        <v>0</v>
      </c>
      <c r="Y3" s="19">
        <f t="shared" si="64"/>
        <v>0</v>
      </c>
      <c r="Z3" s="19">
        <f t="shared" si="64"/>
        <v>0</v>
      </c>
      <c r="AA3" s="19">
        <f t="shared" si="64"/>
        <v>0</v>
      </c>
      <c r="AB3" s="19">
        <f t="shared" si="64"/>
        <v>0</v>
      </c>
      <c r="AC3" s="19">
        <f t="shared" si="64"/>
        <v>0</v>
      </c>
      <c r="AG3" s="19">
        <f t="shared" ref="AG3:AK3" si="65">SUM(AG11:AG112)</f>
        <v>0</v>
      </c>
      <c r="AH3" s="19">
        <f t="shared" si="65"/>
        <v>0</v>
      </c>
      <c r="AI3" s="19">
        <f t="shared" si="65"/>
        <v>0</v>
      </c>
      <c r="AJ3" s="19">
        <f t="shared" si="65"/>
        <v>0</v>
      </c>
      <c r="AK3" s="19">
        <f t="shared" si="65"/>
        <v>0</v>
      </c>
      <c r="AN3" s="37">
        <f t="shared" ref="AN3:AT3" si="66">SUM(AN11:AN112)</f>
        <v>6254547.8160000006</v>
      </c>
      <c r="AO3" s="37">
        <f t="shared" si="66"/>
        <v>92939709.128000006</v>
      </c>
      <c r="AP3" s="37">
        <f t="shared" si="66"/>
        <v>1767400.0720000002</v>
      </c>
      <c r="AQ3" s="37">
        <f t="shared" si="66"/>
        <v>833758.60000000009</v>
      </c>
      <c r="AR3" s="19">
        <f t="shared" si="66"/>
        <v>0</v>
      </c>
      <c r="AS3" s="37">
        <f t="shared" si="66"/>
        <v>179074.06400000001</v>
      </c>
      <c r="AT3" s="37">
        <f t="shared" si="66"/>
        <v>101974489.67999999</v>
      </c>
      <c r="AW3" s="37">
        <f>SUM(AW11:AW112)</f>
        <v>54789.7304</v>
      </c>
      <c r="AZ3" s="19">
        <f>SUM(AZ11:AZ112)</f>
        <v>0</v>
      </c>
      <c r="BA3" s="9">
        <f t="shared" ref="BA3:BE3" si="67">SUM(BA11:BA112)</f>
        <v>35.2044</v>
      </c>
      <c r="BB3" s="19">
        <f t="shared" si="67"/>
        <v>0</v>
      </c>
      <c r="BC3" s="19">
        <f t="shared" si="67"/>
        <v>0</v>
      </c>
      <c r="BD3" s="19">
        <f t="shared" si="67"/>
        <v>0</v>
      </c>
      <c r="BE3" s="9">
        <f t="shared" si="67"/>
        <v>35.2044</v>
      </c>
      <c r="BH3" s="37">
        <f t="shared" ref="BH3:BO3" si="68">SUM(BH11:BH112)</f>
        <v>61555.376000000011</v>
      </c>
      <c r="BI3" s="37">
        <f t="shared" si="68"/>
        <v>113225.07200000001</v>
      </c>
      <c r="BJ3" s="19">
        <f t="shared" si="68"/>
        <v>0</v>
      </c>
      <c r="BK3" s="37">
        <f t="shared" si="68"/>
        <v>29671.264000000003</v>
      </c>
      <c r="BL3" s="37">
        <f t="shared" si="68"/>
        <v>313718.44800000003</v>
      </c>
      <c r="BM3" s="37">
        <f t="shared" si="68"/>
        <v>1200.912</v>
      </c>
      <c r="BN3" s="37">
        <f t="shared" si="68"/>
        <v>1871.4720000000004</v>
      </c>
      <c r="BO3" s="37">
        <f t="shared" si="68"/>
        <v>521242.54399999999</v>
      </c>
      <c r="BQ3" s="37">
        <f t="shared" ref="BQ3" si="69">SUM(BQ11:BQ112)</f>
        <v>232552.22851103859</v>
      </c>
      <c r="BS3" s="37">
        <f t="shared" ref="BS3:BV3" si="70">SUM(BS11:BS112)</f>
        <v>89858.75</v>
      </c>
      <c r="BT3" s="19">
        <f t="shared" si="70"/>
        <v>0</v>
      </c>
      <c r="BU3" s="19">
        <f t="shared" si="70"/>
        <v>0</v>
      </c>
      <c r="BV3" s="37">
        <f t="shared" si="70"/>
        <v>89858.75</v>
      </c>
      <c r="BX3" s="37">
        <f t="shared" ref="BX3" si="71">SUM(BX11:BX112)</f>
        <v>0</v>
      </c>
      <c r="BZ3" s="19">
        <f t="shared" ref="BZ3:CG3" si="72">SUM(BZ11:BZ112)</f>
        <v>0</v>
      </c>
      <c r="CA3" s="37">
        <f t="shared" si="72"/>
        <v>29764.380400000002</v>
      </c>
      <c r="CB3" s="19">
        <f t="shared" si="72"/>
        <v>0</v>
      </c>
      <c r="CC3" s="19">
        <f t="shared" si="72"/>
        <v>0</v>
      </c>
      <c r="CD3" s="37">
        <f t="shared" si="72"/>
        <v>26961.592000000001</v>
      </c>
      <c r="CE3" s="37">
        <f t="shared" si="72"/>
        <v>25606.248</v>
      </c>
      <c r="CF3" s="19">
        <f t="shared" si="72"/>
        <v>0</v>
      </c>
      <c r="CG3" s="37">
        <f t="shared" si="72"/>
        <v>82332.220399999991</v>
      </c>
      <c r="CJ3" s="37">
        <f t="shared" ref="CJ3:CR3" si="73">SUM(CJ11:CJ112)</f>
        <v>2102.1040000000003</v>
      </c>
      <c r="CK3" s="32">
        <f t="shared" si="73"/>
        <v>498.85599999999994</v>
      </c>
      <c r="CL3" s="19">
        <f t="shared" si="73"/>
        <v>0</v>
      </c>
      <c r="CM3" s="19">
        <f t="shared" si="73"/>
        <v>0</v>
      </c>
      <c r="CN3" s="37">
        <f t="shared" si="73"/>
        <v>13555.471999999998</v>
      </c>
      <c r="CO3" s="19">
        <f t="shared" si="73"/>
        <v>0</v>
      </c>
      <c r="CP3" s="19">
        <f t="shared" si="73"/>
        <v>0</v>
      </c>
      <c r="CQ3" s="19">
        <f t="shared" si="73"/>
        <v>0</v>
      </c>
      <c r="CR3" s="37">
        <f t="shared" si="73"/>
        <v>16156.432000000001</v>
      </c>
      <c r="CT3" s="37">
        <f t="shared" ref="CT3" si="74">SUM(CT11:CT112)</f>
        <v>0</v>
      </c>
      <c r="CV3" s="19">
        <f t="shared" ref="CV3:CZ3" si="75">SUM(CV11:CV112)</f>
        <v>0</v>
      </c>
      <c r="CW3" s="19">
        <f t="shared" si="75"/>
        <v>0</v>
      </c>
      <c r="CX3" s="19">
        <f t="shared" si="75"/>
        <v>0</v>
      </c>
      <c r="CY3" s="19">
        <f t="shared" si="75"/>
        <v>0</v>
      </c>
      <c r="CZ3" s="19">
        <f t="shared" si="75"/>
        <v>0</v>
      </c>
      <c r="DB3" s="19">
        <f t="shared" ref="DB3" si="76">SUM(DB11:DB112)</f>
        <v>0</v>
      </c>
      <c r="DD3" s="19">
        <f t="shared" ref="DD3:DK3" si="77">SUM(DD11:DD112)</f>
        <v>0</v>
      </c>
      <c r="DE3" s="37">
        <f t="shared" si="77"/>
        <v>1105552.217179128</v>
      </c>
      <c r="DF3" s="19">
        <f t="shared" si="77"/>
        <v>0</v>
      </c>
      <c r="DG3" s="37">
        <f t="shared" si="77"/>
        <v>5053.3337591999998</v>
      </c>
      <c r="DH3" s="19">
        <f t="shared" si="77"/>
        <v>0</v>
      </c>
      <c r="DI3" s="37">
        <f t="shared" si="77"/>
        <v>19432.758424477466</v>
      </c>
      <c r="DJ3" s="19">
        <f t="shared" si="77"/>
        <v>0</v>
      </c>
      <c r="DK3" s="37">
        <f t="shared" si="77"/>
        <v>1130038.3093628054</v>
      </c>
      <c r="DM3" s="37">
        <f t="shared" ref="DM3" si="78">SUM(DM11:DM112)</f>
        <v>1049183.3712508054</v>
      </c>
      <c r="DO3" s="19">
        <f t="shared" ref="DO3:DV3" si="79">SUM(DO11:DO112)</f>
        <v>0</v>
      </c>
      <c r="DP3" s="37">
        <f t="shared" si="79"/>
        <v>49743.360000000001</v>
      </c>
      <c r="DQ3" s="19">
        <f t="shared" si="79"/>
        <v>0</v>
      </c>
      <c r="DR3" s="19">
        <f t="shared" si="79"/>
        <v>0</v>
      </c>
      <c r="DS3" s="32">
        <f t="shared" si="79"/>
        <v>820.92800000000011</v>
      </c>
      <c r="DT3" s="19">
        <f t="shared" si="79"/>
        <v>0</v>
      </c>
      <c r="DU3" s="19">
        <f t="shared" si="79"/>
        <v>0</v>
      </c>
      <c r="DV3" s="37">
        <f t="shared" si="79"/>
        <v>50564.288</v>
      </c>
      <c r="DX3" s="37">
        <f t="shared" ref="DX3" si="80">SUM(DX11:DX112)</f>
        <v>100088.9696464</v>
      </c>
      <c r="DZ3" s="37">
        <f t="shared" ref="DZ3:EF3" si="81">SUM(DZ11:DZ112)</f>
        <v>63658.800800000012</v>
      </c>
      <c r="EA3" s="37">
        <f t="shared" si="81"/>
        <v>82623.565187700326</v>
      </c>
      <c r="EB3" s="37">
        <f t="shared" si="81"/>
        <v>6598.2867280682513</v>
      </c>
      <c r="EC3" s="37">
        <f t="shared" si="81"/>
        <v>53456.696800000012</v>
      </c>
      <c r="ED3" s="37">
        <f t="shared" si="81"/>
        <v>2060.0548079999999</v>
      </c>
      <c r="EE3" s="32">
        <f t="shared" si="81"/>
        <v>439.9406528189902</v>
      </c>
      <c r="EF3" s="37">
        <f t="shared" si="81"/>
        <v>208837.34497658757</v>
      </c>
      <c r="EI3" s="19">
        <f t="shared" ref="EI3:EM3" si="82">SUM(EI11:EI112)</f>
        <v>0</v>
      </c>
      <c r="EJ3" s="19">
        <f t="shared" si="82"/>
        <v>0</v>
      </c>
      <c r="EK3" s="19">
        <f t="shared" si="82"/>
        <v>0</v>
      </c>
      <c r="EL3" s="19">
        <f t="shared" si="82"/>
        <v>0</v>
      </c>
      <c r="EM3" s="19">
        <f t="shared" si="82"/>
        <v>0</v>
      </c>
      <c r="EO3" s="37">
        <f t="shared" ref="EO3" si="83">SUM(EO11:EO112)</f>
        <v>0</v>
      </c>
      <c r="EQ3" s="19">
        <f t="shared" ref="EQ3:ER3" si="84">SUM(EQ11:EQ112)</f>
        <v>0</v>
      </c>
      <c r="ER3" s="19">
        <f t="shared" si="84"/>
        <v>0</v>
      </c>
      <c r="EU3" s="19">
        <f t="shared" ref="EU3:EV3" si="85">SUM(EU11:EU112)</f>
        <v>0</v>
      </c>
      <c r="EV3" s="19">
        <f t="shared" si="85"/>
        <v>0</v>
      </c>
      <c r="EY3" s="37">
        <f t="shared" ref="EY3:FF3" si="86">SUM(EY11:EY112)</f>
        <v>1520.9519999999998</v>
      </c>
      <c r="EZ3" s="37">
        <f t="shared" si="86"/>
        <v>6694.424</v>
      </c>
      <c r="FA3" s="37">
        <f t="shared" si="86"/>
        <v>10465.38057142857</v>
      </c>
      <c r="FB3" s="19">
        <f t="shared" si="86"/>
        <v>0</v>
      </c>
      <c r="FC3" s="19">
        <f t="shared" si="86"/>
        <v>0</v>
      </c>
      <c r="FD3" s="19">
        <f t="shared" si="86"/>
        <v>0</v>
      </c>
      <c r="FE3" s="19">
        <f t="shared" si="86"/>
        <v>0</v>
      </c>
      <c r="FF3" s="37">
        <f t="shared" si="86"/>
        <v>18680.75657142857</v>
      </c>
      <c r="FI3" s="19">
        <f t="shared" ref="FI3:FM3" si="87">SUM(FI11:FI112)</f>
        <v>0</v>
      </c>
      <c r="FJ3" s="37">
        <f t="shared" si="87"/>
        <v>25708.863999999998</v>
      </c>
      <c r="FK3" s="19">
        <f t="shared" si="87"/>
        <v>0</v>
      </c>
      <c r="FL3" s="19">
        <f t="shared" si="87"/>
        <v>0</v>
      </c>
      <c r="FM3" s="37">
        <f t="shared" si="87"/>
        <v>25708.863999999998</v>
      </c>
      <c r="FP3" s="19">
        <f t="shared" ref="FP3:FV3" si="88">SUM(FP11:FP112)</f>
        <v>0</v>
      </c>
      <c r="FQ3" s="32">
        <f t="shared" si="88"/>
        <v>626.87199999999996</v>
      </c>
      <c r="FR3" s="19">
        <f t="shared" si="88"/>
        <v>0</v>
      </c>
      <c r="FS3" s="9">
        <f t="shared" si="88"/>
        <v>10.16</v>
      </c>
      <c r="FT3" s="19">
        <f t="shared" si="88"/>
        <v>0</v>
      </c>
      <c r="FU3" s="19">
        <f t="shared" si="88"/>
        <v>0</v>
      </c>
      <c r="FV3" s="37">
        <f t="shared" si="88"/>
        <v>637.03199999999993</v>
      </c>
      <c r="FY3" s="19">
        <f t="shared" ref="FY3:GB3" si="89">SUM(FY11:FY112)</f>
        <v>0</v>
      </c>
      <c r="FZ3" s="19">
        <f t="shared" si="89"/>
        <v>0</v>
      </c>
      <c r="GA3" s="19">
        <f t="shared" si="89"/>
        <v>0</v>
      </c>
      <c r="GB3" s="19">
        <f t="shared" si="89"/>
        <v>0</v>
      </c>
      <c r="GE3" s="10">
        <f t="shared" ref="GE3:GK3" si="90">SUM(GE11:GE112)</f>
        <v>5.5907673892671967</v>
      </c>
      <c r="GF3" s="19">
        <f t="shared" si="90"/>
        <v>0</v>
      </c>
      <c r="GG3" s="19">
        <f t="shared" si="90"/>
        <v>0</v>
      </c>
      <c r="GH3" s="19">
        <f t="shared" si="90"/>
        <v>0</v>
      </c>
      <c r="GI3" s="19">
        <f t="shared" si="90"/>
        <v>0</v>
      </c>
      <c r="GJ3" s="19">
        <f t="shared" si="90"/>
        <v>0</v>
      </c>
      <c r="GK3" s="10">
        <f t="shared" si="90"/>
        <v>5.5907673892671967</v>
      </c>
      <c r="GN3" s="19">
        <f t="shared" ref="GN3:GT3" si="91">SUM(GN11:GN112)</f>
        <v>0</v>
      </c>
      <c r="GO3" s="19">
        <f t="shared" si="91"/>
        <v>0</v>
      </c>
      <c r="GP3" s="19">
        <f t="shared" si="91"/>
        <v>0</v>
      </c>
      <c r="GQ3" s="19">
        <f t="shared" si="91"/>
        <v>0</v>
      </c>
      <c r="GR3" s="37">
        <f t="shared" si="91"/>
        <v>110873.03200000001</v>
      </c>
      <c r="GS3" s="37">
        <f t="shared" si="91"/>
        <v>36054.792000000001</v>
      </c>
      <c r="GT3" s="37">
        <f t="shared" si="91"/>
        <v>146927.82400000002</v>
      </c>
      <c r="GW3" s="32">
        <f t="shared" ref="GW3:HT3" si="92">SUM(GW11:GW112)</f>
        <v>272.37380000000002</v>
      </c>
      <c r="GX3" s="32">
        <f t="shared" si="92"/>
        <v>206.73171420000003</v>
      </c>
      <c r="GY3" s="10">
        <f t="shared" si="92"/>
        <v>0.35408593999999999</v>
      </c>
      <c r="GZ3" s="10">
        <f t="shared" si="92"/>
        <v>3.1867734600000004</v>
      </c>
      <c r="HA3" s="10">
        <f t="shared" si="92"/>
        <v>3.5408593999999995</v>
      </c>
      <c r="HB3" s="19">
        <f t="shared" si="92"/>
        <v>0</v>
      </c>
      <c r="HC3" s="19">
        <f t="shared" si="92"/>
        <v>0</v>
      </c>
      <c r="HD3" s="19">
        <f t="shared" si="92"/>
        <v>0</v>
      </c>
      <c r="HE3" s="19">
        <f t="shared" si="92"/>
        <v>0</v>
      </c>
      <c r="HF3" s="19">
        <f t="shared" si="92"/>
        <v>0</v>
      </c>
      <c r="HG3" s="19">
        <f t="shared" si="92"/>
        <v>0</v>
      </c>
      <c r="HH3" s="19">
        <f t="shared" si="92"/>
        <v>0</v>
      </c>
      <c r="HI3" s="19">
        <f t="shared" si="92"/>
        <v>0</v>
      </c>
      <c r="HJ3" s="19">
        <f t="shared" si="92"/>
        <v>0</v>
      </c>
      <c r="HK3" s="19">
        <f t="shared" si="92"/>
        <v>0</v>
      </c>
      <c r="HL3" s="19">
        <f t="shared" si="92"/>
        <v>0</v>
      </c>
      <c r="HM3" s="19">
        <f t="shared" si="92"/>
        <v>0</v>
      </c>
      <c r="HN3" s="19">
        <f t="shared" si="92"/>
        <v>0</v>
      </c>
      <c r="HO3" s="32">
        <f t="shared" si="92"/>
        <v>206.73171420000003</v>
      </c>
      <c r="HP3" s="19">
        <f t="shared" si="92"/>
        <v>0</v>
      </c>
      <c r="HQ3" s="10">
        <f t="shared" si="92"/>
        <v>0.35408593999999999</v>
      </c>
      <c r="HR3" s="10">
        <f t="shared" si="92"/>
        <v>3.1867734600000004</v>
      </c>
      <c r="HS3" s="19">
        <f t="shared" si="92"/>
        <v>0</v>
      </c>
      <c r="HT3" s="10">
        <f t="shared" si="92"/>
        <v>3.5408593999999995</v>
      </c>
      <c r="HV3" s="19">
        <f t="shared" ref="HV3:HZ3" si="93">SUM(HV11:HV112)</f>
        <v>0</v>
      </c>
      <c r="HW3" s="19">
        <f t="shared" si="93"/>
        <v>0</v>
      </c>
      <c r="HX3" s="19">
        <f t="shared" si="93"/>
        <v>0</v>
      </c>
      <c r="HY3" s="19">
        <f t="shared" si="93"/>
        <v>0</v>
      </c>
      <c r="HZ3" s="19">
        <f t="shared" si="93"/>
        <v>0</v>
      </c>
      <c r="IC3" s="32">
        <f t="shared" ref="IC3:IJ3" si="94">SUM(IC11:IC112)</f>
        <v>352.17345359023801</v>
      </c>
      <c r="ID3" s="9">
        <f t="shared" si="94"/>
        <v>98.805191926414579</v>
      </c>
      <c r="IE3" s="19">
        <f t="shared" si="94"/>
        <v>0</v>
      </c>
      <c r="IF3" s="9">
        <f t="shared" si="94"/>
        <v>33.439861385369895</v>
      </c>
      <c r="IG3" s="19">
        <f t="shared" si="94"/>
        <v>0</v>
      </c>
      <c r="IH3" s="19">
        <f t="shared" si="94"/>
        <v>0</v>
      </c>
      <c r="II3" s="10">
        <f t="shared" si="94"/>
        <v>5.2324000000000002</v>
      </c>
      <c r="IJ3" s="37">
        <f t="shared" si="94"/>
        <v>489.65090690202248</v>
      </c>
      <c r="IM3" s="19">
        <f t="shared" ref="IM3:IP3" si="95">SUM(IM11:IM112)</f>
        <v>0</v>
      </c>
      <c r="IN3" s="19">
        <f t="shared" si="95"/>
        <v>0</v>
      </c>
      <c r="IO3" s="19">
        <f t="shared" si="95"/>
        <v>0</v>
      </c>
      <c r="IP3" s="19">
        <f t="shared" si="95"/>
        <v>0</v>
      </c>
      <c r="IQ3" s="19"/>
      <c r="IR3" s="19"/>
      <c r="IS3" s="19">
        <f t="shared" ref="IS3:IU3" si="96">SUM(IS11:IS112)</f>
        <v>0</v>
      </c>
      <c r="IT3" s="19">
        <f t="shared" si="96"/>
        <v>0</v>
      </c>
      <c r="IU3" s="19">
        <f t="shared" si="96"/>
        <v>0</v>
      </c>
      <c r="IV3" s="19"/>
      <c r="IW3" s="19">
        <f t="shared" ref="IW3:IZ3" si="97">SUM(IW11:IW112)</f>
        <v>0</v>
      </c>
      <c r="IX3" s="19">
        <f t="shared" si="97"/>
        <v>0</v>
      </c>
      <c r="IY3" s="19">
        <f t="shared" si="97"/>
        <v>0</v>
      </c>
      <c r="IZ3" s="19">
        <f t="shared" si="97"/>
        <v>0</v>
      </c>
      <c r="JA3" s="19"/>
      <c r="JB3" s="19">
        <f t="shared" ref="JB3:JD3" si="98">SUM(JB11:JB112)</f>
        <v>0</v>
      </c>
      <c r="JC3" s="19">
        <f t="shared" si="98"/>
        <v>0</v>
      </c>
      <c r="JD3" s="19">
        <f t="shared" si="98"/>
        <v>0</v>
      </c>
      <c r="JE3" s="19"/>
      <c r="JF3" s="19"/>
      <c r="JG3" s="19">
        <f t="shared" ref="JG3" si="99">SUM(JG11:JG112)</f>
        <v>0</v>
      </c>
      <c r="JH3" s="19"/>
      <c r="JI3" s="19"/>
      <c r="JJ3" s="19">
        <f t="shared" ref="JJ3" si="100">SUM(JJ11:JJ112)</f>
        <v>0</v>
      </c>
      <c r="JK3" s="19"/>
      <c r="JL3" s="19"/>
      <c r="JM3" s="19">
        <f t="shared" ref="JM3:JO3" si="101">SUM(JM11:JM112)</f>
        <v>0</v>
      </c>
      <c r="JN3" s="19">
        <f t="shared" si="101"/>
        <v>0</v>
      </c>
      <c r="JO3" s="19">
        <f t="shared" si="101"/>
        <v>0</v>
      </c>
      <c r="JP3" s="19"/>
      <c r="JQ3" s="19"/>
      <c r="JR3" s="19">
        <f t="shared" ref="JR3" si="102">SUM(JR11:JR112)</f>
        <v>0</v>
      </c>
      <c r="JS3" s="19"/>
      <c r="JT3" s="19"/>
      <c r="JU3" s="19">
        <f t="shared" ref="JU3:JV3" si="103">SUM(JU11:JU112)</f>
        <v>0</v>
      </c>
      <c r="JV3" s="19">
        <f t="shared" si="103"/>
        <v>0</v>
      </c>
      <c r="JW3" s="19"/>
      <c r="JX3" s="19">
        <f t="shared" ref="JX3" si="104">SUM(JX11:JX112)</f>
        <v>0</v>
      </c>
      <c r="JY3" s="19"/>
      <c r="JZ3" s="19"/>
      <c r="KA3" s="19">
        <f t="shared" ref="KA3" si="105">SUM(KA11:KA112)</f>
        <v>0</v>
      </c>
      <c r="KB3" s="19"/>
      <c r="KC3" s="19">
        <f t="shared" ref="KC3" si="106">SUM(KC11:KC112)</f>
        <v>0</v>
      </c>
      <c r="KD3" s="19"/>
      <c r="KE3" s="19">
        <f t="shared" ref="KE3" si="107">SUM(KE11:KE112)</f>
        <v>0</v>
      </c>
      <c r="KF3" s="19"/>
      <c r="KG3" s="19"/>
      <c r="KH3" s="19">
        <f t="shared" ref="KH3:KI3" si="108">SUM(KH11:KH112)</f>
        <v>0</v>
      </c>
      <c r="KI3" s="19">
        <f t="shared" si="108"/>
        <v>0</v>
      </c>
      <c r="KJ3" s="19"/>
      <c r="KK3" s="19"/>
      <c r="KL3" s="19">
        <f t="shared" ref="KL3" si="109">SUM(KL11:KL112)</f>
        <v>0</v>
      </c>
      <c r="KM3" s="19"/>
      <c r="KN3" s="19"/>
      <c r="KO3" s="19">
        <f t="shared" ref="KO3" si="110">SUM(KO11:KO112)</f>
        <v>0</v>
      </c>
      <c r="KP3" s="19"/>
      <c r="KQ3" s="19"/>
      <c r="KR3" s="19">
        <f t="shared" ref="KR3:KS3" si="111">SUM(KR11:KR112)</f>
        <v>0</v>
      </c>
      <c r="KS3" s="19">
        <f t="shared" si="111"/>
        <v>0</v>
      </c>
      <c r="KT3" s="19"/>
      <c r="KU3" s="19"/>
      <c r="KV3" s="19">
        <f t="shared" ref="KV3" si="112">SUM(KV11:KV112)</f>
        <v>0</v>
      </c>
      <c r="KW3" s="19"/>
      <c r="KX3" s="19"/>
      <c r="KY3" s="19">
        <f t="shared" ref="KY3" si="113">SUM(KY11:KY112)</f>
        <v>0</v>
      </c>
      <c r="KZ3" s="19"/>
      <c r="LA3" s="19"/>
      <c r="LB3" s="19">
        <f t="shared" ref="LB3:LC3" si="114">SUM(LB11:LB112)</f>
        <v>0</v>
      </c>
      <c r="LC3" s="19">
        <f t="shared" si="114"/>
        <v>0</v>
      </c>
      <c r="LD3" s="19"/>
      <c r="LE3" s="19">
        <f t="shared" ref="LE3" si="115">SUM(LE11:LE112)</f>
        <v>0</v>
      </c>
      <c r="LF3" s="19"/>
      <c r="LG3" s="19"/>
      <c r="LH3" s="19">
        <f t="shared" ref="LH3" si="116">SUM(LH11:LH112)</f>
        <v>0</v>
      </c>
      <c r="LI3" s="19"/>
      <c r="LJ3" s="19"/>
      <c r="LK3" s="19"/>
      <c r="LL3" s="19">
        <f t="shared" ref="LL3" si="117">SUM(LL11:LL112)</f>
        <v>0</v>
      </c>
      <c r="LM3" s="19"/>
      <c r="LN3" s="19"/>
      <c r="LO3" s="19">
        <f t="shared" ref="LO3" si="118">SUM(LO11:LO112)</f>
        <v>0</v>
      </c>
      <c r="LP3" s="19"/>
      <c r="LQ3" s="19"/>
      <c r="LR3" s="19">
        <f t="shared" ref="LR3:LS3" si="119">SUM(LR11:LR112)</f>
        <v>0</v>
      </c>
      <c r="LS3" s="19">
        <f t="shared" si="119"/>
        <v>0</v>
      </c>
      <c r="LT3" s="19"/>
      <c r="LU3" s="19"/>
      <c r="LV3" s="19">
        <f t="shared" ref="LV3" si="120">SUM(LV11:LV112)</f>
        <v>0</v>
      </c>
      <c r="LW3" s="19"/>
      <c r="LX3" s="19"/>
      <c r="LY3" s="19">
        <f t="shared" ref="LY3" si="121">SUM(LY11:LY112)</f>
        <v>0</v>
      </c>
      <c r="LZ3" s="19"/>
      <c r="MA3" s="19"/>
      <c r="MB3" s="19">
        <f t="shared" ref="MB3:MD3" si="122">SUM(MB11:MB112)</f>
        <v>0</v>
      </c>
      <c r="MC3" s="19">
        <f t="shared" si="122"/>
        <v>0</v>
      </c>
      <c r="MD3" s="19">
        <f t="shared" si="122"/>
        <v>0</v>
      </c>
      <c r="MG3" s="19">
        <f t="shared" ref="MG3" si="123">SUM(MG11:MG112)</f>
        <v>0</v>
      </c>
      <c r="MJ3" s="19">
        <f t="shared" ref="MJ3" si="124">SUM(MJ11:MJ112)</f>
        <v>0</v>
      </c>
      <c r="MM3" s="19">
        <f t="shared" ref="MM3:MN3" si="125">SUM(MM11:MM112)</f>
        <v>0</v>
      </c>
      <c r="MN3" s="19">
        <f t="shared" si="125"/>
        <v>0</v>
      </c>
      <c r="MQ3" s="19">
        <f t="shared" ref="MQ3" si="126">SUM(MQ11:MQ112)</f>
        <v>0</v>
      </c>
      <c r="MS3" s="19">
        <f t="shared" ref="MS3" si="127">SUM(MS11:MS112)</f>
        <v>0</v>
      </c>
      <c r="MV3" s="19">
        <f t="shared" ref="MV3" si="128">SUM(MV11:MV112)</f>
        <v>0</v>
      </c>
      <c r="MY3" s="32">
        <f t="shared" ref="MY3" si="129">SUM(MY11:MY112)</f>
        <v>279.5270000000001</v>
      </c>
      <c r="NA3" s="9">
        <f t="shared" ref="NA3" si="130">SUM(NA11:NA112)</f>
        <v>75.611228000000011</v>
      </c>
      <c r="NC3" s="19">
        <f t="shared" ref="NC3" si="131">SUM(NC11:NC112)</f>
        <v>0</v>
      </c>
      <c r="ND3" s="19"/>
      <c r="NE3" s="19">
        <f t="shared" ref="NE3" si="132">SUM(NE11:NE112)</f>
        <v>0</v>
      </c>
      <c r="NF3" s="19"/>
      <c r="NG3" s="19">
        <f t="shared" ref="NG3" si="133">SUM(NG11:NG112)</f>
        <v>0</v>
      </c>
      <c r="NH3" s="19"/>
      <c r="NI3" s="19">
        <f t="shared" ref="NI3:NJ3" si="134">SUM(NI11:NI112)</f>
        <v>0</v>
      </c>
      <c r="NJ3" s="32">
        <f t="shared" si="134"/>
        <v>355.13822800000003</v>
      </c>
    </row>
    <row r="4" spans="1:375" s="199" customFormat="1" x14ac:dyDescent="0.25">
      <c r="A4" s="197" t="s">
        <v>1635</v>
      </c>
      <c r="B4" s="37">
        <f>SUM(B113:B162)</f>
        <v>310389.97350000002</v>
      </c>
      <c r="C4" s="37">
        <f t="shared" ref="C4:I4" si="135">SUM(C113:C162)</f>
        <v>147491.56340000004</v>
      </c>
      <c r="D4" s="37">
        <f t="shared" si="135"/>
        <v>392091.22849999997</v>
      </c>
      <c r="E4" s="37">
        <f t="shared" si="135"/>
        <v>35339.458699999996</v>
      </c>
      <c r="F4" s="37">
        <f t="shared" si="135"/>
        <v>6307.3598999999995</v>
      </c>
      <c r="G4" s="37">
        <f t="shared" si="135"/>
        <v>1498042.4337000009</v>
      </c>
      <c r="H4" s="37">
        <f t="shared" si="135"/>
        <v>11511.571699999999</v>
      </c>
      <c r="I4" s="37">
        <f t="shared" si="135"/>
        <v>2401173.5894000004</v>
      </c>
      <c r="K4" s="37">
        <f t="shared" ref="K4" si="136">SUM(K113:K162)</f>
        <v>2228731.9181886134</v>
      </c>
      <c r="M4" s="37">
        <f t="shared" ref="M4:T4" si="137">SUM(M113:M162)</f>
        <v>1886410.4946000001</v>
      </c>
      <c r="N4" s="37">
        <f t="shared" si="137"/>
        <v>13964426.212000001</v>
      </c>
      <c r="O4" s="37">
        <f t="shared" si="137"/>
        <v>21228.051400000004</v>
      </c>
      <c r="P4" s="37">
        <f t="shared" si="137"/>
        <v>819031.56199999992</v>
      </c>
      <c r="Q4" s="37">
        <f t="shared" si="137"/>
        <v>2413.9198000000001</v>
      </c>
      <c r="R4" s="37">
        <f t="shared" si="137"/>
        <v>155790.34027000002</v>
      </c>
      <c r="S4" s="37">
        <f t="shared" si="137"/>
        <v>10.542899999999999</v>
      </c>
      <c r="T4" s="37">
        <f t="shared" si="137"/>
        <v>16849311.122969996</v>
      </c>
      <c r="V4" s="37">
        <f t="shared" ref="V4" si="138">SUM(V113:V162)</f>
        <v>15902071.196152819</v>
      </c>
      <c r="X4" s="37">
        <f t="shared" ref="X4:AC4" si="139">SUM(X113:X162)</f>
        <v>3731.8461538461543</v>
      </c>
      <c r="Y4" s="37">
        <f t="shared" si="139"/>
        <v>29736.288</v>
      </c>
      <c r="Z4" s="37">
        <f t="shared" si="139"/>
        <v>37315.647999999994</v>
      </c>
      <c r="AA4" s="19">
        <f t="shared" si="139"/>
        <v>0</v>
      </c>
      <c r="AB4" s="19">
        <f t="shared" si="139"/>
        <v>0</v>
      </c>
      <c r="AC4" s="37">
        <f t="shared" si="139"/>
        <v>70783.782153846172</v>
      </c>
      <c r="AG4" s="19">
        <f t="shared" ref="AG4:AK4" si="140">SUM(AG113:AG162)</f>
        <v>0</v>
      </c>
      <c r="AH4" s="19">
        <f t="shared" si="140"/>
        <v>0</v>
      </c>
      <c r="AI4" s="19">
        <f t="shared" si="140"/>
        <v>0</v>
      </c>
      <c r="AJ4" s="19">
        <f t="shared" si="140"/>
        <v>0</v>
      </c>
      <c r="AK4" s="19">
        <f t="shared" si="140"/>
        <v>0</v>
      </c>
      <c r="AN4" s="37">
        <f t="shared" ref="AN4:AT4" si="141">SUM(AN113:AN162)</f>
        <v>56133277.624000005</v>
      </c>
      <c r="AO4" s="37">
        <f t="shared" si="141"/>
        <v>474644444.66400003</v>
      </c>
      <c r="AP4" s="37">
        <f t="shared" si="141"/>
        <v>19364057.792000003</v>
      </c>
      <c r="AQ4" s="37">
        <f t="shared" si="141"/>
        <v>4924634.2960000001</v>
      </c>
      <c r="AR4" s="37">
        <f t="shared" si="141"/>
        <v>1285382.24</v>
      </c>
      <c r="AS4" s="37">
        <f t="shared" si="141"/>
        <v>21579493.544000003</v>
      </c>
      <c r="AT4" s="37">
        <f t="shared" si="141"/>
        <v>577931290.16000009</v>
      </c>
      <c r="AW4" s="37">
        <f>SUM(AW113:AW162)</f>
        <v>99397543.90199998</v>
      </c>
      <c r="AZ4" s="32">
        <f>SUM(AZ113:AZ162)</f>
        <v>786.67863999999997</v>
      </c>
      <c r="BA4" s="9">
        <f t="shared" ref="BA4:BE4" si="142">SUM(BA113:BA162)</f>
        <v>59.1312</v>
      </c>
      <c r="BB4" s="10">
        <f t="shared" si="142"/>
        <v>0.10160000000000001</v>
      </c>
      <c r="BC4" s="19">
        <f t="shared" si="142"/>
        <v>0</v>
      </c>
      <c r="BD4" s="32">
        <f t="shared" si="142"/>
        <v>226.36797316882328</v>
      </c>
      <c r="BE4" s="37">
        <f t="shared" si="142"/>
        <v>1072.2794131688231</v>
      </c>
      <c r="BH4" s="37">
        <f t="shared" ref="BH4:BO4" si="143">SUM(BH113:BH162)</f>
        <v>444605.66399999993</v>
      </c>
      <c r="BI4" s="37">
        <f t="shared" si="143"/>
        <v>192592.96000000005</v>
      </c>
      <c r="BJ4" s="32">
        <f t="shared" si="143"/>
        <v>165.60799999999998</v>
      </c>
      <c r="BK4" s="37">
        <f t="shared" si="143"/>
        <v>430204.88000000018</v>
      </c>
      <c r="BL4" s="37">
        <f t="shared" si="143"/>
        <v>146291.80800000002</v>
      </c>
      <c r="BM4" s="37">
        <f t="shared" si="143"/>
        <v>24896.063999999998</v>
      </c>
      <c r="BN4" s="37">
        <f t="shared" si="143"/>
        <v>3993.8959999999993</v>
      </c>
      <c r="BO4" s="37">
        <f t="shared" si="143"/>
        <v>1242749.8639999998</v>
      </c>
      <c r="BQ4" s="37">
        <f t="shared" ref="BQ4" si="144">SUM(BQ113:BQ162)</f>
        <v>1175753.0089258507</v>
      </c>
      <c r="BS4" s="37">
        <f t="shared" ref="BS4:BV4" si="145">SUM(BS113:BS162)</f>
        <v>107612.5</v>
      </c>
      <c r="BT4" s="19">
        <f t="shared" si="145"/>
        <v>0</v>
      </c>
      <c r="BU4" s="19">
        <f t="shared" si="145"/>
        <v>0</v>
      </c>
      <c r="BV4" s="37">
        <f t="shared" si="145"/>
        <v>107612.5</v>
      </c>
      <c r="BX4" s="37">
        <f t="shared" ref="BX4" si="146">SUM(BX113:BX162)</f>
        <v>0</v>
      </c>
      <c r="BZ4" s="37">
        <f t="shared" ref="BZ4:CG4" si="147">SUM(BZ113:BZ162)</f>
        <v>639589.272</v>
      </c>
      <c r="CA4" s="37">
        <f t="shared" si="147"/>
        <v>4170874.4624000001</v>
      </c>
      <c r="CB4" s="9">
        <f t="shared" si="147"/>
        <v>27.432000000000002</v>
      </c>
      <c r="CC4" s="37">
        <f t="shared" si="147"/>
        <v>39331.392</v>
      </c>
      <c r="CD4" s="37">
        <f t="shared" si="147"/>
        <v>44534211.159999996</v>
      </c>
      <c r="CE4" s="37">
        <f t="shared" si="147"/>
        <v>68582.031999999992</v>
      </c>
      <c r="CF4" s="19">
        <f t="shared" si="147"/>
        <v>0</v>
      </c>
      <c r="CG4" s="37">
        <f t="shared" si="147"/>
        <v>49452615.750399999</v>
      </c>
      <c r="CJ4" s="37">
        <f t="shared" ref="CJ4:CR4" si="148">SUM(CJ113:CJ162)</f>
        <v>22988.016000000003</v>
      </c>
      <c r="CK4" s="37">
        <f t="shared" si="148"/>
        <v>53340.000000000015</v>
      </c>
      <c r="CL4" s="32">
        <f t="shared" si="148"/>
        <v>428.75200000000007</v>
      </c>
      <c r="CM4" s="19">
        <f t="shared" si="148"/>
        <v>0</v>
      </c>
      <c r="CN4" s="37">
        <f t="shared" si="148"/>
        <v>47886.111999999994</v>
      </c>
      <c r="CO4" s="37">
        <f t="shared" si="148"/>
        <v>23395.432000000001</v>
      </c>
      <c r="CP4" s="19">
        <f t="shared" si="148"/>
        <v>0</v>
      </c>
      <c r="CQ4" s="37">
        <f t="shared" si="148"/>
        <v>1140.9680000000001</v>
      </c>
      <c r="CR4" s="37">
        <f t="shared" si="148"/>
        <v>149179.28</v>
      </c>
      <c r="CT4" s="37">
        <f t="shared" ref="CT4" si="149">SUM(CT113:CT162)</f>
        <v>0</v>
      </c>
      <c r="CV4" s="19">
        <f t="shared" ref="CV4:CZ4" si="150">SUM(CV113:CV162)</f>
        <v>0</v>
      </c>
      <c r="CW4" s="32">
        <f t="shared" si="150"/>
        <v>652.67840000000012</v>
      </c>
      <c r="CX4" s="19">
        <f t="shared" si="150"/>
        <v>0</v>
      </c>
      <c r="CY4" s="32">
        <f t="shared" si="150"/>
        <v>652.67840000000012</v>
      </c>
      <c r="CZ4" s="19">
        <f t="shared" si="150"/>
        <v>0</v>
      </c>
      <c r="DB4" s="32">
        <f t="shared" ref="DB4" si="151">SUM(DB113:DB162)</f>
        <v>652.67840000000012</v>
      </c>
      <c r="DD4" s="37">
        <f t="shared" ref="DD4:DK4" si="152">SUM(DD113:DD162)</f>
        <v>708716.89599999995</v>
      </c>
      <c r="DE4" s="37">
        <f t="shared" si="152"/>
        <v>8556805.848000003</v>
      </c>
      <c r="DF4" s="10">
        <f t="shared" si="152"/>
        <v>6.0960000000000001</v>
      </c>
      <c r="DG4" s="37">
        <f t="shared" si="152"/>
        <v>422535.24027200002</v>
      </c>
      <c r="DH4" s="37">
        <f t="shared" si="152"/>
        <v>3245.1039999999985</v>
      </c>
      <c r="DI4" s="37">
        <f t="shared" si="152"/>
        <v>54993.783840000004</v>
      </c>
      <c r="DJ4" s="37">
        <f t="shared" si="152"/>
        <v>1386.8400000000001</v>
      </c>
      <c r="DK4" s="37">
        <f t="shared" si="152"/>
        <v>9747689.8081119992</v>
      </c>
      <c r="DM4" s="37">
        <f t="shared" ref="DM4" si="153">SUM(DM113:DM162)</f>
        <v>9460605.460104892</v>
      </c>
      <c r="DO4" s="37">
        <f t="shared" ref="DO4:DV4" si="154">SUM(DO113:DO162)</f>
        <v>319421.25600000005</v>
      </c>
      <c r="DP4" s="37">
        <f t="shared" si="154"/>
        <v>6615991.8479999984</v>
      </c>
      <c r="DQ4" s="19">
        <f t="shared" si="154"/>
        <v>0</v>
      </c>
      <c r="DR4" s="37">
        <f t="shared" si="154"/>
        <v>439746.13599999994</v>
      </c>
      <c r="DS4" s="9">
        <f t="shared" si="154"/>
        <v>41.656000000000006</v>
      </c>
      <c r="DT4" s="32">
        <f t="shared" si="154"/>
        <v>192.024</v>
      </c>
      <c r="DU4" s="19">
        <f t="shared" si="154"/>
        <v>0</v>
      </c>
      <c r="DV4" s="37">
        <f t="shared" si="154"/>
        <v>7375392.9199999999</v>
      </c>
      <c r="DX4" s="37">
        <f t="shared" ref="DX4" si="155">SUM(DX113:DX162)</f>
        <v>7358669.0732312081</v>
      </c>
      <c r="DZ4" s="37">
        <f t="shared" ref="DZ4:EF4" si="156">SUM(DZ113:DZ162)</f>
        <v>61625.15995999999</v>
      </c>
      <c r="EA4" s="37">
        <f t="shared" si="156"/>
        <v>62380.109741770233</v>
      </c>
      <c r="EB4" s="37">
        <f t="shared" si="156"/>
        <v>2492.5147000000006</v>
      </c>
      <c r="EC4" s="37">
        <f t="shared" si="156"/>
        <v>75729.067294338616</v>
      </c>
      <c r="ED4" s="37">
        <f t="shared" si="156"/>
        <v>10393.658716000002</v>
      </c>
      <c r="EE4" s="37">
        <f t="shared" si="156"/>
        <v>4511.5727002967242</v>
      </c>
      <c r="EF4" s="37">
        <f t="shared" si="156"/>
        <v>217132.08311240555</v>
      </c>
      <c r="EI4" s="19">
        <f t="shared" ref="EI4:EM4" si="157">SUM(EI113:EI162)</f>
        <v>0</v>
      </c>
      <c r="EJ4" s="9">
        <f t="shared" si="157"/>
        <v>27.915999999999997</v>
      </c>
      <c r="EK4" s="19">
        <f t="shared" si="157"/>
        <v>0</v>
      </c>
      <c r="EL4" s="19">
        <f t="shared" si="157"/>
        <v>0</v>
      </c>
      <c r="EM4" s="9">
        <f t="shared" si="157"/>
        <v>27.915999999999997</v>
      </c>
      <c r="EO4" s="37">
        <f t="shared" ref="EO4" si="158">SUM(EO113:EO162)</f>
        <v>0</v>
      </c>
      <c r="EQ4" s="19">
        <f t="shared" ref="EQ4:ER4" si="159">SUM(EQ113:EQ162)</f>
        <v>0</v>
      </c>
      <c r="ER4" s="19">
        <f t="shared" si="159"/>
        <v>0</v>
      </c>
      <c r="EU4" s="19">
        <f t="shared" ref="EU4:EV4" si="160">SUM(EU113:EU162)</f>
        <v>0</v>
      </c>
      <c r="EV4" s="19">
        <f t="shared" si="160"/>
        <v>0</v>
      </c>
      <c r="EY4" s="32">
        <f t="shared" ref="EY4:FF4" si="161">SUM(EY113:EY162)</f>
        <v>951.99200000000042</v>
      </c>
      <c r="EZ4" s="37">
        <f t="shared" si="161"/>
        <v>6625.3360000000002</v>
      </c>
      <c r="FA4" s="37">
        <f t="shared" si="161"/>
        <v>13686.971428571429</v>
      </c>
      <c r="FB4" s="37">
        <f t="shared" si="161"/>
        <v>4632.8279199999997</v>
      </c>
      <c r="FC4" s="37">
        <f t="shared" si="161"/>
        <v>29426.028016000007</v>
      </c>
      <c r="FD4" s="37">
        <f t="shared" si="161"/>
        <v>11232.134000000002</v>
      </c>
      <c r="FE4" s="19">
        <f t="shared" si="161"/>
        <v>0</v>
      </c>
      <c r="FF4" s="37">
        <f t="shared" si="161"/>
        <v>66555.28936457145</v>
      </c>
      <c r="FI4" s="37">
        <f t="shared" ref="FI4:FM4" si="162">SUM(FI113:FI162)</f>
        <v>7344.6640000000007</v>
      </c>
      <c r="FJ4" s="37">
        <f t="shared" si="162"/>
        <v>22645.623999999993</v>
      </c>
      <c r="FK4" s="19">
        <f t="shared" si="162"/>
        <v>0</v>
      </c>
      <c r="FL4" s="19">
        <f t="shared" si="162"/>
        <v>0</v>
      </c>
      <c r="FM4" s="37">
        <f t="shared" si="162"/>
        <v>29990.287999999993</v>
      </c>
      <c r="FP4" s="37">
        <f t="shared" ref="FP4:FV4" si="163">SUM(FP113:FP162)</f>
        <v>1920.2400000000002</v>
      </c>
      <c r="FQ4" s="37">
        <f t="shared" si="163"/>
        <v>2151.8879999999999</v>
      </c>
      <c r="FR4" s="9">
        <f t="shared" si="163"/>
        <v>22.351999999999997</v>
      </c>
      <c r="FS4" s="32">
        <f t="shared" si="163"/>
        <v>823.976</v>
      </c>
      <c r="FT4" s="9">
        <f t="shared" si="163"/>
        <v>84.328000000000003</v>
      </c>
      <c r="FU4" s="10">
        <f t="shared" si="163"/>
        <v>3.048</v>
      </c>
      <c r="FV4" s="37">
        <f t="shared" si="163"/>
        <v>5005.8319999999994</v>
      </c>
      <c r="FY4" s="10">
        <f t="shared" ref="FY4:GB4" si="164">SUM(FY113:FY162)</f>
        <v>0.55698969745649252</v>
      </c>
      <c r="FZ4" s="22">
        <f t="shared" si="164"/>
        <v>0.1463278018741633</v>
      </c>
      <c r="GA4" s="10">
        <f t="shared" si="164"/>
        <v>1.9636246961178041</v>
      </c>
      <c r="GB4" s="10">
        <f t="shared" si="164"/>
        <v>2.6669421954484602</v>
      </c>
      <c r="GE4" s="32">
        <f t="shared" ref="GE4:GK4" si="165">SUM(GE113:GE162)</f>
        <v>869.89234595114669</v>
      </c>
      <c r="GF4" s="32">
        <f t="shared" si="165"/>
        <v>413.53042789279687</v>
      </c>
      <c r="GG4" s="32">
        <f t="shared" si="165"/>
        <v>165.65236708939844</v>
      </c>
      <c r="GH4" s="10">
        <f t="shared" si="165"/>
        <v>0.67296274130068112</v>
      </c>
      <c r="GI4" s="10">
        <f t="shared" si="165"/>
        <v>3.6236455300805899</v>
      </c>
      <c r="GJ4" s="10">
        <f t="shared" si="165"/>
        <v>0.16565236708939843</v>
      </c>
      <c r="GK4" s="37">
        <f t="shared" si="165"/>
        <v>1453.5374015718128</v>
      </c>
      <c r="GN4" s="37">
        <f t="shared" ref="GN4:GT4" si="166">SUM(GN113:GN162)</f>
        <v>2879.3440000000001</v>
      </c>
      <c r="GO4" s="37">
        <f t="shared" si="166"/>
        <v>10718.8</v>
      </c>
      <c r="GP4" s="37">
        <f t="shared" si="166"/>
        <v>16270.223999999998</v>
      </c>
      <c r="GQ4" s="37">
        <f t="shared" si="166"/>
        <v>167403.272</v>
      </c>
      <c r="GR4" s="37">
        <f t="shared" si="166"/>
        <v>33461.96</v>
      </c>
      <c r="GS4" s="37">
        <f t="shared" si="166"/>
        <v>5836392.5759999994</v>
      </c>
      <c r="GT4" s="37">
        <f t="shared" si="166"/>
        <v>6067126.176</v>
      </c>
      <c r="GW4" s="32">
        <f t="shared" ref="GW4:HT4" si="167">SUM(GW113:GW162)</f>
        <v>383.71179999999998</v>
      </c>
      <c r="GX4" s="32">
        <f t="shared" si="167"/>
        <v>291.23725620000005</v>
      </c>
      <c r="GY4" s="10">
        <f t="shared" si="167"/>
        <v>0.49882534000000006</v>
      </c>
      <c r="GZ4" s="10">
        <f t="shared" si="167"/>
        <v>4.4894280600000016</v>
      </c>
      <c r="HA4" s="10">
        <f t="shared" si="167"/>
        <v>4.9882533999999996</v>
      </c>
      <c r="HB4" s="10">
        <f t="shared" si="167"/>
        <v>9.6721000000000004</v>
      </c>
      <c r="HC4" s="22">
        <f t="shared" si="167"/>
        <v>2.9016300000000002E-2</v>
      </c>
      <c r="HD4" s="10">
        <f t="shared" si="167"/>
        <v>0.26114670000000001</v>
      </c>
      <c r="HE4" s="10">
        <f t="shared" si="167"/>
        <v>3.2401535000000004</v>
      </c>
      <c r="HF4" s="10">
        <f t="shared" si="167"/>
        <v>5.6194901000000002</v>
      </c>
      <c r="HG4" s="32">
        <f t="shared" si="167"/>
        <v>957.1842307999998</v>
      </c>
      <c r="HH4" s="10">
        <f t="shared" si="167"/>
        <v>2.8715526924000008</v>
      </c>
      <c r="HI4" s="9">
        <f t="shared" si="167"/>
        <v>25.843974231600001</v>
      </c>
      <c r="HJ4" s="32">
        <f t="shared" si="167"/>
        <v>320.65671731800006</v>
      </c>
      <c r="HK4" s="32">
        <f t="shared" si="167"/>
        <v>556.12403809480008</v>
      </c>
      <c r="HL4" s="19">
        <f t="shared" si="167"/>
        <v>0</v>
      </c>
      <c r="HM4" s="19">
        <f t="shared" si="167"/>
        <v>0</v>
      </c>
      <c r="HN4" s="19">
        <f t="shared" si="167"/>
        <v>0</v>
      </c>
      <c r="HO4" s="32">
        <f t="shared" si="167"/>
        <v>290.85957780000007</v>
      </c>
      <c r="HP4" s="19">
        <f t="shared" si="167"/>
        <v>0</v>
      </c>
      <c r="HQ4" s="10">
        <f t="shared" si="167"/>
        <v>3.3987474523999999</v>
      </c>
      <c r="HR4" s="9">
        <f t="shared" si="167"/>
        <v>30.588727071600008</v>
      </c>
      <c r="HS4" s="32">
        <f t="shared" si="167"/>
        <v>323.89687081800008</v>
      </c>
      <c r="HT4" s="32">
        <f t="shared" si="167"/>
        <v>566.72531279480006</v>
      </c>
      <c r="HV4" s="10">
        <f t="shared" ref="HV4:HZ4" si="168">SUM(HV113:HV162)</f>
        <v>5.4938239535516669</v>
      </c>
      <c r="HW4" s="32">
        <f t="shared" si="168"/>
        <v>192.87744000000004</v>
      </c>
      <c r="HX4" s="19">
        <f t="shared" si="168"/>
        <v>0</v>
      </c>
      <c r="HY4" s="19">
        <f t="shared" si="168"/>
        <v>0</v>
      </c>
      <c r="HZ4" s="32">
        <f t="shared" si="168"/>
        <v>198.3712639535517</v>
      </c>
      <c r="IC4" s="37">
        <f t="shared" ref="IC4:IJ4" si="169">SUM(IC113:IC162)</f>
        <v>6571.7794424255881</v>
      </c>
      <c r="ID4" s="37">
        <f t="shared" si="169"/>
        <v>2701.1098045094027</v>
      </c>
      <c r="IE4" s="9">
        <f t="shared" si="169"/>
        <v>61.488266951176925</v>
      </c>
      <c r="IF4" s="37">
        <f t="shared" si="169"/>
        <v>6969.026572661448</v>
      </c>
      <c r="IG4" s="10">
        <f t="shared" si="169"/>
        <v>1.8046749466219805</v>
      </c>
      <c r="IH4" s="9">
        <f t="shared" si="169"/>
        <v>92.836866530355024</v>
      </c>
      <c r="II4" s="37">
        <f t="shared" si="169"/>
        <v>2225.6860444936151</v>
      </c>
      <c r="IJ4" s="37">
        <f t="shared" si="169"/>
        <v>18623.731672518206</v>
      </c>
      <c r="IM4" s="22">
        <f t="shared" ref="IM4:IP4" si="170">SUM(IM113:IM162)</f>
        <v>1.5976396799999997E-2</v>
      </c>
      <c r="IN4" s="32">
        <f t="shared" si="170"/>
        <v>287.99744025999996</v>
      </c>
      <c r="IO4" s="10">
        <f t="shared" si="170"/>
        <v>3.6639203327999996</v>
      </c>
      <c r="IP4" s="32">
        <f t="shared" si="170"/>
        <v>291.67733698959995</v>
      </c>
      <c r="IS4" s="51">
        <f t="shared" ref="IS4:IU4" si="171">SUM(IS113:IS162)</f>
        <v>6.8177663999999995E-3</v>
      </c>
      <c r="IT4" s="10">
        <f t="shared" si="171"/>
        <v>1.5635410944000001</v>
      </c>
      <c r="IU4" s="10">
        <f t="shared" si="171"/>
        <v>1.5703588608000003</v>
      </c>
      <c r="IW4" s="37">
        <f t="shared" ref="IW4:IZ4" si="172">SUM(IW113:IW162)</f>
        <v>5512.1929888000013</v>
      </c>
      <c r="IX4" s="32">
        <f t="shared" si="172"/>
        <v>288.54399999999998</v>
      </c>
      <c r="IY4" s="19">
        <f t="shared" si="172"/>
        <v>0</v>
      </c>
      <c r="IZ4" s="37">
        <f t="shared" si="172"/>
        <v>5800.7369888000012</v>
      </c>
      <c r="JB4" s="9">
        <f t="shared" ref="JB4:JD4" si="173">SUM(JB113:JB162)</f>
        <v>9.1440000000000001</v>
      </c>
      <c r="JC4" s="19">
        <f t="shared" si="173"/>
        <v>0</v>
      </c>
      <c r="JD4" s="9">
        <f t="shared" si="173"/>
        <v>9.1440000000000001</v>
      </c>
      <c r="JG4" s="32">
        <f t="shared" ref="JG4" si="174">SUM(JG113:JG162)</f>
        <v>256.33679999999998</v>
      </c>
      <c r="JJ4" s="37">
        <f t="shared" ref="JJ4" si="175">SUM(JJ113:JJ162)</f>
        <v>17481.597283990275</v>
      </c>
      <c r="JM4" s="19">
        <f t="shared" ref="JM4:JO4" si="176">SUM(JM113:JM162)</f>
        <v>0</v>
      </c>
      <c r="JN4" s="32">
        <f t="shared" si="176"/>
        <v>558.79999999999995</v>
      </c>
      <c r="JO4" s="19">
        <f t="shared" si="176"/>
        <v>0</v>
      </c>
      <c r="JR4" s="19">
        <f t="shared" ref="JR4" si="177">SUM(JR113:JR162)</f>
        <v>0</v>
      </c>
      <c r="JU4" s="19">
        <f t="shared" ref="JU4:JV4" si="178">SUM(JU113:JU162)</f>
        <v>0</v>
      </c>
      <c r="JV4" s="37">
        <f t="shared" si="178"/>
        <v>18296.734083990275</v>
      </c>
      <c r="JX4" s="19">
        <f t="shared" ref="JX4" si="179">SUM(JX113:JX162)</f>
        <v>0</v>
      </c>
      <c r="KA4" s="19">
        <f t="shared" ref="KA4" si="180">SUM(KA113:KA162)</f>
        <v>0</v>
      </c>
      <c r="KC4" s="19">
        <f t="shared" ref="KC4" si="181">SUM(KC113:KC162)</f>
        <v>0</v>
      </c>
      <c r="KE4" s="19">
        <f t="shared" ref="KE4" si="182">SUM(KE113:KE162)</f>
        <v>0</v>
      </c>
      <c r="KH4" s="19">
        <f t="shared" ref="KH4:KI4" si="183">SUM(KH113:KH162)</f>
        <v>0</v>
      </c>
      <c r="KI4" s="19">
        <f t="shared" si="183"/>
        <v>0</v>
      </c>
      <c r="KL4" s="37">
        <f t="shared" ref="KL4" si="184">SUM(KL113:KL162)</f>
        <v>39220.224328000004</v>
      </c>
      <c r="KO4" s="37">
        <f t="shared" ref="KO4" si="185">SUM(KO113:KO162)</f>
        <v>90176.742388292783</v>
      </c>
      <c r="KR4" s="19">
        <f t="shared" ref="KR4:KS4" si="186">SUM(KR113:KR162)</f>
        <v>0</v>
      </c>
      <c r="KS4" s="19">
        <f t="shared" si="186"/>
        <v>0</v>
      </c>
      <c r="KV4" s="9">
        <f t="shared" ref="KV4" si="187">SUM(KV113:KV162)</f>
        <v>6.0960000000000001</v>
      </c>
      <c r="KY4" s="19">
        <f t="shared" ref="KY4" si="188">SUM(KY113:KY162)</f>
        <v>0</v>
      </c>
      <c r="LB4" s="19">
        <f t="shared" ref="LB4:LC4" si="189">SUM(LB113:LB162)</f>
        <v>0</v>
      </c>
      <c r="LC4" s="37">
        <f t="shared" si="189"/>
        <v>129396.96671629278</v>
      </c>
      <c r="LE4" s="19">
        <f t="shared" ref="LE4" si="190">SUM(LE113:LE162)</f>
        <v>0</v>
      </c>
      <c r="LH4" s="19">
        <f t="shared" ref="LH4" si="191">SUM(LH113:LH162)</f>
        <v>0</v>
      </c>
      <c r="LL4" s="37">
        <f t="shared" ref="LL4" si="192">SUM(LL113:LL162)</f>
        <v>59462.158952000005</v>
      </c>
      <c r="LO4" s="37">
        <f t="shared" ref="LO4" si="193">SUM(LO113:LO162)</f>
        <v>126052.52132771692</v>
      </c>
      <c r="LR4" s="19">
        <f t="shared" ref="LR4:LS4" si="194">SUM(LR113:LR162)</f>
        <v>0</v>
      </c>
      <c r="LS4" s="37">
        <f t="shared" si="194"/>
        <v>0</v>
      </c>
      <c r="LV4" s="19">
        <f t="shared" ref="LV4" si="195">SUM(LV113:LV162)</f>
        <v>0</v>
      </c>
      <c r="LY4" s="19">
        <f t="shared" ref="LY4" si="196">SUM(LY113:LY162)</f>
        <v>0</v>
      </c>
      <c r="MB4" s="19">
        <f t="shared" ref="MB4:MD4" si="197">SUM(MB113:MB162)</f>
        <v>0</v>
      </c>
      <c r="MC4" s="37">
        <f t="shared" si="197"/>
        <v>185514.68027971694</v>
      </c>
      <c r="MD4" s="19">
        <f t="shared" si="197"/>
        <v>0</v>
      </c>
      <c r="MG4" s="9">
        <f t="shared" ref="MG4" si="198">SUM(MG113:MG162)</f>
        <v>9.1563732559194442</v>
      </c>
      <c r="MJ4" s="32">
        <f t="shared" ref="MJ4" si="199">SUM(MJ113:MJ162)</f>
        <v>321.46240000000006</v>
      </c>
      <c r="MM4" s="19">
        <f t="shared" ref="MM4:MN4" si="200">SUM(MM113:MM162)</f>
        <v>0</v>
      </c>
      <c r="MN4" s="19">
        <f t="shared" si="200"/>
        <v>0</v>
      </c>
      <c r="MQ4" s="32">
        <f t="shared" ref="MQ4" si="201">SUM(MQ113:MQ162)</f>
        <v>330.61877325591945</v>
      </c>
      <c r="MS4" s="19">
        <f t="shared" ref="MS4" si="202">SUM(MS113:MS162)</f>
        <v>0</v>
      </c>
      <c r="MV4" s="19">
        <f t="shared" ref="MV4" si="203">SUM(MV113:MV162)</f>
        <v>0</v>
      </c>
      <c r="MY4" s="37">
        <f t="shared" ref="MY4" si="204">SUM(MY113:MY162)</f>
        <v>1075.1997800000001</v>
      </c>
      <c r="NA4" s="32">
        <f t="shared" ref="NA4" si="205">SUM(NA113:NA162)</f>
        <v>121.76015747651675</v>
      </c>
      <c r="NC4" s="9">
        <f t="shared" ref="NC4" si="206">SUM(NC113:NC162)</f>
        <v>85.02893840000003</v>
      </c>
      <c r="NE4" s="9">
        <f t="shared" ref="NE4" si="207">SUM(NE113:NE162)</f>
        <v>1.025129275151955</v>
      </c>
      <c r="NG4" s="9">
        <f t="shared" ref="NG4" si="208">SUM(NG113:NG162)</f>
        <v>8.3931451510478112</v>
      </c>
      <c r="NI4" s="9">
        <f t="shared" ref="NI4:NJ4" si="209">SUM(NI113:NI162)</f>
        <v>5.2222399999999993</v>
      </c>
      <c r="NJ4" s="37">
        <f t="shared" si="209"/>
        <v>1296.6547903027165</v>
      </c>
    </row>
    <row r="5" spans="1:375" s="199" customFormat="1" x14ac:dyDescent="0.25">
      <c r="A5" s="198" t="s">
        <v>1633</v>
      </c>
      <c r="B5" s="37">
        <f>SUM(B163:B212)</f>
        <v>492373.88274770655</v>
      </c>
      <c r="C5" s="37">
        <f t="shared" ref="C5:I5" si="210">SUM(C163:C212)</f>
        <v>162736.89991513177</v>
      </c>
      <c r="D5" s="37">
        <f t="shared" si="210"/>
        <v>75374.135109796363</v>
      </c>
      <c r="E5" s="37">
        <f t="shared" si="210"/>
        <v>81837.953908292999</v>
      </c>
      <c r="F5" s="37">
        <f t="shared" si="210"/>
        <v>18652.448479360024</v>
      </c>
      <c r="G5" s="37">
        <f t="shared" si="210"/>
        <v>3186019.1260442203</v>
      </c>
      <c r="H5" s="37">
        <f t="shared" si="210"/>
        <v>376044.80918471492</v>
      </c>
      <c r="I5" s="37">
        <f t="shared" si="210"/>
        <v>4393039.2553892238</v>
      </c>
      <c r="K5" s="37">
        <f t="shared" ref="K5" si="211">SUM(K163:K212)</f>
        <v>4378893.1248736968</v>
      </c>
      <c r="M5" s="37">
        <f t="shared" ref="M5:T5" si="212">SUM(M163:M212)</f>
        <v>20037454.343600001</v>
      </c>
      <c r="N5" s="37">
        <f t="shared" si="212"/>
        <v>14419084.0243</v>
      </c>
      <c r="O5" s="37">
        <f t="shared" si="212"/>
        <v>1714.4166000000002</v>
      </c>
      <c r="P5" s="37">
        <f t="shared" si="212"/>
        <v>4300196.5347999996</v>
      </c>
      <c r="Q5" s="37">
        <f t="shared" si="212"/>
        <v>161772.5238</v>
      </c>
      <c r="R5" s="37">
        <f t="shared" si="212"/>
        <v>1053177.5703</v>
      </c>
      <c r="S5" s="37">
        <f t="shared" si="212"/>
        <v>660154.04744999995</v>
      </c>
      <c r="T5" s="37">
        <f t="shared" si="212"/>
        <v>40427055.734599993</v>
      </c>
      <c r="V5" s="37">
        <f t="shared" ref="V5" si="213">SUM(V163:V212)</f>
        <v>36706711.557970107</v>
      </c>
      <c r="X5" s="37">
        <f t="shared" ref="X5:AC5" si="214">SUM(X163:X212)</f>
        <v>291578238.90584612</v>
      </c>
      <c r="Y5" s="37">
        <f t="shared" si="214"/>
        <v>205439.728</v>
      </c>
      <c r="Z5" s="37">
        <f t="shared" si="214"/>
        <v>179531.848</v>
      </c>
      <c r="AA5" s="37">
        <f t="shared" si="214"/>
        <v>563716309.08800006</v>
      </c>
      <c r="AB5" s="37">
        <f t="shared" si="214"/>
        <v>152649414.46694666</v>
      </c>
      <c r="AC5" s="37">
        <f t="shared" si="214"/>
        <v>1008328934.0367928</v>
      </c>
      <c r="AG5" s="37">
        <f t="shared" ref="AG5:AK5" si="215">SUM(AG163:AG212)</f>
        <v>82057033.019993395</v>
      </c>
      <c r="AH5" s="37">
        <f t="shared" si="215"/>
        <v>414147.45600000001</v>
      </c>
      <c r="AI5" s="37">
        <f t="shared" si="215"/>
        <v>164191325.00999999</v>
      </c>
      <c r="AJ5" s="37">
        <f t="shared" si="215"/>
        <v>35089268.280000009</v>
      </c>
      <c r="AK5" s="37">
        <f t="shared" si="215"/>
        <v>281751773.76599342</v>
      </c>
      <c r="AN5" s="37">
        <f t="shared" ref="AN5:AT5" si="216">SUM(AN163:AN212)</f>
        <v>2270322987.0438614</v>
      </c>
      <c r="AO5" s="37">
        <f t="shared" si="216"/>
        <v>2777776892.1306057</v>
      </c>
      <c r="AP5" s="37">
        <f t="shared" si="216"/>
        <v>1606483.96</v>
      </c>
      <c r="AQ5" s="37">
        <f t="shared" si="216"/>
        <v>16901313.175999999</v>
      </c>
      <c r="AR5" s="37">
        <f t="shared" si="216"/>
        <v>89197586.079999998</v>
      </c>
      <c r="AS5" s="37">
        <f t="shared" si="216"/>
        <v>134474693.704</v>
      </c>
      <c r="AT5" s="37">
        <f t="shared" si="216"/>
        <v>5290279956.0944672</v>
      </c>
      <c r="AW5" s="37">
        <f>SUM(AW163:AW212)</f>
        <v>1565461615.5120001</v>
      </c>
      <c r="AZ5" s="37">
        <f>SUM(AZ163:AZ212)</f>
        <v>14630.675551579081</v>
      </c>
      <c r="BA5" s="32">
        <f t="shared" ref="BA5:BE5" si="217">SUM(BA163:BA212)</f>
        <v>915.31440000000009</v>
      </c>
      <c r="BB5" s="37">
        <f t="shared" si="217"/>
        <v>6.9088000000000012</v>
      </c>
      <c r="BC5" s="37">
        <f t="shared" si="217"/>
        <v>18028.24208</v>
      </c>
      <c r="BD5" s="32">
        <f t="shared" si="217"/>
        <v>583.22947397505777</v>
      </c>
      <c r="BE5" s="37">
        <f t="shared" si="217"/>
        <v>34164.370305554141</v>
      </c>
      <c r="BH5" s="37">
        <f t="shared" ref="BH5:BO5" si="218">SUM(BH163:BH212)</f>
        <v>7221841.6546</v>
      </c>
      <c r="BI5" s="37">
        <f t="shared" si="218"/>
        <v>1371607.372</v>
      </c>
      <c r="BJ5" s="37">
        <f t="shared" si="218"/>
        <v>15195.096</v>
      </c>
      <c r="BK5" s="37">
        <f t="shared" si="218"/>
        <v>1014330.0290000001</v>
      </c>
      <c r="BL5" s="37">
        <f t="shared" si="218"/>
        <v>1177738.2239999999</v>
      </c>
      <c r="BM5" s="37">
        <f t="shared" si="218"/>
        <v>381750.66145999997</v>
      </c>
      <c r="BN5" s="37">
        <f t="shared" si="218"/>
        <v>361052.28960000002</v>
      </c>
      <c r="BO5" s="37">
        <f t="shared" si="218"/>
        <v>11558515.041060003</v>
      </c>
      <c r="BQ5" s="37">
        <f t="shared" ref="BQ5" si="219">SUM(BQ163:BQ212)</f>
        <v>11608725.247262221</v>
      </c>
      <c r="BS5" s="37">
        <f t="shared" ref="BS5:BV5" si="220">SUM(BS163:BS212)</f>
        <v>4121.8</v>
      </c>
      <c r="BT5" s="37">
        <f t="shared" si="220"/>
        <v>571106903.64999998</v>
      </c>
      <c r="BU5" s="37">
        <f t="shared" si="220"/>
        <v>273750</v>
      </c>
      <c r="BV5" s="37">
        <f t="shared" si="220"/>
        <v>571384775.45000005</v>
      </c>
      <c r="BX5" s="37">
        <f t="shared" ref="BX5" si="221">SUM(BX163:BX212)</f>
        <v>566323846.64999998</v>
      </c>
      <c r="BZ5" s="37">
        <f t="shared" ref="BZ5:CG5" si="222">SUM(BZ163:BZ212)</f>
        <v>913351.75199999998</v>
      </c>
      <c r="CA5" s="37">
        <f t="shared" si="222"/>
        <v>629497.24</v>
      </c>
      <c r="CB5" s="37">
        <f t="shared" si="222"/>
        <v>35750.752</v>
      </c>
      <c r="CC5" s="37">
        <f t="shared" si="222"/>
        <v>66334935.99208875</v>
      </c>
      <c r="CD5" s="37">
        <f t="shared" si="222"/>
        <v>173722157.26900005</v>
      </c>
      <c r="CE5" s="37">
        <f t="shared" si="222"/>
        <v>3168948020.8599858</v>
      </c>
      <c r="CF5" s="37">
        <f t="shared" si="222"/>
        <v>6884421.2880000006</v>
      </c>
      <c r="CG5" s="37">
        <f t="shared" si="222"/>
        <v>3417468135.1530752</v>
      </c>
      <c r="CJ5" s="37">
        <f t="shared" ref="CJ5:CR5" si="223">SUM(CJ163:CJ212)</f>
        <v>133297.152</v>
      </c>
      <c r="CK5" s="37">
        <f t="shared" si="223"/>
        <v>22513.544000000002</v>
      </c>
      <c r="CL5" s="9">
        <f t="shared" si="223"/>
        <v>15.24</v>
      </c>
      <c r="CM5" s="32">
        <f t="shared" si="223"/>
        <v>756</v>
      </c>
      <c r="CN5" s="37">
        <f t="shared" si="223"/>
        <v>1254.2560000000001</v>
      </c>
      <c r="CO5" s="37">
        <f t="shared" si="223"/>
        <v>4449347.2080000006</v>
      </c>
      <c r="CP5" s="37">
        <f t="shared" si="223"/>
        <v>50865586.296000004</v>
      </c>
      <c r="CQ5" s="37">
        <f t="shared" si="223"/>
        <v>138886.4575314525</v>
      </c>
      <c r="CR5" s="37">
        <f t="shared" si="223"/>
        <v>55611656.153531455</v>
      </c>
      <c r="CT5" s="37">
        <f t="shared" ref="CT5" si="224">SUM(CT163:CT212)</f>
        <v>52634051.223999999</v>
      </c>
      <c r="CV5" s="37">
        <f t="shared" ref="CV5:CZ5" si="225">SUM(CV163:CV212)</f>
        <v>327384.71469017025</v>
      </c>
      <c r="CW5" s="19">
        <f t="shared" si="225"/>
        <v>0</v>
      </c>
      <c r="CX5" s="37">
        <f t="shared" si="225"/>
        <v>1984326.9086914801</v>
      </c>
      <c r="CY5" s="37">
        <f t="shared" si="225"/>
        <v>2311711.6233816505</v>
      </c>
      <c r="CZ5" s="37">
        <f t="shared" si="225"/>
        <v>533308.25803429296</v>
      </c>
      <c r="DB5" s="37">
        <f t="shared" ref="DB5" si="226">SUM(DB163:DB212)</f>
        <v>2356904.398121763</v>
      </c>
      <c r="DD5" s="37">
        <f t="shared" ref="DD5:DK5" si="227">SUM(DD163:DD212)</f>
        <v>7207567.0959999999</v>
      </c>
      <c r="DE5" s="37">
        <f t="shared" si="227"/>
        <v>11751073.888</v>
      </c>
      <c r="DF5" s="10">
        <f t="shared" si="227"/>
        <v>4.0640000000000001</v>
      </c>
      <c r="DG5" s="37">
        <f t="shared" si="227"/>
        <v>1500633.4670000002</v>
      </c>
      <c r="DH5" s="37">
        <f t="shared" si="227"/>
        <v>46041.779200000004</v>
      </c>
      <c r="DI5" s="37">
        <f t="shared" si="227"/>
        <v>416382.52099999995</v>
      </c>
      <c r="DJ5" s="37">
        <f t="shared" si="227"/>
        <v>380387.28750000003</v>
      </c>
      <c r="DK5" s="37">
        <f t="shared" si="227"/>
        <v>21302090.102700002</v>
      </c>
      <c r="DM5" s="37">
        <f t="shared" ref="DM5" si="228">SUM(DM163:DM212)</f>
        <v>20372399.045769513</v>
      </c>
      <c r="DO5" s="37">
        <f t="shared" ref="DO5:DV5" si="229">SUM(DO163:DO212)</f>
        <v>7212424.5839999998</v>
      </c>
      <c r="DP5" s="37">
        <f t="shared" si="229"/>
        <v>14565905.399999999</v>
      </c>
      <c r="DQ5" s="37">
        <f t="shared" si="229"/>
        <v>19522</v>
      </c>
      <c r="DR5" s="37">
        <f t="shared" si="229"/>
        <v>4402002.9390000002</v>
      </c>
      <c r="DS5" s="37">
        <f t="shared" si="229"/>
        <v>336231.61599999998</v>
      </c>
      <c r="DT5" s="37">
        <f t="shared" si="229"/>
        <v>1945831.325</v>
      </c>
      <c r="DU5" s="37">
        <f t="shared" si="229"/>
        <v>1205599.5626000001</v>
      </c>
      <c r="DV5" s="37">
        <f t="shared" si="229"/>
        <v>29687517.426599998</v>
      </c>
      <c r="DX5" s="37">
        <f t="shared" ref="DX5" si="230">SUM(DX163:DX212)</f>
        <v>28289680.185465317</v>
      </c>
      <c r="DZ5" s="37">
        <f t="shared" ref="DZ5:EF5" si="231">SUM(DZ163:DZ212)</f>
        <v>52021.994262</v>
      </c>
      <c r="EA5" s="37">
        <f t="shared" si="231"/>
        <v>43349.422934599999</v>
      </c>
      <c r="EB5" s="37">
        <f t="shared" si="231"/>
        <v>1614.1112761580332</v>
      </c>
      <c r="EC5" s="37">
        <f t="shared" si="231"/>
        <v>230064.16968060264</v>
      </c>
      <c r="ED5" s="37">
        <f t="shared" si="231"/>
        <v>20673.609827796885</v>
      </c>
      <c r="EE5" s="37">
        <f t="shared" si="231"/>
        <v>1008.6869436201774</v>
      </c>
      <c r="EF5" s="37">
        <f t="shared" si="231"/>
        <v>348731.99492477765</v>
      </c>
      <c r="EI5" s="37">
        <f t="shared" ref="EI5:EM5" si="232">SUM(EI163:EI212)</f>
        <v>8892.76</v>
      </c>
      <c r="EJ5" s="37">
        <f t="shared" si="232"/>
        <v>22889.095838976162</v>
      </c>
      <c r="EK5" s="9">
        <f t="shared" si="232"/>
        <v>11.47</v>
      </c>
      <c r="EL5" s="37">
        <f t="shared" si="232"/>
        <v>75670.915425439991</v>
      </c>
      <c r="EM5" s="37">
        <f t="shared" si="232"/>
        <v>107464.24126441615</v>
      </c>
      <c r="EO5" s="37">
        <f t="shared" ref="EO5" si="233">SUM(EO163:EO212)</f>
        <v>109841.402324992</v>
      </c>
      <c r="EQ5" s="9">
        <f t="shared" ref="EQ5:ER5" si="234">SUM(EQ163:EQ212)</f>
        <v>85.367906000000005</v>
      </c>
      <c r="ER5" s="9">
        <f t="shared" si="234"/>
        <v>85.367906000000005</v>
      </c>
      <c r="EU5" s="37">
        <f t="shared" ref="EU5:EV5" si="235">SUM(EU163:EU212)</f>
        <v>2862</v>
      </c>
      <c r="EV5" s="37">
        <f t="shared" si="235"/>
        <v>2862</v>
      </c>
      <c r="EY5" s="9">
        <f t="shared" ref="EY5:FF5" si="236">SUM(EY163:EY212)</f>
        <v>91.231999999999999</v>
      </c>
      <c r="EZ5" s="37">
        <f t="shared" si="236"/>
        <v>33077.884401077354</v>
      </c>
      <c r="FA5" s="9">
        <f t="shared" si="236"/>
        <v>91.44</v>
      </c>
      <c r="FB5" s="37">
        <f t="shared" si="236"/>
        <v>2110.9823200000001</v>
      </c>
      <c r="FC5" s="37">
        <f t="shared" si="236"/>
        <v>309996.24800000002</v>
      </c>
      <c r="FD5" s="19">
        <f t="shared" si="236"/>
        <v>0</v>
      </c>
      <c r="FE5" s="32">
        <f t="shared" si="236"/>
        <v>227.584</v>
      </c>
      <c r="FF5" s="37">
        <f t="shared" si="236"/>
        <v>345595.3707210772</v>
      </c>
      <c r="FI5" s="37">
        <f t="shared" ref="FI5:FM5" si="237">SUM(FI163:FI212)</f>
        <v>7289.8</v>
      </c>
      <c r="FJ5" s="9">
        <f t="shared" si="237"/>
        <v>39.624000000000002</v>
      </c>
      <c r="FK5" s="10">
        <f t="shared" si="237"/>
        <v>2.6890000000000001</v>
      </c>
      <c r="FL5" s="37">
        <f t="shared" si="237"/>
        <v>258047.704</v>
      </c>
      <c r="FM5" s="37">
        <f t="shared" si="237"/>
        <v>265640.67604866083</v>
      </c>
      <c r="FP5" s="32">
        <f t="shared" ref="FP5:FV5" si="238">SUM(FP163:FP212)</f>
        <v>185.928</v>
      </c>
      <c r="FQ5" s="19">
        <f t="shared" si="238"/>
        <v>0</v>
      </c>
      <c r="FR5" s="9">
        <f t="shared" si="238"/>
        <v>18.288</v>
      </c>
      <c r="FS5" s="32">
        <f t="shared" si="238"/>
        <v>805.27199999999993</v>
      </c>
      <c r="FT5" s="32">
        <f t="shared" si="238"/>
        <v>137.16000000000003</v>
      </c>
      <c r="FU5" s="19">
        <f t="shared" si="238"/>
        <v>0</v>
      </c>
      <c r="FV5" s="37">
        <f t="shared" si="238"/>
        <v>1146.6479999999999</v>
      </c>
      <c r="FY5" s="10">
        <f t="shared" ref="FY5:GB5" si="239">SUM(FY163:FY212)</f>
        <v>3.1295268594377506</v>
      </c>
      <c r="FZ5" s="37">
        <f t="shared" si="239"/>
        <v>43680.965842774793</v>
      </c>
      <c r="GA5" s="19">
        <f t="shared" si="239"/>
        <v>0</v>
      </c>
      <c r="GB5" s="37">
        <f t="shared" si="239"/>
        <v>43684.095369634226</v>
      </c>
      <c r="GE5" s="9">
        <f t="shared" ref="GE5:GK5" si="240">SUM(GE163:GE212)</f>
        <v>13.795736196663961</v>
      </c>
      <c r="GF5" s="10">
        <f t="shared" si="240"/>
        <v>0.95767774723558441</v>
      </c>
      <c r="GG5" s="19">
        <f t="shared" si="240"/>
        <v>0</v>
      </c>
      <c r="GH5" s="19">
        <f t="shared" si="240"/>
        <v>0</v>
      </c>
      <c r="GI5" s="32">
        <f t="shared" si="240"/>
        <v>324.43873576946868</v>
      </c>
      <c r="GJ5" s="19">
        <f t="shared" si="240"/>
        <v>0</v>
      </c>
      <c r="GK5" s="32">
        <f t="shared" si="240"/>
        <v>339.19214971336822</v>
      </c>
      <c r="GN5" s="37">
        <f t="shared" ref="GN5:GT5" si="241">SUM(GN163:GN212)</f>
        <v>1964746</v>
      </c>
      <c r="GO5" s="9">
        <f t="shared" si="241"/>
        <v>39.623999999999995</v>
      </c>
      <c r="GP5" s="19">
        <f t="shared" si="241"/>
        <v>0</v>
      </c>
      <c r="GQ5" s="37">
        <f t="shared" si="241"/>
        <v>278375.74399999995</v>
      </c>
      <c r="GR5" s="37">
        <f t="shared" si="241"/>
        <v>1074.9280000000003</v>
      </c>
      <c r="GS5" s="37">
        <f t="shared" si="241"/>
        <v>42908528.592</v>
      </c>
      <c r="GT5" s="37">
        <f t="shared" si="241"/>
        <v>45152764.887999997</v>
      </c>
      <c r="GW5" s="10">
        <f t="shared" ref="GW5:HT5" si="242">SUM(GW163:GW212)</f>
        <v>3.7320000000000002</v>
      </c>
      <c r="GX5" s="10">
        <f t="shared" si="242"/>
        <v>2.8325880000000003</v>
      </c>
      <c r="GY5" s="51">
        <f t="shared" si="242"/>
        <v>4.8516000000000002E-3</v>
      </c>
      <c r="GZ5" s="22">
        <f t="shared" si="242"/>
        <v>4.3664400000000006E-2</v>
      </c>
      <c r="HA5" s="22">
        <f t="shared" si="242"/>
        <v>4.8516000000000004E-2</v>
      </c>
      <c r="HB5" s="19">
        <f t="shared" si="242"/>
        <v>0</v>
      </c>
      <c r="HC5" s="19">
        <f t="shared" si="242"/>
        <v>0</v>
      </c>
      <c r="HD5" s="19">
        <f t="shared" si="242"/>
        <v>0</v>
      </c>
      <c r="HE5" s="19">
        <f t="shared" si="242"/>
        <v>0</v>
      </c>
      <c r="HF5" s="19">
        <f t="shared" si="242"/>
        <v>0</v>
      </c>
      <c r="HG5" s="10">
        <f t="shared" si="242"/>
        <v>9.8562119999999993</v>
      </c>
      <c r="HH5" s="10">
        <f t="shared" si="242"/>
        <v>2.9568636000000002E-2</v>
      </c>
      <c r="HI5" s="10">
        <f t="shared" si="242"/>
        <v>0.266117724</v>
      </c>
      <c r="HJ5" s="10">
        <f t="shared" si="242"/>
        <v>3.3018310200000003</v>
      </c>
      <c r="HK5" s="10">
        <f t="shared" si="242"/>
        <v>5.7264591719999993</v>
      </c>
      <c r="HL5" s="37">
        <f t="shared" si="242"/>
        <v>3298.8200267734983</v>
      </c>
      <c r="HM5" s="37">
        <f t="shared" si="242"/>
        <v>11600.897524848891</v>
      </c>
      <c r="HN5" s="9">
        <f t="shared" si="242"/>
        <v>32.594999999999999</v>
      </c>
      <c r="HO5" s="37">
        <f t="shared" si="242"/>
        <v>3298.8200267734983</v>
      </c>
      <c r="HP5" s="37">
        <f t="shared" si="242"/>
        <v>11600.897524848891</v>
      </c>
      <c r="HQ5" s="22">
        <f t="shared" si="242"/>
        <v>2.9288736000000003E-2</v>
      </c>
      <c r="HR5" s="9">
        <f t="shared" si="242"/>
        <v>32.861117724000003</v>
      </c>
      <c r="HS5" s="10">
        <f t="shared" si="242"/>
        <v>3.3018310200000003</v>
      </c>
      <c r="HT5" s="10">
        <f t="shared" si="242"/>
        <v>5.7264591719999993</v>
      </c>
      <c r="HV5" s="37">
        <f t="shared" ref="HV5:HZ5" si="243">SUM(HV163:HV212)</f>
        <v>2304.9079200000001</v>
      </c>
      <c r="HW5" s="37">
        <f t="shared" si="243"/>
        <v>13156.977600000006</v>
      </c>
      <c r="HX5" s="19">
        <f t="shared" si="243"/>
        <v>0</v>
      </c>
      <c r="HY5" s="37">
        <f t="shared" si="243"/>
        <v>139324.068768</v>
      </c>
      <c r="HZ5" s="37">
        <f t="shared" si="243"/>
        <v>154785.95428799998</v>
      </c>
      <c r="IC5" s="37">
        <f t="shared" ref="IC5:IJ5" si="244">SUM(IC163:IC212)</f>
        <v>9915.1732263616286</v>
      </c>
      <c r="ID5" s="32">
        <f t="shared" si="244"/>
        <v>239.68879967529892</v>
      </c>
      <c r="IE5" s="10">
        <f t="shared" si="244"/>
        <v>0.96533401278601627</v>
      </c>
      <c r="IF5" s="37">
        <f t="shared" si="244"/>
        <v>50062.31424064267</v>
      </c>
      <c r="IG5" s="19">
        <f t="shared" si="244"/>
        <v>0</v>
      </c>
      <c r="IH5" s="9">
        <f t="shared" si="244"/>
        <v>25.382980150108633</v>
      </c>
      <c r="II5" s="37">
        <f t="shared" si="244"/>
        <v>1499.56081630585</v>
      </c>
      <c r="IJ5" s="37">
        <f t="shared" si="244"/>
        <v>61743.085397148316</v>
      </c>
      <c r="IM5" s="10">
        <f t="shared" ref="IM5:IP5" si="245">SUM(IM163:IM212)</f>
        <v>1.4114</v>
      </c>
      <c r="IN5" s="37">
        <f t="shared" si="245"/>
        <v>6935.4714029999996</v>
      </c>
      <c r="IO5" s="10">
        <f t="shared" si="245"/>
        <v>0.21301862399999999</v>
      </c>
      <c r="IP5" s="37">
        <f t="shared" si="245"/>
        <v>6937.0958216240015</v>
      </c>
      <c r="IS5" s="19">
        <f t="shared" ref="IS5:IU5" si="246">SUM(IS163:IS212)</f>
        <v>0</v>
      </c>
      <c r="IT5" s="22">
        <f t="shared" si="246"/>
        <v>9.0903551999999999E-2</v>
      </c>
      <c r="IU5" s="22">
        <f t="shared" si="246"/>
        <v>9.0903551999999999E-2</v>
      </c>
      <c r="IW5" s="37">
        <f t="shared" ref="IW5:IZ5" si="247">SUM(IW163:IW212)</f>
        <v>17919.732082406295</v>
      </c>
      <c r="IX5" s="37">
        <f t="shared" si="247"/>
        <v>1638.614</v>
      </c>
      <c r="IY5" s="37">
        <f t="shared" si="247"/>
        <v>5671.2031207475284</v>
      </c>
      <c r="IZ5" s="37">
        <f t="shared" si="247"/>
        <v>25229.549203153823</v>
      </c>
      <c r="JB5" s="32">
        <f t="shared" ref="JB5:JD5" si="248">SUM(JB163:JB212)</f>
        <v>310.38000000000005</v>
      </c>
      <c r="JC5" s="37">
        <f t="shared" si="248"/>
        <v>875171.34499999997</v>
      </c>
      <c r="JD5" s="37">
        <f t="shared" si="248"/>
        <v>875481.72499999998</v>
      </c>
      <c r="JG5" s="37">
        <f t="shared" ref="JG5" si="249">SUM(JG163:JG212)</f>
        <v>3246650.2140000002</v>
      </c>
      <c r="JJ5" s="37">
        <f t="shared" ref="JJ5" si="250">SUM(JJ163:JJ212)</f>
        <v>751123.94799999997</v>
      </c>
      <c r="JM5" s="19">
        <f t="shared" ref="JM5:JO5" si="251">SUM(JM163:JM212)</f>
        <v>0</v>
      </c>
      <c r="JN5" s="37">
        <f t="shared" si="251"/>
        <v>72752.712</v>
      </c>
      <c r="JO5" s="37">
        <f t="shared" si="251"/>
        <v>895</v>
      </c>
      <c r="JR5" s="37">
        <f t="shared" ref="JR5" si="252">SUM(JR163:JR212)</f>
        <v>34259238.218800001</v>
      </c>
      <c r="JU5" s="19">
        <f t="shared" ref="JU5:JV5" si="253">SUM(JU163:JU212)</f>
        <v>0</v>
      </c>
      <c r="JV5" s="37">
        <f t="shared" si="253"/>
        <v>38330660.092799999</v>
      </c>
      <c r="JX5" s="37">
        <f t="shared" ref="JX5" si="254">SUM(JX163:JX212)</f>
        <v>47995000</v>
      </c>
      <c r="KA5" s="19">
        <f t="shared" ref="KA5" si="255">SUM(KA163:KA212)</f>
        <v>0</v>
      </c>
      <c r="KC5" s="19">
        <f t="shared" ref="KC5" si="256">SUM(KC163:KC212)</f>
        <v>0</v>
      </c>
      <c r="KE5" s="37">
        <f t="shared" ref="KE5" si="257">SUM(KE163:KE212)</f>
        <v>580405.55560000008</v>
      </c>
      <c r="KH5" s="19">
        <f t="shared" ref="KH5:KI5" si="258">SUM(KH163:KH212)</f>
        <v>0</v>
      </c>
      <c r="KI5" s="37">
        <f t="shared" si="258"/>
        <v>580405.55560000008</v>
      </c>
      <c r="KL5" s="37">
        <f t="shared" ref="KL5" si="259">SUM(KL163:KL212)</f>
        <v>3135825.00856</v>
      </c>
      <c r="KO5" s="37">
        <f t="shared" ref="KO5" si="260">SUM(KO163:KO212)</f>
        <v>4647471.4800626971</v>
      </c>
      <c r="KR5" s="19">
        <f t="shared" ref="KR5:KS5" si="261">SUM(KR163:KR212)</f>
        <v>0</v>
      </c>
      <c r="KS5" s="37">
        <f t="shared" si="261"/>
        <v>40026.504000000001</v>
      </c>
      <c r="KV5" s="37">
        <f t="shared" ref="KV5" si="262">SUM(KV163:KV212)</f>
        <v>1604</v>
      </c>
      <c r="KY5" s="37">
        <f t="shared" ref="KY5" si="263">SUM(KY163:KY212)</f>
        <v>2268762.5069200001</v>
      </c>
      <c r="LB5" s="19">
        <f t="shared" ref="LB5:LC5" si="264">SUM(LB163:LB212)</f>
        <v>0</v>
      </c>
      <c r="LC5" s="37">
        <f t="shared" si="264"/>
        <v>10093689.499542693</v>
      </c>
      <c r="LE5" s="37">
        <f t="shared" ref="LE5" si="265">SUM(LE163:LE212)</f>
        <v>9896000</v>
      </c>
      <c r="LH5" s="37">
        <f t="shared" ref="LH5" si="266">SUM(LH163:LH212)</f>
        <v>5768147.264193939</v>
      </c>
      <c r="LL5" s="37">
        <f t="shared" ref="LL5" si="267">SUM(LL163:LL212)</f>
        <v>3012745.00856</v>
      </c>
      <c r="LO5" s="37">
        <f t="shared" ref="LO5" si="268">SUM(LO163:LO212)</f>
        <v>4700054.722909091</v>
      </c>
      <c r="LR5" s="19">
        <f t="shared" ref="LR5:LS5" si="269">SUM(LR163:LR212)</f>
        <v>0</v>
      </c>
      <c r="LS5" s="37">
        <f t="shared" si="269"/>
        <v>39000.055999999997</v>
      </c>
      <c r="LV5" s="32">
        <f t="shared" ref="LV5" si="270">SUM(LV163:LV212)</f>
        <v>202</v>
      </c>
      <c r="LY5" s="37">
        <f t="shared" ref="LY5" si="271">SUM(LY163:LY212)</f>
        <v>8030629.2048800001</v>
      </c>
      <c r="MB5" s="19">
        <f t="shared" ref="MB5:MD5" si="272">SUM(MB163:MB212)</f>
        <v>0</v>
      </c>
      <c r="MC5" s="37">
        <f t="shared" si="272"/>
        <v>15782630.992349092</v>
      </c>
      <c r="MD5" s="37">
        <f t="shared" si="272"/>
        <v>15224000</v>
      </c>
      <c r="MG5" s="37">
        <f t="shared" ref="MG5" si="273">SUM(MG163:MG212)</f>
        <v>4678.5131999999994</v>
      </c>
      <c r="MJ5" s="37">
        <f t="shared" ref="MJ5" si="274">SUM(MJ163:MJ212)</f>
        <v>21928.295999999998</v>
      </c>
      <c r="MM5" s="19">
        <f t="shared" ref="MM5:MN5" si="275">SUM(MM163:MM212)</f>
        <v>0</v>
      </c>
      <c r="MN5" s="37">
        <f t="shared" si="275"/>
        <v>232206.78128</v>
      </c>
      <c r="MQ5" s="37">
        <f t="shared" ref="MQ5" si="276">SUM(MQ163:MQ212)</f>
        <v>258813.59048000001</v>
      </c>
      <c r="MS5" s="32">
        <f t="shared" ref="MS5" si="277">SUM(MS163:MS212)</f>
        <v>564.30399999999997</v>
      </c>
      <c r="MV5" s="37">
        <f t="shared" ref="MV5" si="278">SUM(MV163:MV212)</f>
        <v>263900</v>
      </c>
      <c r="MY5" s="9">
        <f t="shared" ref="MY5:NC5" si="279">SUM(MY163:MY212)</f>
        <v>63.531754400000004</v>
      </c>
      <c r="NA5" s="9">
        <f t="shared" si="279"/>
        <v>5.345650617289845</v>
      </c>
      <c r="NC5" s="9">
        <f t="shared" si="279"/>
        <v>25.08</v>
      </c>
      <c r="NE5" s="19">
        <f t="shared" ref="MY5:NJ6" si="280">SUM(NE212:NE232)</f>
        <v>0</v>
      </c>
      <c r="NG5" s="9">
        <f t="shared" ref="NG5" si="281">SUM(NG163:NG212)</f>
        <v>2.2653465481266446</v>
      </c>
      <c r="NI5" s="9">
        <f t="shared" ref="NI5" si="282">SUM(NI163:NI212)</f>
        <v>5.2120800000000003</v>
      </c>
      <c r="NJ5" s="32">
        <f t="shared" ref="NJ5" si="283">SUM(NJ163:NJ212)</f>
        <v>101.4348315654165</v>
      </c>
    </row>
    <row r="6" spans="1:375" s="199" customFormat="1" x14ac:dyDescent="0.25">
      <c r="A6" s="62" t="s">
        <v>1636</v>
      </c>
      <c r="B6" s="37">
        <f>SUM(B213:B233)</f>
        <v>407702.9232737511</v>
      </c>
      <c r="C6" s="37">
        <f t="shared" ref="C6:I6" si="284">SUM(C213:C233)</f>
        <v>655973.7995155392</v>
      </c>
      <c r="D6" s="37">
        <f t="shared" si="284"/>
        <v>182982.06953636714</v>
      </c>
      <c r="E6" s="37">
        <f t="shared" si="284"/>
        <v>81569.876866900362</v>
      </c>
      <c r="F6" s="37">
        <f t="shared" si="284"/>
        <v>191129.14975800202</v>
      </c>
      <c r="G6" s="37">
        <f t="shared" si="284"/>
        <v>3843192.714830515</v>
      </c>
      <c r="H6" s="37">
        <f t="shared" si="284"/>
        <v>316252.96249922056</v>
      </c>
      <c r="I6" s="37">
        <f t="shared" si="284"/>
        <v>5678803.4962802948</v>
      </c>
      <c r="K6" s="37">
        <f t="shared" ref="K6" si="285">SUM(K213:K233)</f>
        <v>5943135.7707164651</v>
      </c>
      <c r="M6" s="37">
        <f t="shared" ref="M6:T6" si="286">SUM(M213:M233)</f>
        <v>27899241.542990562</v>
      </c>
      <c r="N6" s="37">
        <f t="shared" si="286"/>
        <v>2425029.418088004</v>
      </c>
      <c r="O6" s="19">
        <f t="shared" si="286"/>
        <v>0</v>
      </c>
      <c r="P6" s="37">
        <f t="shared" si="286"/>
        <v>2039635.3867927117</v>
      </c>
      <c r="Q6" s="37">
        <f t="shared" si="286"/>
        <v>802431.96337082889</v>
      </c>
      <c r="R6" s="37">
        <f t="shared" si="286"/>
        <v>1790661.8240819804</v>
      </c>
      <c r="S6" s="37">
        <f t="shared" si="286"/>
        <v>1030803.5512649759</v>
      </c>
      <c r="T6" s="37">
        <f t="shared" si="286"/>
        <v>35987803.686589055</v>
      </c>
      <c r="V6" s="37">
        <f t="shared" ref="V6" si="287">SUM(V213:V233)</f>
        <v>30358335.397370581</v>
      </c>
      <c r="X6" s="37">
        <f t="shared" ref="X6:AC6" si="288">SUM(X213:X233)</f>
        <v>481184539.39589995</v>
      </c>
      <c r="Y6" s="19">
        <f t="shared" si="288"/>
        <v>0</v>
      </c>
      <c r="Z6" s="19">
        <f t="shared" si="288"/>
        <v>0</v>
      </c>
      <c r="AA6" s="37">
        <f t="shared" si="288"/>
        <v>924715319.69999993</v>
      </c>
      <c r="AB6" s="37">
        <f t="shared" si="288"/>
        <v>165651130.43199995</v>
      </c>
      <c r="AC6" s="37">
        <f t="shared" si="288"/>
        <v>1571550989.5279</v>
      </c>
      <c r="AG6" s="37">
        <f t="shared" ref="AG6:AK6" si="289">SUM(AG213:AG233)</f>
        <v>115746000</v>
      </c>
      <c r="AH6" s="19">
        <f t="shared" si="289"/>
        <v>0</v>
      </c>
      <c r="AI6" s="37">
        <f t="shared" si="289"/>
        <v>266562642.02800003</v>
      </c>
      <c r="AJ6" s="37">
        <f t="shared" si="289"/>
        <v>28268064.5889</v>
      </c>
      <c r="AK6" s="37">
        <f t="shared" si="289"/>
        <v>410576706.61689991</v>
      </c>
      <c r="AN6" s="37">
        <f t="shared" ref="AN6:AT6" si="290">SUM(AN213:AN233)</f>
        <v>5485703587.9006586</v>
      </c>
      <c r="AO6" s="37">
        <f t="shared" si="290"/>
        <v>4353503067</v>
      </c>
      <c r="AP6" s="19">
        <f t="shared" si="290"/>
        <v>0</v>
      </c>
      <c r="AQ6" s="37">
        <f t="shared" si="290"/>
        <v>10798537.499999991</v>
      </c>
      <c r="AR6" s="37">
        <f t="shared" si="290"/>
        <v>58282400</v>
      </c>
      <c r="AS6" s="37">
        <f t="shared" si="290"/>
        <v>163421246.34268287</v>
      </c>
      <c r="AT6" s="37">
        <f t="shared" si="290"/>
        <v>10071708838.743343</v>
      </c>
      <c r="AW6" s="37">
        <f>SUM(AW213:AW233)</f>
        <v>1273486896</v>
      </c>
      <c r="AZ6" s="19">
        <f>SUM(AZ213:AZ233)</f>
        <v>0</v>
      </c>
      <c r="BA6" s="19">
        <f t="shared" ref="BA6:BE6" si="291">SUM(BA213:BA233)</f>
        <v>0</v>
      </c>
      <c r="BB6" s="19">
        <f t="shared" si="291"/>
        <v>0</v>
      </c>
      <c r="BC6" s="37">
        <f t="shared" si="291"/>
        <v>106331.40649999998</v>
      </c>
      <c r="BD6" s="19">
        <f t="shared" si="291"/>
        <v>0</v>
      </c>
      <c r="BE6" s="37">
        <f t="shared" si="291"/>
        <v>106331.40649999998</v>
      </c>
      <c r="BH6" s="37">
        <f t="shared" ref="BH6:BO6" si="292">SUM(BH213:BH233)</f>
        <v>6663925.5778599996</v>
      </c>
      <c r="BI6" s="37">
        <f t="shared" si="292"/>
        <v>3774001.8992580003</v>
      </c>
      <c r="BJ6" s="19">
        <f t="shared" si="292"/>
        <v>0</v>
      </c>
      <c r="BK6" s="37">
        <f t="shared" si="292"/>
        <v>398790.06591899804</v>
      </c>
      <c r="BL6" s="37">
        <f t="shared" si="292"/>
        <v>5214291.5292400001</v>
      </c>
      <c r="BM6" s="37">
        <f t="shared" si="292"/>
        <v>2881579.3456205507</v>
      </c>
      <c r="BN6" s="19">
        <f t="shared" si="292"/>
        <v>0</v>
      </c>
      <c r="BO6" s="37">
        <f t="shared" si="292"/>
        <v>18935656.417897552</v>
      </c>
      <c r="BQ6" s="37">
        <f t="shared" ref="BQ6" si="293">SUM(BQ213:BQ233)</f>
        <v>18897549.543926839</v>
      </c>
      <c r="BS6" s="19">
        <f t="shared" ref="BS6:BV6" si="294">SUM(BS213:BS233)</f>
        <v>0</v>
      </c>
      <c r="BT6" s="37">
        <f t="shared" si="294"/>
        <v>346644481.84800005</v>
      </c>
      <c r="BU6" s="37">
        <f t="shared" si="294"/>
        <v>255192.66</v>
      </c>
      <c r="BV6" s="37">
        <f t="shared" si="294"/>
        <v>346899674.50800002</v>
      </c>
      <c r="BX6" s="37">
        <f t="shared" ref="BX6" si="295">SUM(BX213:BX233)</f>
        <v>346899652.00800002</v>
      </c>
      <c r="BZ6" s="19">
        <f t="shared" ref="BZ6:CG6" si="296">SUM(BZ213:BZ233)</f>
        <v>0</v>
      </c>
      <c r="CA6" s="37">
        <f t="shared" si="296"/>
        <v>13263</v>
      </c>
      <c r="CB6" s="19">
        <f t="shared" si="296"/>
        <v>0</v>
      </c>
      <c r="CC6" s="37">
        <f t="shared" si="296"/>
        <v>49298421.224312276</v>
      </c>
      <c r="CD6" s="37">
        <f t="shared" si="296"/>
        <v>141499943.41166788</v>
      </c>
      <c r="CE6" s="37">
        <f t="shared" si="296"/>
        <v>11161634576.146095</v>
      </c>
      <c r="CF6" s="37">
        <f t="shared" si="296"/>
        <v>17335225</v>
      </c>
      <c r="CG6" s="37">
        <f t="shared" si="296"/>
        <v>11369781428.782072</v>
      </c>
      <c r="CJ6" s="19">
        <f t="shared" ref="CJ6:CR6" si="297">SUM(CJ213:CJ233)</f>
        <v>0</v>
      </c>
      <c r="CK6" s="19">
        <f t="shared" si="297"/>
        <v>0</v>
      </c>
      <c r="CL6" s="19">
        <f t="shared" si="297"/>
        <v>0</v>
      </c>
      <c r="CM6" s="19">
        <f t="shared" si="297"/>
        <v>0</v>
      </c>
      <c r="CN6" s="19">
        <f t="shared" si="297"/>
        <v>0</v>
      </c>
      <c r="CO6" s="37">
        <f t="shared" si="297"/>
        <v>11316070.365</v>
      </c>
      <c r="CP6" s="37">
        <f t="shared" si="297"/>
        <v>91818040.666666672</v>
      </c>
      <c r="CQ6" s="19">
        <f t="shared" si="297"/>
        <v>0</v>
      </c>
      <c r="CR6" s="37">
        <f t="shared" si="297"/>
        <v>103134111.03166667</v>
      </c>
      <c r="CT6" s="37">
        <f t="shared" ref="CT6" si="298">SUM(CT213:CT233)</f>
        <v>102150304.03166667</v>
      </c>
      <c r="CV6" s="19">
        <f t="shared" ref="CV6:CZ6" si="299">SUM(CV213:CV233)</f>
        <v>0</v>
      </c>
      <c r="CW6" s="37">
        <f t="shared" si="299"/>
        <v>3000</v>
      </c>
      <c r="CX6" s="37">
        <f t="shared" si="299"/>
        <v>3793271.2929574093</v>
      </c>
      <c r="CY6" s="37">
        <f t="shared" si="299"/>
        <v>3796271.2929574093</v>
      </c>
      <c r="CZ6" s="37">
        <f t="shared" si="299"/>
        <v>698392.58345171716</v>
      </c>
      <c r="DB6" s="37">
        <f t="shared" ref="DB6" si="300">SUM(DB213:DB233)</f>
        <v>3817463.9598796288</v>
      </c>
      <c r="DD6" s="37">
        <f t="shared" ref="DD6:DK6" si="301">SUM(DD213:DD233)</f>
        <v>8654422.7706798799</v>
      </c>
      <c r="DE6" s="37">
        <f t="shared" si="301"/>
        <v>1950024.0825815641</v>
      </c>
      <c r="DF6" s="19">
        <f t="shared" si="301"/>
        <v>0</v>
      </c>
      <c r="DG6" s="37">
        <f t="shared" si="301"/>
        <v>658401.53755614569</v>
      </c>
      <c r="DH6" s="37">
        <f t="shared" si="301"/>
        <v>46129.198699999994</v>
      </c>
      <c r="DI6" s="37">
        <f t="shared" si="301"/>
        <v>722866.65274912736</v>
      </c>
      <c r="DJ6" s="37">
        <f t="shared" si="301"/>
        <v>886173.62930468959</v>
      </c>
      <c r="DK6" s="37">
        <f t="shared" si="301"/>
        <v>12918017.871571405</v>
      </c>
      <c r="DM6" s="37">
        <f t="shared" ref="DM6" si="302">SUM(DM213:DM233)</f>
        <v>12038846.826021753</v>
      </c>
      <c r="DO6" s="37">
        <f t="shared" ref="DO6:DV6" si="303">SUM(DO213:DO233)</f>
        <v>16582264.202122064</v>
      </c>
      <c r="DP6" s="37">
        <f t="shared" si="303"/>
        <v>3205043.8924620966</v>
      </c>
      <c r="DQ6" s="19">
        <f t="shared" si="303"/>
        <v>0</v>
      </c>
      <c r="DR6" s="37">
        <f t="shared" si="303"/>
        <v>1839447.294818748</v>
      </c>
      <c r="DS6" s="37">
        <f t="shared" si="303"/>
        <v>207377.84399199998</v>
      </c>
      <c r="DT6" s="37">
        <f t="shared" si="303"/>
        <v>2392285.4138487475</v>
      </c>
      <c r="DU6" s="37">
        <f t="shared" si="303"/>
        <v>4169887.9035068722</v>
      </c>
      <c r="DV6" s="37">
        <f t="shared" si="303"/>
        <v>28396306.550750531</v>
      </c>
      <c r="DX6" s="37">
        <f t="shared" ref="DX6" si="304">SUM(DX213:DX233)</f>
        <v>27591701.233141784</v>
      </c>
      <c r="DZ6" s="37">
        <f t="shared" ref="DZ6:EF6" si="305">SUM(DZ213:DZ233)</f>
        <v>2232.2055463765432</v>
      </c>
      <c r="EA6" s="37">
        <f t="shared" si="305"/>
        <v>2209.6</v>
      </c>
      <c r="EB6" s="37">
        <f t="shared" si="305"/>
        <v>0</v>
      </c>
      <c r="EC6" s="37">
        <f t="shared" si="305"/>
        <v>110119.44500000001</v>
      </c>
      <c r="ED6" s="37">
        <f t="shared" si="305"/>
        <v>4452.2750000000005</v>
      </c>
      <c r="EE6" s="19">
        <f t="shared" si="305"/>
        <v>0</v>
      </c>
      <c r="EF6" s="37">
        <f t="shared" si="305"/>
        <v>119013.52554637654</v>
      </c>
      <c r="EI6" s="19">
        <f t="shared" ref="EI6:EM6" si="306">SUM(EI213:EI233)</f>
        <v>0</v>
      </c>
      <c r="EJ6" s="37">
        <f t="shared" si="306"/>
        <v>98211.035145516973</v>
      </c>
      <c r="EK6" s="19">
        <f t="shared" si="306"/>
        <v>0</v>
      </c>
      <c r="EL6" s="37">
        <f t="shared" si="306"/>
        <v>71705.334187584012</v>
      </c>
      <c r="EM6" s="37">
        <f t="shared" si="306"/>
        <v>169916.36933310091</v>
      </c>
      <c r="EO6" s="37">
        <f t="shared" ref="EO6" si="307">SUM(EO213:EO233)</f>
        <v>168682.49443265545</v>
      </c>
      <c r="EQ6" s="19">
        <f t="shared" ref="EQ6:ER6" si="308">SUM(EQ213:EQ233)</f>
        <v>0</v>
      </c>
      <c r="ER6" s="19">
        <f t="shared" si="308"/>
        <v>0</v>
      </c>
      <c r="EU6" s="37">
        <f t="shared" ref="EU6:EV6" si="309">SUM(EU213:EU233)</f>
        <v>11421.616406522724</v>
      </c>
      <c r="EV6" s="37">
        <f t="shared" si="309"/>
        <v>11421.616406522724</v>
      </c>
      <c r="EY6" s="37">
        <f t="shared" ref="EY6:FF6" si="310">SUM(EY213:EY233)</f>
        <v>1090</v>
      </c>
      <c r="EZ6" s="37">
        <f t="shared" si="310"/>
        <v>3326.165</v>
      </c>
      <c r="FA6" s="37">
        <f t="shared" si="310"/>
        <v>54800.989747500855</v>
      </c>
      <c r="FB6" s="19">
        <f t="shared" si="310"/>
        <v>0</v>
      </c>
      <c r="FC6" s="19">
        <f t="shared" si="310"/>
        <v>0</v>
      </c>
      <c r="FD6" s="19">
        <f t="shared" si="310"/>
        <v>0</v>
      </c>
      <c r="FE6" s="19">
        <f t="shared" si="310"/>
        <v>0</v>
      </c>
      <c r="FF6" s="37">
        <f t="shared" si="310"/>
        <v>59217.154747500856</v>
      </c>
      <c r="FI6" s="19">
        <f t="shared" ref="FI6:FM6" si="311">SUM(FI213:FI233)</f>
        <v>0</v>
      </c>
      <c r="FJ6" s="19">
        <f t="shared" si="311"/>
        <v>0</v>
      </c>
      <c r="FK6" s="19">
        <f t="shared" si="311"/>
        <v>0</v>
      </c>
      <c r="FL6" s="37">
        <f t="shared" si="311"/>
        <v>2871850.75</v>
      </c>
      <c r="FM6" s="37">
        <f t="shared" si="311"/>
        <v>2871850.75</v>
      </c>
      <c r="FP6" s="19">
        <f t="shared" ref="FP6:FV6" si="312">SUM(FP213:FP233)</f>
        <v>0</v>
      </c>
      <c r="FQ6" s="19">
        <f t="shared" si="312"/>
        <v>0</v>
      </c>
      <c r="FR6" s="19">
        <f t="shared" si="312"/>
        <v>0</v>
      </c>
      <c r="FS6" s="9">
        <f t="shared" si="312"/>
        <v>20</v>
      </c>
      <c r="FT6" s="19">
        <f t="shared" si="312"/>
        <v>0</v>
      </c>
      <c r="FU6" s="19">
        <f t="shared" si="312"/>
        <v>0</v>
      </c>
      <c r="FV6" s="37">
        <f t="shared" si="312"/>
        <v>20</v>
      </c>
      <c r="FY6" s="19">
        <f t="shared" ref="FY6:GB6" si="313">SUM(FY213:FY233)</f>
        <v>0</v>
      </c>
      <c r="FZ6" s="37">
        <f t="shared" si="313"/>
        <v>368420</v>
      </c>
      <c r="GA6" s="19">
        <f t="shared" si="313"/>
        <v>0</v>
      </c>
      <c r="GB6" s="37">
        <f t="shared" si="313"/>
        <v>368420</v>
      </c>
      <c r="GE6" s="9">
        <f t="shared" ref="GE6:GK6" si="314">SUM(GE213:GE233)</f>
        <v>16.714320984569252</v>
      </c>
      <c r="GF6" s="19">
        <f t="shared" si="314"/>
        <v>0</v>
      </c>
      <c r="GG6" s="19">
        <f t="shared" si="314"/>
        <v>0</v>
      </c>
      <c r="GH6" s="19">
        <f t="shared" si="314"/>
        <v>0</v>
      </c>
      <c r="GI6" s="19">
        <f t="shared" si="314"/>
        <v>0</v>
      </c>
      <c r="GJ6" s="19">
        <f t="shared" si="314"/>
        <v>0</v>
      </c>
      <c r="GK6" s="9">
        <f t="shared" si="314"/>
        <v>16.714320984569252</v>
      </c>
      <c r="GN6" s="37">
        <f t="shared" ref="GN6:GT6" si="315">SUM(GN213:GN233)</f>
        <v>31522067.199999999</v>
      </c>
      <c r="GO6" s="19">
        <f t="shared" si="315"/>
        <v>0</v>
      </c>
      <c r="GP6" s="19">
        <f t="shared" si="315"/>
        <v>0</v>
      </c>
      <c r="GQ6" s="37">
        <f t="shared" si="315"/>
        <v>36102</v>
      </c>
      <c r="GR6" s="19">
        <f t="shared" si="315"/>
        <v>0</v>
      </c>
      <c r="GS6" s="37">
        <f t="shared" si="315"/>
        <v>11715739</v>
      </c>
      <c r="GT6" s="37">
        <f t="shared" si="315"/>
        <v>43273908.200000003</v>
      </c>
      <c r="GW6" s="19">
        <f t="shared" ref="GW6:HT6" si="316">SUM(GW213:GW233)</f>
        <v>0</v>
      </c>
      <c r="GX6" s="19">
        <f t="shared" si="316"/>
        <v>0</v>
      </c>
      <c r="GY6" s="19">
        <f t="shared" si="316"/>
        <v>0</v>
      </c>
      <c r="GZ6" s="19">
        <f t="shared" si="316"/>
        <v>0</v>
      </c>
      <c r="HA6" s="19">
        <f t="shared" si="316"/>
        <v>0</v>
      </c>
      <c r="HB6" s="19">
        <f t="shared" si="316"/>
        <v>0</v>
      </c>
      <c r="HC6" s="19">
        <f t="shared" si="316"/>
        <v>0</v>
      </c>
      <c r="HD6" s="19">
        <f t="shared" si="316"/>
        <v>0</v>
      </c>
      <c r="HE6" s="19">
        <f t="shared" si="316"/>
        <v>0</v>
      </c>
      <c r="HF6" s="19">
        <f t="shared" si="316"/>
        <v>0</v>
      </c>
      <c r="HG6" s="19">
        <f t="shared" si="316"/>
        <v>0</v>
      </c>
      <c r="HH6" s="19">
        <f t="shared" si="316"/>
        <v>0</v>
      </c>
      <c r="HI6" s="19">
        <f t="shared" si="316"/>
        <v>0</v>
      </c>
      <c r="HJ6" s="19">
        <f t="shared" si="316"/>
        <v>0</v>
      </c>
      <c r="HK6" s="19">
        <f t="shared" si="316"/>
        <v>0</v>
      </c>
      <c r="HL6" s="37">
        <f t="shared" si="316"/>
        <v>2944.6592122224556</v>
      </c>
      <c r="HM6" s="37">
        <f t="shared" si="316"/>
        <v>12301.609110457131</v>
      </c>
      <c r="HN6" s="19">
        <f t="shared" si="316"/>
        <v>0</v>
      </c>
      <c r="HO6" s="37">
        <f t="shared" si="316"/>
        <v>2944.6592122224556</v>
      </c>
      <c r="HP6" s="37">
        <f t="shared" si="316"/>
        <v>12301.609110457131</v>
      </c>
      <c r="HQ6" s="19">
        <f t="shared" si="316"/>
        <v>0</v>
      </c>
      <c r="HR6" s="19">
        <f t="shared" si="316"/>
        <v>0</v>
      </c>
      <c r="HS6" s="19">
        <f t="shared" si="316"/>
        <v>0</v>
      </c>
      <c r="HT6" s="19">
        <f t="shared" si="316"/>
        <v>0</v>
      </c>
      <c r="HV6" s="19">
        <f t="shared" ref="HV6:HZ6" si="317">SUM(HV213:HV233)</f>
        <v>0</v>
      </c>
      <c r="HW6" s="37">
        <f t="shared" si="317"/>
        <v>1088</v>
      </c>
      <c r="HX6" s="37">
        <f t="shared" si="317"/>
        <v>16189.8</v>
      </c>
      <c r="HY6" s="37">
        <f t="shared" si="317"/>
        <v>190659.26025200001</v>
      </c>
      <c r="HZ6" s="37">
        <f t="shared" si="317"/>
        <v>207937.060252</v>
      </c>
      <c r="IC6" s="37">
        <f t="shared" ref="IC6:IJ6" si="318">SUM(IC213:IC233)</f>
        <v>1330.0169902688162</v>
      </c>
      <c r="ID6" s="19">
        <f t="shared" si="318"/>
        <v>0</v>
      </c>
      <c r="IE6" s="19">
        <f t="shared" si="318"/>
        <v>0</v>
      </c>
      <c r="IF6" s="37">
        <f t="shared" si="318"/>
        <v>333.38250091227883</v>
      </c>
      <c r="IG6" s="19">
        <f t="shared" si="318"/>
        <v>0</v>
      </c>
      <c r="IH6" s="19">
        <f t="shared" si="318"/>
        <v>0</v>
      </c>
      <c r="II6" s="19">
        <f t="shared" si="318"/>
        <v>0</v>
      </c>
      <c r="IJ6" s="37">
        <f t="shared" si="318"/>
        <v>1663.3994911810953</v>
      </c>
      <c r="IM6" s="19">
        <f t="shared" ref="IM6:IP6" si="319">SUM(IM213:IM233)</f>
        <v>0</v>
      </c>
      <c r="IN6" s="37">
        <f t="shared" si="319"/>
        <v>5573.5849320000007</v>
      </c>
      <c r="IO6" s="19">
        <f t="shared" si="319"/>
        <v>0</v>
      </c>
      <c r="IP6" s="37">
        <f t="shared" si="319"/>
        <v>5573.5849320000007</v>
      </c>
      <c r="IS6" s="19">
        <f t="shared" ref="IS6:IU6" si="320">SUM(IS213:IS233)</f>
        <v>0</v>
      </c>
      <c r="IT6" s="19">
        <f t="shared" si="320"/>
        <v>0</v>
      </c>
      <c r="IU6" s="19">
        <f t="shared" si="320"/>
        <v>0</v>
      </c>
      <c r="IW6" s="37">
        <f t="shared" ref="IW6:IZ6" si="321">SUM(IW213:IW233)</f>
        <v>1566</v>
      </c>
      <c r="IX6" s="19">
        <f t="shared" si="321"/>
        <v>0</v>
      </c>
      <c r="IY6" s="32">
        <f t="shared" si="321"/>
        <v>440</v>
      </c>
      <c r="IZ6" s="37">
        <f t="shared" si="321"/>
        <v>2006</v>
      </c>
      <c r="JB6" s="19">
        <f t="shared" ref="JB6:JD6" si="322">SUM(JB213:JB233)</f>
        <v>0</v>
      </c>
      <c r="JC6" s="37">
        <f t="shared" si="322"/>
        <v>5859044.0099999998</v>
      </c>
      <c r="JD6" s="37">
        <f t="shared" si="322"/>
        <v>5859044.0099999998</v>
      </c>
      <c r="JG6" s="37">
        <f t="shared" ref="JG6" si="323">SUM(JG213:JG233)</f>
        <v>3300020.7272715792</v>
      </c>
      <c r="JJ6" s="37">
        <f t="shared" ref="JJ6" si="324">SUM(JJ213:JJ233)</f>
        <v>1016509.5</v>
      </c>
      <c r="JM6" s="37">
        <f t="shared" ref="JM6:JO6" si="325">SUM(JM213:JM233)</f>
        <v>1406285</v>
      </c>
      <c r="JN6" s="19">
        <f t="shared" si="325"/>
        <v>0</v>
      </c>
      <c r="JO6" s="37">
        <f t="shared" si="325"/>
        <v>1384497.4</v>
      </c>
      <c r="JR6" s="37">
        <f t="shared" ref="JR6" si="326">SUM(JR213:JR233)</f>
        <v>9243099.4199999999</v>
      </c>
      <c r="JU6" s="37">
        <f t="shared" ref="JU6:JV6" si="327">SUM(JU213:JU233)</f>
        <v>4000</v>
      </c>
      <c r="JV6" s="37">
        <f t="shared" si="327"/>
        <v>16354412.04727158</v>
      </c>
      <c r="JX6" s="37">
        <f t="shared" ref="JX6" si="328">SUM(JX213:JX233)</f>
        <v>23620000</v>
      </c>
      <c r="KA6" s="37">
        <f t="shared" ref="KA6" si="329">SUM(KA213:KA233)</f>
        <v>4219.0000000000009</v>
      </c>
      <c r="KC6" s="37">
        <f t="shared" ref="KC6" si="330">SUM(KC213:KC233)</f>
        <v>11497</v>
      </c>
      <c r="KE6" s="37">
        <f t="shared" ref="KE6" si="331">SUM(KE213:KE233)</f>
        <v>776951.84699999983</v>
      </c>
      <c r="KH6" s="37">
        <f t="shared" ref="KH6:KI6" si="332">SUM(KH213:KH233)</f>
        <v>4000</v>
      </c>
      <c r="KI6" s="37">
        <f t="shared" si="332"/>
        <v>796667.84699999983</v>
      </c>
      <c r="KL6" s="37">
        <f t="shared" ref="KL6" si="333">SUM(KL213:KL233)</f>
        <v>1052209.6078635398</v>
      </c>
      <c r="KO6" s="37">
        <f t="shared" ref="KO6" si="334">SUM(KO213:KO233)</f>
        <v>412948.79832810868</v>
      </c>
      <c r="KR6" s="37">
        <f t="shared" ref="KR6:KS6" si="335">SUM(KR213:KR233)</f>
        <v>1508708</v>
      </c>
      <c r="KS6" s="19">
        <f t="shared" si="335"/>
        <v>0</v>
      </c>
      <c r="KV6" s="37">
        <f t="shared" ref="KV6" si="336">SUM(KV213:KV233)</f>
        <v>403098.05</v>
      </c>
      <c r="KY6" s="37">
        <f t="shared" ref="KY6" si="337">SUM(KY213:KY233)</f>
        <v>1475891.6600000001</v>
      </c>
      <c r="LB6" s="37">
        <f t="shared" ref="LB6:LC6" si="338">SUM(LB213:LB233)</f>
        <v>8000</v>
      </c>
      <c r="LC6" s="37">
        <f t="shared" si="338"/>
        <v>4860856.1161916479</v>
      </c>
      <c r="LE6" s="37">
        <f t="shared" ref="LE6" si="339">SUM(LE213:LE233)</f>
        <v>3677000</v>
      </c>
      <c r="LH6" s="37">
        <f t="shared" ref="LH6" si="340">SUM(LH213:LH233)</f>
        <v>9692933.8252662811</v>
      </c>
      <c r="LL6" s="37">
        <f t="shared" ref="LL6" si="341">SUM(LL213:LL233)</f>
        <v>948051.60786353983</v>
      </c>
      <c r="LO6" s="37">
        <f t="shared" ref="LO6" si="342">SUM(LO213:LO233)</f>
        <v>413613.13131313131</v>
      </c>
      <c r="LR6" s="37">
        <f t="shared" ref="LR6:LS6" si="343">SUM(LR213:LR233)</f>
        <v>1195927</v>
      </c>
      <c r="LS6" s="19">
        <f t="shared" si="343"/>
        <v>0</v>
      </c>
      <c r="LV6" s="37">
        <f t="shared" ref="LV6" si="344">SUM(LV213:LV233)</f>
        <v>2741901.35</v>
      </c>
      <c r="LY6" s="37">
        <f t="shared" ref="LY6" si="345">SUM(LY213:LY233)</f>
        <v>5531599.4860000005</v>
      </c>
      <c r="MB6" s="37">
        <f t="shared" ref="MB6:MD6" si="346">SUM(MB213:MB233)</f>
        <v>26000</v>
      </c>
      <c r="MC6" s="37">
        <f t="shared" si="346"/>
        <v>10857092.575176671</v>
      </c>
      <c r="MD6" s="37">
        <f t="shared" si="346"/>
        <v>6640000</v>
      </c>
      <c r="MG6" s="19">
        <f t="shared" ref="MG6" si="347">SUM(MG213:MG233)</f>
        <v>0</v>
      </c>
      <c r="MJ6" s="19">
        <f t="shared" ref="MJ6" si="348">SUM(MJ213:MJ233)</f>
        <v>0</v>
      </c>
      <c r="MM6" s="37">
        <f t="shared" ref="MM6:MN6" si="349">SUM(MM213:MM233)</f>
        <v>26983</v>
      </c>
      <c r="MN6" s="19">
        <f t="shared" si="349"/>
        <v>0</v>
      </c>
      <c r="MQ6" s="37">
        <f t="shared" ref="MQ6" si="350">SUM(MQ213:MQ233)</f>
        <v>26983</v>
      </c>
      <c r="MS6" s="19">
        <f t="shared" ref="MS6" si="351">SUM(MS213:MS233)</f>
        <v>0</v>
      </c>
      <c r="MV6" s="19">
        <f t="shared" ref="MV6" si="352">SUM(MV213:MV233)</f>
        <v>0</v>
      </c>
      <c r="MY6" s="19">
        <f t="shared" si="280"/>
        <v>0</v>
      </c>
      <c r="NA6" s="19">
        <f t="shared" si="280"/>
        <v>0</v>
      </c>
      <c r="NC6" s="19">
        <f t="shared" si="280"/>
        <v>0</v>
      </c>
      <c r="NE6" s="19">
        <f t="shared" si="280"/>
        <v>0</v>
      </c>
      <c r="NG6" s="19">
        <f t="shared" si="280"/>
        <v>0</v>
      </c>
      <c r="NI6" s="19">
        <f t="shared" si="280"/>
        <v>0</v>
      </c>
      <c r="NJ6" s="19">
        <f t="shared" si="280"/>
        <v>0</v>
      </c>
    </row>
    <row r="7" spans="1:375" x14ac:dyDescent="0.25">
      <c r="BZ7" s="199"/>
      <c r="GN7" s="199"/>
      <c r="GT7" s="199"/>
      <c r="NI7" s="71" t="s">
        <v>1615</v>
      </c>
    </row>
    <row r="8" spans="1:375" x14ac:dyDescent="0.25">
      <c r="B8" s="59" t="s">
        <v>1106</v>
      </c>
      <c r="C8" s="59" t="s">
        <v>1106</v>
      </c>
      <c r="D8" s="59" t="s">
        <v>1106</v>
      </c>
      <c r="E8" s="59" t="s">
        <v>1106</v>
      </c>
      <c r="F8" s="59" t="s">
        <v>1106</v>
      </c>
      <c r="G8" s="59" t="s">
        <v>1106</v>
      </c>
      <c r="H8" s="59" t="s">
        <v>1106</v>
      </c>
      <c r="I8" s="59" t="s">
        <v>1106</v>
      </c>
      <c r="J8" s="59" t="s">
        <v>1106</v>
      </c>
      <c r="K8" s="59" t="s">
        <v>1106</v>
      </c>
      <c r="M8" s="60" t="s">
        <v>1107</v>
      </c>
      <c r="N8" s="60" t="s">
        <v>1107</v>
      </c>
      <c r="O8" s="60" t="s">
        <v>1107</v>
      </c>
      <c r="P8" s="60" t="s">
        <v>1107</v>
      </c>
      <c r="Q8" s="60" t="s">
        <v>1107</v>
      </c>
      <c r="R8" s="60" t="s">
        <v>1107</v>
      </c>
      <c r="S8" s="60" t="s">
        <v>1107</v>
      </c>
      <c r="T8" s="60" t="s">
        <v>1107</v>
      </c>
      <c r="U8" s="60" t="s">
        <v>1107</v>
      </c>
      <c r="V8" s="60" t="s">
        <v>1107</v>
      </c>
      <c r="X8" s="62" t="s">
        <v>1112</v>
      </c>
      <c r="Y8" s="62" t="s">
        <v>1112</v>
      </c>
      <c r="Z8" s="62" t="s">
        <v>1112</v>
      </c>
      <c r="AA8" s="62" t="s">
        <v>1112</v>
      </c>
      <c r="AB8" s="62" t="s">
        <v>1112</v>
      </c>
      <c r="AC8" s="62" t="s">
        <v>1112</v>
      </c>
      <c r="AD8" s="62" t="s">
        <v>1112</v>
      </c>
      <c r="AE8" s="62" t="s">
        <v>1112</v>
      </c>
      <c r="AG8" s="44" t="s">
        <v>1114</v>
      </c>
      <c r="AH8" s="44" t="s">
        <v>1114</v>
      </c>
      <c r="AI8" s="44" t="s">
        <v>1114</v>
      </c>
      <c r="AJ8" s="44" t="s">
        <v>1114</v>
      </c>
      <c r="AK8" s="44" t="s">
        <v>1114</v>
      </c>
      <c r="AL8" s="44" t="s">
        <v>1114</v>
      </c>
      <c r="AN8" s="20" t="s">
        <v>1117</v>
      </c>
      <c r="AO8" s="20" t="s">
        <v>1117</v>
      </c>
      <c r="AP8" s="20" t="s">
        <v>1117</v>
      </c>
      <c r="AQ8" s="20" t="s">
        <v>1117</v>
      </c>
      <c r="AR8" s="20" t="s">
        <v>1117</v>
      </c>
      <c r="AS8" s="20" t="s">
        <v>1117</v>
      </c>
      <c r="AT8" s="20" t="s">
        <v>1117</v>
      </c>
      <c r="AU8" s="20" t="s">
        <v>1117</v>
      </c>
      <c r="AW8" s="63" t="s">
        <v>1120</v>
      </c>
      <c r="AX8" s="63" t="s">
        <v>1120</v>
      </c>
      <c r="AZ8" s="54" t="s">
        <v>1123</v>
      </c>
      <c r="BA8" s="54" t="s">
        <v>1123</v>
      </c>
      <c r="BB8" s="54" t="s">
        <v>1123</v>
      </c>
      <c r="BC8" s="54" t="s">
        <v>1123</v>
      </c>
      <c r="BD8" s="107" t="s">
        <v>1123</v>
      </c>
      <c r="BE8" s="107" t="s">
        <v>1123</v>
      </c>
      <c r="BF8" s="54" t="s">
        <v>1123</v>
      </c>
      <c r="BH8" s="64" t="s">
        <v>1126</v>
      </c>
      <c r="BI8" s="64" t="s">
        <v>1126</v>
      </c>
      <c r="BJ8" s="64" t="s">
        <v>1126</v>
      </c>
      <c r="BK8" s="64" t="s">
        <v>1126</v>
      </c>
      <c r="BL8" s="64" t="s">
        <v>1126</v>
      </c>
      <c r="BM8" s="64" t="s">
        <v>1126</v>
      </c>
      <c r="BN8" s="64" t="s">
        <v>1126</v>
      </c>
      <c r="BO8" s="64" t="s">
        <v>1126</v>
      </c>
      <c r="BP8" s="64" t="s">
        <v>1126</v>
      </c>
      <c r="BQ8" s="64" t="s">
        <v>1126</v>
      </c>
      <c r="BS8" s="65" t="s">
        <v>1130</v>
      </c>
      <c r="BT8" s="65" t="s">
        <v>1130</v>
      </c>
      <c r="BU8" s="65" t="s">
        <v>1130</v>
      </c>
      <c r="BV8" s="65" t="s">
        <v>1130</v>
      </c>
      <c r="BW8" s="65" t="s">
        <v>1130</v>
      </c>
      <c r="BX8" s="65" t="s">
        <v>1130</v>
      </c>
      <c r="BZ8" s="62" t="s">
        <v>980</v>
      </c>
      <c r="CA8" s="62" t="s">
        <v>980</v>
      </c>
      <c r="CB8" s="62" t="s">
        <v>980</v>
      </c>
      <c r="CC8" s="62" t="s">
        <v>980</v>
      </c>
      <c r="CD8" s="62" t="s">
        <v>980</v>
      </c>
      <c r="CE8" s="62" t="s">
        <v>980</v>
      </c>
      <c r="CF8" s="62" t="s">
        <v>980</v>
      </c>
      <c r="CG8" s="62" t="s">
        <v>980</v>
      </c>
      <c r="CH8" s="62" t="s">
        <v>980</v>
      </c>
      <c r="CJ8" s="66" t="s">
        <v>1266</v>
      </c>
      <c r="CK8" s="111" t="s">
        <v>1266</v>
      </c>
      <c r="CL8" s="111" t="s">
        <v>1266</v>
      </c>
      <c r="CM8" s="111" t="s">
        <v>1266</v>
      </c>
      <c r="CN8" s="111" t="s">
        <v>1266</v>
      </c>
      <c r="CO8" s="111" t="s">
        <v>1266</v>
      </c>
      <c r="CP8" s="111" t="s">
        <v>1266</v>
      </c>
      <c r="CQ8" s="111" t="s">
        <v>1266</v>
      </c>
      <c r="CR8" s="111" t="s">
        <v>1266</v>
      </c>
      <c r="CS8" s="111" t="s">
        <v>1266</v>
      </c>
      <c r="CT8" s="210" t="s">
        <v>1266</v>
      </c>
      <c r="CV8" s="67" t="s">
        <v>1140</v>
      </c>
      <c r="CW8" s="67" t="s">
        <v>1140</v>
      </c>
      <c r="CX8" s="67" t="s">
        <v>1140</v>
      </c>
      <c r="CY8" s="67" t="s">
        <v>1140</v>
      </c>
      <c r="CZ8" s="67" t="s">
        <v>1140</v>
      </c>
      <c r="DA8" s="67" t="s">
        <v>1140</v>
      </c>
      <c r="DB8" s="67" t="s">
        <v>1140</v>
      </c>
      <c r="DD8" s="68" t="s">
        <v>1143</v>
      </c>
      <c r="DE8" s="68" t="s">
        <v>1143</v>
      </c>
      <c r="DF8" s="68" t="s">
        <v>1143</v>
      </c>
      <c r="DG8" s="68" t="s">
        <v>1143</v>
      </c>
      <c r="DH8" s="68" t="s">
        <v>1143</v>
      </c>
      <c r="DI8" s="68" t="s">
        <v>1143</v>
      </c>
      <c r="DJ8" s="68" t="s">
        <v>1143</v>
      </c>
      <c r="DK8" s="68" t="s">
        <v>1143</v>
      </c>
      <c r="DL8" s="68" t="s">
        <v>1143</v>
      </c>
      <c r="DM8" s="68" t="s">
        <v>1143</v>
      </c>
      <c r="DO8" s="65" t="s">
        <v>1147</v>
      </c>
      <c r="DP8" s="65" t="s">
        <v>1147</v>
      </c>
      <c r="DQ8" s="65" t="s">
        <v>1147</v>
      </c>
      <c r="DR8" s="65" t="s">
        <v>1147</v>
      </c>
      <c r="DS8" s="65" t="s">
        <v>1147</v>
      </c>
      <c r="DT8" s="65" t="s">
        <v>1147</v>
      </c>
      <c r="DU8" s="65" t="s">
        <v>1147</v>
      </c>
      <c r="DV8" s="65" t="s">
        <v>1147</v>
      </c>
      <c r="DW8" s="65" t="s">
        <v>1147</v>
      </c>
      <c r="DX8" s="65" t="s">
        <v>1147</v>
      </c>
      <c r="DZ8" s="44" t="s">
        <v>1148</v>
      </c>
      <c r="EA8" s="44" t="s">
        <v>1148</v>
      </c>
      <c r="EB8" s="44" t="s">
        <v>1148</v>
      </c>
      <c r="EC8" s="44" t="s">
        <v>1148</v>
      </c>
      <c r="ED8" s="44" t="s">
        <v>1148</v>
      </c>
      <c r="EE8" s="44" t="s">
        <v>1148</v>
      </c>
      <c r="EF8" s="44" t="s">
        <v>1148</v>
      </c>
      <c r="EG8" s="44" t="s">
        <v>1148</v>
      </c>
      <c r="EI8" s="69" t="s">
        <v>1150</v>
      </c>
      <c r="EJ8" s="69" t="s">
        <v>1150</v>
      </c>
      <c r="EK8" s="69" t="s">
        <v>1150</v>
      </c>
      <c r="EL8" s="69" t="s">
        <v>1150</v>
      </c>
      <c r="EM8" s="69" t="s">
        <v>1150</v>
      </c>
      <c r="EN8" s="69" t="s">
        <v>1150</v>
      </c>
      <c r="EO8" s="69" t="s">
        <v>1150</v>
      </c>
      <c r="EQ8" s="80" t="s">
        <v>1168</v>
      </c>
      <c r="ER8" s="80" t="s">
        <v>1168</v>
      </c>
      <c r="ES8" s="80" t="s">
        <v>1168</v>
      </c>
      <c r="EU8" s="79" t="s">
        <v>1171</v>
      </c>
      <c r="EV8" s="79" t="s">
        <v>1171</v>
      </c>
      <c r="EW8" s="79" t="s">
        <v>1171</v>
      </c>
      <c r="EY8" s="81" t="s">
        <v>1174</v>
      </c>
      <c r="EZ8" s="81" t="s">
        <v>1174</v>
      </c>
      <c r="FA8" s="81" t="s">
        <v>1174</v>
      </c>
      <c r="FB8" s="81" t="s">
        <v>1174</v>
      </c>
      <c r="FC8" s="81" t="s">
        <v>1174</v>
      </c>
      <c r="FD8" s="81" t="s">
        <v>1174</v>
      </c>
      <c r="FE8" s="81" t="s">
        <v>1174</v>
      </c>
      <c r="FF8" s="81" t="s">
        <v>1174</v>
      </c>
      <c r="FG8" s="81" t="s">
        <v>1174</v>
      </c>
      <c r="FI8" s="75" t="s">
        <v>1177</v>
      </c>
      <c r="FJ8" s="75" t="s">
        <v>1177</v>
      </c>
      <c r="FK8" s="75" t="s">
        <v>1177</v>
      </c>
      <c r="FL8" s="75" t="s">
        <v>1177</v>
      </c>
      <c r="FM8" s="75" t="s">
        <v>1177</v>
      </c>
      <c r="FN8" s="75" t="s">
        <v>1177</v>
      </c>
      <c r="FP8" s="60" t="s">
        <v>1218</v>
      </c>
      <c r="FQ8" s="60" t="s">
        <v>1218</v>
      </c>
      <c r="FR8" s="60" t="s">
        <v>1218</v>
      </c>
      <c r="FS8" s="60" t="s">
        <v>1218</v>
      </c>
      <c r="FT8" s="60" t="s">
        <v>1218</v>
      </c>
      <c r="FU8" s="60" t="s">
        <v>1218</v>
      </c>
      <c r="FV8" s="60" t="s">
        <v>1218</v>
      </c>
      <c r="FW8" s="60" t="s">
        <v>1218</v>
      </c>
      <c r="FY8" s="98" t="s">
        <v>1219</v>
      </c>
      <c r="FZ8" s="98" t="s">
        <v>1219</v>
      </c>
      <c r="GA8" s="98" t="s">
        <v>1219</v>
      </c>
      <c r="GB8" s="98" t="s">
        <v>1219</v>
      </c>
      <c r="GC8" s="98" t="s">
        <v>1219</v>
      </c>
      <c r="GE8" s="99" t="s">
        <v>1220</v>
      </c>
      <c r="GF8" s="99" t="s">
        <v>1220</v>
      </c>
      <c r="GG8" s="99" t="s">
        <v>1220</v>
      </c>
      <c r="GH8" s="99" t="s">
        <v>1220</v>
      </c>
      <c r="GI8" s="99" t="s">
        <v>1220</v>
      </c>
      <c r="GJ8" s="99" t="s">
        <v>1220</v>
      </c>
      <c r="GK8" s="99" t="s">
        <v>1220</v>
      </c>
      <c r="GL8" s="99" t="s">
        <v>1220</v>
      </c>
      <c r="GN8" s="45" t="s">
        <v>1221</v>
      </c>
      <c r="GO8" s="45" t="s">
        <v>1221</v>
      </c>
      <c r="GP8" s="45" t="s">
        <v>1221</v>
      </c>
      <c r="GQ8" s="45" t="s">
        <v>1221</v>
      </c>
      <c r="GR8" s="45" t="s">
        <v>1221</v>
      </c>
      <c r="GS8" s="45" t="s">
        <v>1186</v>
      </c>
      <c r="GT8" s="45" t="s">
        <v>1221</v>
      </c>
      <c r="GU8" s="45" t="s">
        <v>1221</v>
      </c>
      <c r="GW8" s="265" t="s">
        <v>1206</v>
      </c>
      <c r="GX8" s="265"/>
      <c r="GY8" s="265"/>
      <c r="GZ8" s="265"/>
      <c r="HA8" s="265"/>
      <c r="HB8" s="271" t="s">
        <v>1205</v>
      </c>
      <c r="HC8" s="271"/>
      <c r="HD8" s="271"/>
      <c r="HE8" s="271"/>
      <c r="HF8" s="271"/>
      <c r="HG8" s="271" t="s">
        <v>1205</v>
      </c>
      <c r="HH8" s="271"/>
      <c r="HI8" s="271"/>
      <c r="HJ8" s="271"/>
      <c r="HK8" s="271"/>
      <c r="HL8" s="272" t="s">
        <v>1222</v>
      </c>
      <c r="HM8" s="272"/>
      <c r="HN8" s="272"/>
      <c r="HO8" s="273" t="s">
        <v>1208</v>
      </c>
      <c r="HP8" s="273"/>
      <c r="HQ8" s="273"/>
      <c r="HR8" s="273"/>
      <c r="HS8" s="273"/>
      <c r="HT8" s="273"/>
      <c r="HV8" s="43" t="s">
        <v>1223</v>
      </c>
      <c r="HW8" s="43" t="s">
        <v>1223</v>
      </c>
      <c r="HX8" s="43" t="s">
        <v>1223</v>
      </c>
      <c r="HY8" s="43" t="s">
        <v>1223</v>
      </c>
      <c r="HZ8" s="43" t="s">
        <v>1223</v>
      </c>
      <c r="IA8" s="43" t="s">
        <v>1223</v>
      </c>
      <c r="IC8" s="100" t="s">
        <v>1224</v>
      </c>
      <c r="ID8" s="100" t="s">
        <v>1224</v>
      </c>
      <c r="IE8" s="100" t="s">
        <v>1224</v>
      </c>
      <c r="IF8" s="100" t="s">
        <v>1224</v>
      </c>
      <c r="IG8" s="100" t="s">
        <v>1224</v>
      </c>
      <c r="IH8" s="100" t="s">
        <v>1224</v>
      </c>
      <c r="II8" s="100" t="s">
        <v>1224</v>
      </c>
      <c r="IJ8" s="100" t="s">
        <v>1224</v>
      </c>
      <c r="IK8" s="100" t="s">
        <v>1224</v>
      </c>
      <c r="IM8" s="101" t="s">
        <v>1225</v>
      </c>
      <c r="IN8" s="101" t="s">
        <v>1225</v>
      </c>
      <c r="IO8" s="101" t="s">
        <v>1225</v>
      </c>
      <c r="IP8" s="101" t="s">
        <v>1225</v>
      </c>
      <c r="IQ8" s="101" t="s">
        <v>1225</v>
      </c>
      <c r="IS8" s="95" t="s">
        <v>1228</v>
      </c>
      <c r="IT8" s="95" t="s">
        <v>1228</v>
      </c>
      <c r="IU8" s="95" t="s">
        <v>1228</v>
      </c>
      <c r="IW8" s="44" t="s">
        <v>1265</v>
      </c>
      <c r="IX8" s="44" t="s">
        <v>1265</v>
      </c>
      <c r="IY8" s="44" t="s">
        <v>1265</v>
      </c>
      <c r="IZ8" s="44" t="s">
        <v>1265</v>
      </c>
      <c r="JB8" s="45" t="s">
        <v>1598</v>
      </c>
      <c r="JC8" s="45" t="s">
        <v>1598</v>
      </c>
      <c r="JD8" s="45" t="s">
        <v>1598</v>
      </c>
      <c r="JE8" s="45" t="s">
        <v>1598</v>
      </c>
      <c r="JG8" s="182" t="s">
        <v>1600</v>
      </c>
      <c r="JH8" s="182" t="s">
        <v>1600</v>
      </c>
      <c r="JI8" s="182" t="s">
        <v>1600</v>
      </c>
      <c r="JJ8" s="182" t="s">
        <v>1600</v>
      </c>
      <c r="JK8" s="182" t="s">
        <v>1600</v>
      </c>
      <c r="JL8" s="182" t="s">
        <v>1600</v>
      </c>
      <c r="JM8" s="182" t="s">
        <v>1600</v>
      </c>
      <c r="JN8" s="182" t="s">
        <v>1600</v>
      </c>
      <c r="JO8" s="182" t="s">
        <v>1600</v>
      </c>
      <c r="JP8" s="182" t="s">
        <v>1600</v>
      </c>
      <c r="JQ8" s="182" t="s">
        <v>1600</v>
      </c>
      <c r="JR8" s="182" t="s">
        <v>1600</v>
      </c>
      <c r="JS8" s="182" t="s">
        <v>1600</v>
      </c>
      <c r="JT8" s="182" t="s">
        <v>1600</v>
      </c>
      <c r="JU8" s="182" t="s">
        <v>1600</v>
      </c>
      <c r="JV8" s="182" t="s">
        <v>1600</v>
      </c>
      <c r="JW8" s="182" t="s">
        <v>1600</v>
      </c>
      <c r="JX8" s="182" t="s">
        <v>1600</v>
      </c>
      <c r="JY8" s="182" t="s">
        <v>1600</v>
      </c>
      <c r="KA8" s="181" t="s">
        <v>1605</v>
      </c>
      <c r="KB8" s="181" t="s">
        <v>1605</v>
      </c>
      <c r="KC8" s="181" t="s">
        <v>1605</v>
      </c>
      <c r="KD8" s="181" t="s">
        <v>1605</v>
      </c>
      <c r="KE8" s="181" t="s">
        <v>1605</v>
      </c>
      <c r="KF8" s="181" t="s">
        <v>1605</v>
      </c>
      <c r="KG8" s="181" t="s">
        <v>1605</v>
      </c>
      <c r="KH8" s="181" t="s">
        <v>1605</v>
      </c>
      <c r="KI8" s="181" t="s">
        <v>1605</v>
      </c>
      <c r="KJ8" s="181" t="s">
        <v>1605</v>
      </c>
      <c r="KL8" s="194" t="s">
        <v>1602</v>
      </c>
      <c r="KM8" s="194" t="s">
        <v>1602</v>
      </c>
      <c r="KN8" s="194" t="s">
        <v>1602</v>
      </c>
      <c r="KO8" s="194" t="s">
        <v>1602</v>
      </c>
      <c r="KP8" s="194" t="s">
        <v>1602</v>
      </c>
      <c r="KQ8" s="194" t="s">
        <v>1602</v>
      </c>
      <c r="KR8" s="194" t="s">
        <v>1602</v>
      </c>
      <c r="KS8" s="194" t="s">
        <v>1602</v>
      </c>
      <c r="KT8" s="194" t="s">
        <v>1602</v>
      </c>
      <c r="KU8" s="194" t="s">
        <v>1602</v>
      </c>
      <c r="KV8" s="194" t="s">
        <v>1602</v>
      </c>
      <c r="KW8" s="194" t="s">
        <v>1602</v>
      </c>
      <c r="KX8" s="194" t="s">
        <v>1602</v>
      </c>
      <c r="KY8" s="194" t="s">
        <v>1602</v>
      </c>
      <c r="KZ8" s="194" t="s">
        <v>1602</v>
      </c>
      <c r="LA8" s="194" t="s">
        <v>1602</v>
      </c>
      <c r="LB8" s="194" t="s">
        <v>1602</v>
      </c>
      <c r="LC8" s="194" t="s">
        <v>1602</v>
      </c>
      <c r="LD8" s="194" t="s">
        <v>1602</v>
      </c>
      <c r="LE8" s="194" t="s">
        <v>1602</v>
      </c>
      <c r="LF8" s="194" t="s">
        <v>1602</v>
      </c>
      <c r="LH8" s="184" t="s">
        <v>1614</v>
      </c>
      <c r="LI8" s="184" t="s">
        <v>1614</v>
      </c>
      <c r="LJ8" s="184" t="s">
        <v>1614</v>
      </c>
      <c r="LL8" s="58" t="s">
        <v>1603</v>
      </c>
      <c r="LM8" s="58" t="s">
        <v>1603</v>
      </c>
      <c r="LN8" s="58" t="s">
        <v>1603</v>
      </c>
      <c r="LO8" s="58" t="s">
        <v>1603</v>
      </c>
      <c r="LP8" s="58" t="s">
        <v>1603</v>
      </c>
      <c r="LQ8" s="58" t="s">
        <v>1603</v>
      </c>
      <c r="LR8" s="58" t="s">
        <v>1603</v>
      </c>
      <c r="LS8" s="58" t="s">
        <v>1603</v>
      </c>
      <c r="LT8" s="58" t="s">
        <v>1603</v>
      </c>
      <c r="LU8" s="58" t="s">
        <v>1603</v>
      </c>
      <c r="LV8" s="58" t="s">
        <v>1603</v>
      </c>
      <c r="LW8" s="58" t="s">
        <v>1603</v>
      </c>
      <c r="LX8" s="58" t="s">
        <v>1603</v>
      </c>
      <c r="LY8" s="58" t="s">
        <v>1603</v>
      </c>
      <c r="LZ8" s="58" t="s">
        <v>1603</v>
      </c>
      <c r="MA8" s="58" t="s">
        <v>1603</v>
      </c>
      <c r="MB8" s="58" t="s">
        <v>1603</v>
      </c>
      <c r="MC8" s="58" t="s">
        <v>1603</v>
      </c>
      <c r="MD8" s="58" t="s">
        <v>1603</v>
      </c>
      <c r="ME8" s="58" t="s">
        <v>1603</v>
      </c>
      <c r="MG8" s="44" t="s">
        <v>1604</v>
      </c>
      <c r="MH8" s="44" t="s">
        <v>1604</v>
      </c>
      <c r="MI8" s="44" t="s">
        <v>1604</v>
      </c>
      <c r="MJ8" s="44" t="s">
        <v>1604</v>
      </c>
      <c r="MK8" s="44" t="s">
        <v>1604</v>
      </c>
      <c r="ML8" s="44" t="s">
        <v>1604</v>
      </c>
      <c r="MM8" s="44" t="s">
        <v>1604</v>
      </c>
      <c r="MN8" s="44" t="s">
        <v>1604</v>
      </c>
      <c r="MO8" s="44" t="s">
        <v>1604</v>
      </c>
      <c r="MP8" s="44" t="s">
        <v>1604</v>
      </c>
      <c r="MQ8" s="44" t="s">
        <v>1604</v>
      </c>
      <c r="MR8" s="44" t="s">
        <v>1604</v>
      </c>
      <c r="MS8" s="44" t="s">
        <v>1604</v>
      </c>
      <c r="MT8" s="44" t="s">
        <v>1604</v>
      </c>
      <c r="MU8" s="44" t="s">
        <v>1604</v>
      </c>
      <c r="MV8" s="44" t="s">
        <v>1604</v>
      </c>
      <c r="MW8" s="44" t="s">
        <v>1604</v>
      </c>
      <c r="MY8" s="183" t="s">
        <v>1386</v>
      </c>
      <c r="MZ8" s="183" t="s">
        <v>1386</v>
      </c>
      <c r="NA8" s="183" t="s">
        <v>1386</v>
      </c>
      <c r="NB8" s="183" t="s">
        <v>1386</v>
      </c>
      <c r="NC8" s="183" t="s">
        <v>1386</v>
      </c>
      <c r="ND8" s="183" t="s">
        <v>1386</v>
      </c>
      <c r="NE8" s="183" t="s">
        <v>1386</v>
      </c>
      <c r="NF8" s="183" t="s">
        <v>1386</v>
      </c>
      <c r="NG8" s="183" t="s">
        <v>1386</v>
      </c>
      <c r="NH8" s="183" t="s">
        <v>1386</v>
      </c>
      <c r="NI8" s="183" t="s">
        <v>1386</v>
      </c>
      <c r="NJ8" s="183" t="s">
        <v>1386</v>
      </c>
      <c r="NK8" s="183" t="s">
        <v>1386</v>
      </c>
    </row>
    <row r="9" spans="1:375" x14ac:dyDescent="0.25">
      <c r="B9" s="55" t="s">
        <v>798</v>
      </c>
      <c r="C9" s="46" t="s">
        <v>796</v>
      </c>
      <c r="D9" s="56" t="s">
        <v>795</v>
      </c>
      <c r="E9" s="45" t="s">
        <v>794</v>
      </c>
      <c r="F9" s="57" t="s">
        <v>793</v>
      </c>
      <c r="G9" s="44" t="s">
        <v>792</v>
      </c>
      <c r="H9" s="47" t="s">
        <v>797</v>
      </c>
      <c r="I9" s="58" t="s">
        <v>1104</v>
      </c>
      <c r="J9" s="58" t="s">
        <v>1104</v>
      </c>
      <c r="K9" s="71" t="s">
        <v>1666</v>
      </c>
      <c r="M9" s="55" t="s">
        <v>798</v>
      </c>
      <c r="N9" s="46" t="s">
        <v>796</v>
      </c>
      <c r="O9" s="56" t="s">
        <v>795</v>
      </c>
      <c r="P9" s="45" t="s">
        <v>794</v>
      </c>
      <c r="Q9" s="57" t="s">
        <v>793</v>
      </c>
      <c r="R9" s="44" t="s">
        <v>792</v>
      </c>
      <c r="S9" s="47" t="s">
        <v>797</v>
      </c>
      <c r="T9" s="58" t="s">
        <v>1104</v>
      </c>
      <c r="U9" s="58" t="s">
        <v>1104</v>
      </c>
      <c r="V9" s="58" t="s">
        <v>1666</v>
      </c>
      <c r="X9" s="55" t="s">
        <v>798</v>
      </c>
      <c r="Y9" s="46" t="s">
        <v>796</v>
      </c>
      <c r="Z9" s="56" t="s">
        <v>795</v>
      </c>
      <c r="AA9" s="44" t="s">
        <v>792</v>
      </c>
      <c r="AB9" s="47" t="s">
        <v>797</v>
      </c>
      <c r="AC9" s="58" t="s">
        <v>1104</v>
      </c>
      <c r="AD9" s="58" t="s">
        <v>1104</v>
      </c>
      <c r="AE9" s="58" t="s">
        <v>1104</v>
      </c>
      <c r="AG9" s="174" t="s">
        <v>798</v>
      </c>
      <c r="AH9" s="45" t="s">
        <v>794</v>
      </c>
      <c r="AI9" s="44" t="s">
        <v>792</v>
      </c>
      <c r="AJ9" s="175" t="s">
        <v>797</v>
      </c>
      <c r="AK9" s="58" t="s">
        <v>1104</v>
      </c>
      <c r="AL9" s="58" t="s">
        <v>1104</v>
      </c>
      <c r="AN9" s="55" t="s">
        <v>798</v>
      </c>
      <c r="AO9" s="46" t="s">
        <v>796</v>
      </c>
      <c r="AP9" s="56" t="s">
        <v>795</v>
      </c>
      <c r="AQ9" s="45" t="s">
        <v>794</v>
      </c>
      <c r="AR9" s="57" t="s">
        <v>793</v>
      </c>
      <c r="AS9" s="44" t="s">
        <v>792</v>
      </c>
      <c r="AT9" s="58" t="s">
        <v>1104</v>
      </c>
      <c r="AU9" s="58" t="s">
        <v>1104</v>
      </c>
      <c r="AW9" s="56" t="s">
        <v>795</v>
      </c>
      <c r="AX9" s="56" t="s">
        <v>795</v>
      </c>
      <c r="AZ9" s="55" t="s">
        <v>798</v>
      </c>
      <c r="BA9" s="46" t="s">
        <v>796</v>
      </c>
      <c r="BB9" s="45" t="s">
        <v>794</v>
      </c>
      <c r="BC9" s="44" t="s">
        <v>792</v>
      </c>
      <c r="BD9" s="52" t="s">
        <v>1255</v>
      </c>
      <c r="BE9" s="58" t="s">
        <v>1104</v>
      </c>
      <c r="BF9" s="58" t="s">
        <v>1104</v>
      </c>
      <c r="BH9" s="55" t="s">
        <v>798</v>
      </c>
      <c r="BI9" s="46" t="s">
        <v>796</v>
      </c>
      <c r="BJ9" s="56" t="s">
        <v>795</v>
      </c>
      <c r="BK9" s="45" t="s">
        <v>794</v>
      </c>
      <c r="BL9" s="57" t="s">
        <v>793</v>
      </c>
      <c r="BM9" s="44" t="s">
        <v>792</v>
      </c>
      <c r="BN9" s="47" t="s">
        <v>797</v>
      </c>
      <c r="BO9" s="58" t="s">
        <v>1104</v>
      </c>
      <c r="BP9" s="58" t="s">
        <v>1104</v>
      </c>
      <c r="BQ9" s="58" t="s">
        <v>1666</v>
      </c>
      <c r="BS9" s="46" t="s">
        <v>796</v>
      </c>
      <c r="BT9" s="44" t="s">
        <v>792</v>
      </c>
      <c r="BU9" s="47" t="s">
        <v>797</v>
      </c>
      <c r="BV9" s="58" t="s">
        <v>1104</v>
      </c>
      <c r="BW9" s="58" t="s">
        <v>1104</v>
      </c>
      <c r="BX9" s="58" t="s">
        <v>1666</v>
      </c>
      <c r="BZ9" s="55" t="s">
        <v>798</v>
      </c>
      <c r="CA9" s="46" t="s">
        <v>796</v>
      </c>
      <c r="CB9" s="56" t="s">
        <v>795</v>
      </c>
      <c r="CC9" s="45" t="s">
        <v>794</v>
      </c>
      <c r="CD9" s="57" t="s">
        <v>793</v>
      </c>
      <c r="CE9" s="44" t="s">
        <v>792</v>
      </c>
      <c r="CF9" s="47" t="s">
        <v>797</v>
      </c>
      <c r="CG9" s="58" t="s">
        <v>1104</v>
      </c>
      <c r="CH9" s="58" t="s">
        <v>1104</v>
      </c>
      <c r="CJ9" s="55" t="s">
        <v>798</v>
      </c>
      <c r="CK9" s="46" t="s">
        <v>796</v>
      </c>
      <c r="CL9" s="56" t="s">
        <v>795</v>
      </c>
      <c r="CM9" s="45" t="s">
        <v>794</v>
      </c>
      <c r="CN9" s="57" t="s">
        <v>793</v>
      </c>
      <c r="CO9" s="44" t="s">
        <v>792</v>
      </c>
      <c r="CP9" s="47" t="s">
        <v>797</v>
      </c>
      <c r="CQ9" s="52" t="s">
        <v>1255</v>
      </c>
      <c r="CR9" s="58" t="s">
        <v>1104</v>
      </c>
      <c r="CS9" s="58" t="s">
        <v>1104</v>
      </c>
      <c r="CT9" s="58" t="s">
        <v>1666</v>
      </c>
      <c r="CV9" s="55" t="s">
        <v>798</v>
      </c>
      <c r="CW9" s="45" t="s">
        <v>794</v>
      </c>
      <c r="CX9" s="44" t="s">
        <v>792</v>
      </c>
      <c r="CY9" s="58" t="s">
        <v>1104</v>
      </c>
      <c r="CZ9" s="58" t="s">
        <v>1167</v>
      </c>
      <c r="DA9" s="58" t="s">
        <v>1104</v>
      </c>
      <c r="DB9" s="58" t="s">
        <v>1666</v>
      </c>
      <c r="DD9" s="55" t="s">
        <v>798</v>
      </c>
      <c r="DE9" s="46" t="s">
        <v>796</v>
      </c>
      <c r="DF9" s="56" t="s">
        <v>795</v>
      </c>
      <c r="DG9" s="45" t="s">
        <v>794</v>
      </c>
      <c r="DH9" s="57" t="s">
        <v>793</v>
      </c>
      <c r="DI9" s="44" t="s">
        <v>792</v>
      </c>
      <c r="DJ9" s="47" t="s">
        <v>797</v>
      </c>
      <c r="DK9" s="58" t="s">
        <v>1104</v>
      </c>
      <c r="DL9" s="58" t="s">
        <v>1104</v>
      </c>
      <c r="DM9" s="58" t="s">
        <v>1666</v>
      </c>
      <c r="DO9" s="55" t="s">
        <v>798</v>
      </c>
      <c r="DP9" s="46" t="s">
        <v>796</v>
      </c>
      <c r="DQ9" s="56" t="s">
        <v>795</v>
      </c>
      <c r="DR9" s="45" t="s">
        <v>794</v>
      </c>
      <c r="DS9" s="57" t="s">
        <v>793</v>
      </c>
      <c r="DT9" s="44" t="s">
        <v>792</v>
      </c>
      <c r="DU9" s="47" t="s">
        <v>797</v>
      </c>
      <c r="DV9" s="58" t="s">
        <v>1104</v>
      </c>
      <c r="DW9" s="58" t="s">
        <v>1104</v>
      </c>
      <c r="DX9" s="58" t="s">
        <v>1666</v>
      </c>
      <c r="DZ9" s="55" t="s">
        <v>798</v>
      </c>
      <c r="EA9" s="46" t="s">
        <v>796</v>
      </c>
      <c r="EB9" s="56" t="s">
        <v>795</v>
      </c>
      <c r="EC9" s="45" t="s">
        <v>794</v>
      </c>
      <c r="ED9" s="44" t="s">
        <v>792</v>
      </c>
      <c r="EE9" s="47" t="s">
        <v>797</v>
      </c>
      <c r="EF9" s="58" t="s">
        <v>1104</v>
      </c>
      <c r="EG9" s="58" t="s">
        <v>1104</v>
      </c>
      <c r="EI9" s="55" t="s">
        <v>798</v>
      </c>
      <c r="EJ9" s="57" t="s">
        <v>793</v>
      </c>
      <c r="EK9" s="44" t="s">
        <v>792</v>
      </c>
      <c r="EL9" s="47" t="s">
        <v>797</v>
      </c>
      <c r="EM9" s="58" t="s">
        <v>1104</v>
      </c>
      <c r="EN9" s="58" t="s">
        <v>1104</v>
      </c>
      <c r="EO9" s="58" t="s">
        <v>1666</v>
      </c>
      <c r="EQ9" s="44" t="s">
        <v>792</v>
      </c>
      <c r="ER9" s="58" t="s">
        <v>1104</v>
      </c>
      <c r="ES9" s="58" t="s">
        <v>1104</v>
      </c>
      <c r="EU9" s="44" t="s">
        <v>792</v>
      </c>
      <c r="EV9" s="58" t="s">
        <v>1104</v>
      </c>
      <c r="EW9" s="58" t="s">
        <v>1104</v>
      </c>
      <c r="EY9" s="76" t="s">
        <v>798</v>
      </c>
      <c r="EZ9" s="46" t="s">
        <v>796</v>
      </c>
      <c r="FA9" s="77" t="s">
        <v>795</v>
      </c>
      <c r="FB9" s="44" t="s">
        <v>792</v>
      </c>
      <c r="FC9" s="52" t="s">
        <v>370</v>
      </c>
      <c r="FD9" s="52" t="s">
        <v>370</v>
      </c>
      <c r="FE9" s="52" t="s">
        <v>1255</v>
      </c>
      <c r="FF9" s="58" t="s">
        <v>1104</v>
      </c>
      <c r="FG9" s="58" t="s">
        <v>1104</v>
      </c>
      <c r="FI9" s="76" t="s">
        <v>798</v>
      </c>
      <c r="FJ9" s="46" t="s">
        <v>796</v>
      </c>
      <c r="FK9" s="45" t="s">
        <v>794</v>
      </c>
      <c r="FL9" s="44" t="s">
        <v>792</v>
      </c>
      <c r="FM9" s="58" t="s">
        <v>1104</v>
      </c>
      <c r="FN9" s="58" t="s">
        <v>1104</v>
      </c>
      <c r="FP9" s="76" t="s">
        <v>798</v>
      </c>
      <c r="FQ9" s="46" t="s">
        <v>796</v>
      </c>
      <c r="FR9" s="45" t="s">
        <v>794</v>
      </c>
      <c r="FS9" s="78" t="s">
        <v>793</v>
      </c>
      <c r="FT9" s="44" t="s">
        <v>792</v>
      </c>
      <c r="FU9" s="47" t="s">
        <v>797</v>
      </c>
      <c r="FV9" s="58" t="s">
        <v>1104</v>
      </c>
      <c r="FW9" s="58" t="s">
        <v>1104</v>
      </c>
      <c r="FY9" s="46" t="s">
        <v>796</v>
      </c>
      <c r="FZ9" s="44" t="s">
        <v>792</v>
      </c>
      <c r="GA9" s="47" t="s">
        <v>797</v>
      </c>
      <c r="GB9" s="58" t="s">
        <v>1104</v>
      </c>
      <c r="GC9" s="58" t="s">
        <v>1104</v>
      </c>
      <c r="GE9" s="76" t="s">
        <v>798</v>
      </c>
      <c r="GF9" s="46" t="s">
        <v>796</v>
      </c>
      <c r="GG9" s="77" t="s">
        <v>795</v>
      </c>
      <c r="GH9" s="78" t="s">
        <v>793</v>
      </c>
      <c r="GI9" s="44" t="s">
        <v>792</v>
      </c>
      <c r="GJ9" s="47" t="s">
        <v>797</v>
      </c>
      <c r="GK9" s="58" t="s">
        <v>1104</v>
      </c>
      <c r="GL9" s="58" t="s">
        <v>1104</v>
      </c>
      <c r="GN9" s="76" t="s">
        <v>798</v>
      </c>
      <c r="GO9" s="46" t="s">
        <v>796</v>
      </c>
      <c r="GP9" s="77" t="s">
        <v>795</v>
      </c>
      <c r="GQ9" s="78" t="s">
        <v>793</v>
      </c>
      <c r="GR9" s="44" t="s">
        <v>792</v>
      </c>
      <c r="GS9" s="45" t="s">
        <v>1187</v>
      </c>
      <c r="GT9" s="58" t="s">
        <v>1104</v>
      </c>
      <c r="GU9" s="58" t="s">
        <v>1104</v>
      </c>
      <c r="GW9" s="46" t="s">
        <v>796</v>
      </c>
      <c r="GX9" s="46" t="s">
        <v>796</v>
      </c>
      <c r="GY9" s="46" t="s">
        <v>796</v>
      </c>
      <c r="GZ9" s="46" t="s">
        <v>796</v>
      </c>
      <c r="HA9" s="46" t="s">
        <v>796</v>
      </c>
      <c r="HB9" s="77" t="s">
        <v>795</v>
      </c>
      <c r="HC9" s="77" t="s">
        <v>795</v>
      </c>
      <c r="HD9" s="77" t="s">
        <v>795</v>
      </c>
      <c r="HE9" s="77" t="s">
        <v>795</v>
      </c>
      <c r="HF9" s="77" t="s">
        <v>795</v>
      </c>
      <c r="HG9" s="45" t="s">
        <v>794</v>
      </c>
      <c r="HH9" s="45" t="s">
        <v>794</v>
      </c>
      <c r="HI9" s="45" t="s">
        <v>794</v>
      </c>
      <c r="HJ9" s="45" t="s">
        <v>794</v>
      </c>
      <c r="HK9" s="45" t="s">
        <v>794</v>
      </c>
      <c r="HL9" s="44" t="s">
        <v>792</v>
      </c>
      <c r="HM9" s="44" t="s">
        <v>792</v>
      </c>
      <c r="HN9" s="44" t="s">
        <v>792</v>
      </c>
      <c r="HO9" s="58" t="s">
        <v>1104</v>
      </c>
      <c r="HP9" s="58" t="s">
        <v>1104</v>
      </c>
      <c r="HQ9" s="58" t="s">
        <v>1104</v>
      </c>
      <c r="HR9" s="58" t="s">
        <v>1104</v>
      </c>
      <c r="HS9" s="58" t="s">
        <v>1104</v>
      </c>
      <c r="HT9" s="58" t="s">
        <v>1104</v>
      </c>
      <c r="HV9" s="76" t="s">
        <v>798</v>
      </c>
      <c r="HW9" s="46" t="s">
        <v>796</v>
      </c>
      <c r="HX9" s="114" t="s">
        <v>793</v>
      </c>
      <c r="HY9" s="44" t="s">
        <v>792</v>
      </c>
      <c r="HZ9" s="58" t="s">
        <v>1104</v>
      </c>
      <c r="IA9" s="58" t="s">
        <v>1104</v>
      </c>
      <c r="IC9" s="90" t="s">
        <v>798</v>
      </c>
      <c r="ID9" s="94" t="s">
        <v>796</v>
      </c>
      <c r="IE9" s="91" t="s">
        <v>795</v>
      </c>
      <c r="IF9" s="45" t="s">
        <v>794</v>
      </c>
      <c r="IG9" s="92" t="s">
        <v>793</v>
      </c>
      <c r="IH9" s="44" t="s">
        <v>792</v>
      </c>
      <c r="II9" s="93" t="s">
        <v>797</v>
      </c>
      <c r="IJ9" s="58" t="s">
        <v>1104</v>
      </c>
      <c r="IK9" s="58" t="s">
        <v>1104</v>
      </c>
      <c r="IM9" s="96" t="s">
        <v>798</v>
      </c>
      <c r="IN9" s="44" t="s">
        <v>792</v>
      </c>
      <c r="IO9" s="97" t="s">
        <v>797</v>
      </c>
      <c r="IP9" s="58" t="s">
        <v>1104</v>
      </c>
      <c r="IQ9" s="58" t="s">
        <v>1104</v>
      </c>
      <c r="IS9" s="96" t="s">
        <v>798</v>
      </c>
      <c r="IT9" s="97" t="s">
        <v>797</v>
      </c>
      <c r="IU9" s="58" t="s">
        <v>1104</v>
      </c>
      <c r="IW9" s="52" t="s">
        <v>1255</v>
      </c>
      <c r="IX9" s="52" t="s">
        <v>370</v>
      </c>
      <c r="IY9" s="52" t="s">
        <v>1269</v>
      </c>
      <c r="IZ9" s="58" t="s">
        <v>1104</v>
      </c>
      <c r="JB9" s="107" t="s">
        <v>798</v>
      </c>
      <c r="JC9" s="44" t="s">
        <v>792</v>
      </c>
      <c r="JD9" s="58" t="s">
        <v>1104</v>
      </c>
      <c r="JE9" s="58" t="s">
        <v>1104</v>
      </c>
      <c r="JG9" s="108" t="s">
        <v>798</v>
      </c>
      <c r="JH9" s="108" t="s">
        <v>798</v>
      </c>
      <c r="JI9" s="108" t="s">
        <v>798</v>
      </c>
      <c r="JJ9" s="113" t="s">
        <v>796</v>
      </c>
      <c r="JK9" s="113" t="s">
        <v>796</v>
      </c>
      <c r="JL9" s="113" t="s">
        <v>796</v>
      </c>
      <c r="JM9" s="109" t="s">
        <v>795</v>
      </c>
      <c r="JN9" s="45" t="s">
        <v>794</v>
      </c>
      <c r="JO9" s="110" t="s">
        <v>793</v>
      </c>
      <c r="JP9" s="110" t="s">
        <v>793</v>
      </c>
      <c r="JQ9" s="110" t="s">
        <v>793</v>
      </c>
      <c r="JR9" s="44" t="s">
        <v>792</v>
      </c>
      <c r="JS9" s="44" t="s">
        <v>792</v>
      </c>
      <c r="JT9" s="44" t="s">
        <v>792</v>
      </c>
      <c r="JU9" s="112" t="s">
        <v>797</v>
      </c>
      <c r="JV9" s="58" t="s">
        <v>1104</v>
      </c>
      <c r="JW9" s="58" t="s">
        <v>1104</v>
      </c>
      <c r="JX9" s="82" t="s">
        <v>1272</v>
      </c>
      <c r="JY9" s="82" t="s">
        <v>1272</v>
      </c>
      <c r="KA9" s="108" t="s">
        <v>798</v>
      </c>
      <c r="KB9" s="108" t="s">
        <v>798</v>
      </c>
      <c r="KC9" s="110" t="s">
        <v>793</v>
      </c>
      <c r="KD9" s="110" t="s">
        <v>793</v>
      </c>
      <c r="KE9" s="44" t="s">
        <v>792</v>
      </c>
      <c r="KF9" s="44" t="s">
        <v>792</v>
      </c>
      <c r="KG9" s="44" t="s">
        <v>792</v>
      </c>
      <c r="KH9" s="112" t="s">
        <v>797</v>
      </c>
      <c r="KI9" s="58" t="s">
        <v>1104</v>
      </c>
      <c r="KJ9" s="58" t="s">
        <v>1104</v>
      </c>
      <c r="KL9" s="108" t="s">
        <v>798</v>
      </c>
      <c r="KM9" s="108" t="s">
        <v>798</v>
      </c>
      <c r="KN9" s="108" t="s">
        <v>798</v>
      </c>
      <c r="KO9" s="113" t="s">
        <v>796</v>
      </c>
      <c r="KP9" s="113" t="s">
        <v>796</v>
      </c>
      <c r="KQ9" s="113" t="s">
        <v>796</v>
      </c>
      <c r="KR9" s="109" t="s">
        <v>795</v>
      </c>
      <c r="KS9" s="45" t="s">
        <v>794</v>
      </c>
      <c r="KT9" s="45" t="s">
        <v>794</v>
      </c>
      <c r="KU9" s="45" t="s">
        <v>794</v>
      </c>
      <c r="KV9" s="110" t="s">
        <v>793</v>
      </c>
      <c r="KW9" s="110" t="s">
        <v>793</v>
      </c>
      <c r="KX9" s="110" t="s">
        <v>793</v>
      </c>
      <c r="KY9" s="44" t="s">
        <v>792</v>
      </c>
      <c r="KZ9" s="44" t="s">
        <v>792</v>
      </c>
      <c r="LA9" s="44" t="s">
        <v>792</v>
      </c>
      <c r="LB9" s="112" t="s">
        <v>797</v>
      </c>
      <c r="LC9" s="58" t="s">
        <v>1104</v>
      </c>
      <c r="LD9" s="58" t="s">
        <v>1104</v>
      </c>
      <c r="LE9" s="82" t="s">
        <v>1272</v>
      </c>
      <c r="LF9" s="82" t="s">
        <v>1272</v>
      </c>
      <c r="LH9" s="44" t="s">
        <v>792</v>
      </c>
      <c r="LI9" s="44" t="s">
        <v>792</v>
      </c>
      <c r="LJ9" s="44" t="s">
        <v>792</v>
      </c>
      <c r="LL9" s="108" t="s">
        <v>798</v>
      </c>
      <c r="LM9" s="108" t="s">
        <v>798</v>
      </c>
      <c r="LN9" s="108" t="s">
        <v>798</v>
      </c>
      <c r="LO9" s="113" t="s">
        <v>796</v>
      </c>
      <c r="LP9" s="113" t="s">
        <v>796</v>
      </c>
      <c r="LQ9" s="113" t="s">
        <v>796</v>
      </c>
      <c r="LR9" s="109" t="s">
        <v>795</v>
      </c>
      <c r="LS9" s="45" t="s">
        <v>794</v>
      </c>
      <c r="LT9" s="45" t="s">
        <v>794</v>
      </c>
      <c r="LU9" s="45" t="s">
        <v>794</v>
      </c>
      <c r="LV9" s="110" t="s">
        <v>793</v>
      </c>
      <c r="LW9" s="110" t="s">
        <v>793</v>
      </c>
      <c r="LX9" s="110" t="s">
        <v>793</v>
      </c>
      <c r="LY9" s="44" t="s">
        <v>792</v>
      </c>
      <c r="LZ9" s="44" t="s">
        <v>792</v>
      </c>
      <c r="MA9" s="44" t="s">
        <v>792</v>
      </c>
      <c r="MB9" s="112" t="s">
        <v>797</v>
      </c>
      <c r="MC9" s="58" t="s">
        <v>1104</v>
      </c>
      <c r="MD9" s="82" t="s">
        <v>1272</v>
      </c>
      <c r="ME9" s="82" t="s">
        <v>1272</v>
      </c>
      <c r="MG9" s="108" t="s">
        <v>798</v>
      </c>
      <c r="MH9" s="143" t="s">
        <v>798</v>
      </c>
      <c r="MI9" s="108" t="s">
        <v>798</v>
      </c>
      <c r="MJ9" s="113" t="s">
        <v>796</v>
      </c>
      <c r="MK9" s="113" t="s">
        <v>796</v>
      </c>
      <c r="ML9" s="113" t="s">
        <v>796</v>
      </c>
      <c r="MM9" s="110" t="s">
        <v>793</v>
      </c>
      <c r="MN9" s="44" t="s">
        <v>792</v>
      </c>
      <c r="MO9" s="44" t="s">
        <v>792</v>
      </c>
      <c r="MP9" s="44" t="s">
        <v>792</v>
      </c>
      <c r="MQ9" s="58" t="s">
        <v>1104</v>
      </c>
      <c r="MR9" s="58" t="s">
        <v>1104</v>
      </c>
      <c r="MS9" s="44" t="s">
        <v>792</v>
      </c>
      <c r="MT9" s="44" t="s">
        <v>792</v>
      </c>
      <c r="MU9" s="44" t="s">
        <v>792</v>
      </c>
      <c r="MV9" s="82" t="s">
        <v>1272</v>
      </c>
      <c r="MW9" s="82" t="s">
        <v>1272</v>
      </c>
      <c r="MY9" s="120" t="s">
        <v>798</v>
      </c>
      <c r="MZ9" s="129" t="s">
        <v>798</v>
      </c>
      <c r="NA9" s="123" t="s">
        <v>796</v>
      </c>
      <c r="NB9" s="130" t="s">
        <v>796</v>
      </c>
      <c r="NC9" s="45" t="s">
        <v>794</v>
      </c>
      <c r="ND9" s="45" t="s">
        <v>794</v>
      </c>
      <c r="NE9" s="121" t="s">
        <v>793</v>
      </c>
      <c r="NF9" s="128" t="s">
        <v>793</v>
      </c>
      <c r="NG9" s="44" t="s">
        <v>792</v>
      </c>
      <c r="NH9" s="44" t="s">
        <v>792</v>
      </c>
      <c r="NI9" s="122" t="s">
        <v>797</v>
      </c>
      <c r="NJ9" s="58" t="s">
        <v>1104</v>
      </c>
      <c r="NK9" s="58" t="s">
        <v>1104</v>
      </c>
    </row>
    <row r="10" spans="1:375" ht="15.6" x14ac:dyDescent="0.25">
      <c r="A10" s="58" t="s">
        <v>1281</v>
      </c>
      <c r="B10" s="2" t="s">
        <v>13</v>
      </c>
      <c r="C10" s="2" t="s">
        <v>13</v>
      </c>
      <c r="D10" s="2" t="s">
        <v>13</v>
      </c>
      <c r="E10" s="2" t="s">
        <v>13</v>
      </c>
      <c r="F10" s="2" t="s">
        <v>13</v>
      </c>
      <c r="G10" s="2" t="s">
        <v>13</v>
      </c>
      <c r="H10" s="2" t="s">
        <v>13</v>
      </c>
      <c r="I10" s="2" t="s">
        <v>13</v>
      </c>
      <c r="J10" s="2" t="s">
        <v>1105</v>
      </c>
      <c r="K10" s="209" t="s">
        <v>13</v>
      </c>
      <c r="M10" s="2" t="s">
        <v>1108</v>
      </c>
      <c r="N10" s="2" t="s">
        <v>1108</v>
      </c>
      <c r="O10" s="2" t="s">
        <v>1108</v>
      </c>
      <c r="P10" s="2" t="s">
        <v>1108</v>
      </c>
      <c r="Q10" s="2" t="s">
        <v>1108</v>
      </c>
      <c r="R10" s="2" t="s">
        <v>1108</v>
      </c>
      <c r="S10" s="2" t="s">
        <v>1108</v>
      </c>
      <c r="T10" s="2" t="s">
        <v>1108</v>
      </c>
      <c r="U10" s="2" t="s">
        <v>1109</v>
      </c>
      <c r="V10" s="209" t="s">
        <v>1108</v>
      </c>
      <c r="X10" s="2" t="s">
        <v>1110</v>
      </c>
      <c r="Y10" s="2" t="s">
        <v>1110</v>
      </c>
      <c r="Z10" s="2" t="s">
        <v>1110</v>
      </c>
      <c r="AA10" s="2" t="s">
        <v>1110</v>
      </c>
      <c r="AB10" s="2" t="s">
        <v>1110</v>
      </c>
      <c r="AC10" s="2" t="s">
        <v>1110</v>
      </c>
      <c r="AD10" s="2" t="s">
        <v>1113</v>
      </c>
      <c r="AE10" s="2" t="s">
        <v>1111</v>
      </c>
      <c r="AG10" s="2" t="s">
        <v>1115</v>
      </c>
      <c r="AH10" s="2" t="s">
        <v>1115</v>
      </c>
      <c r="AI10" s="2" t="s">
        <v>1115</v>
      </c>
      <c r="AJ10" s="2" t="s">
        <v>1115</v>
      </c>
      <c r="AK10" s="2" t="s">
        <v>1115</v>
      </c>
      <c r="AL10" s="2" t="s">
        <v>1116</v>
      </c>
      <c r="AN10" s="2" t="s">
        <v>1118</v>
      </c>
      <c r="AO10" s="2" t="s">
        <v>1118</v>
      </c>
      <c r="AP10" s="2" t="s">
        <v>1118</v>
      </c>
      <c r="AQ10" s="2" t="s">
        <v>1118</v>
      </c>
      <c r="AR10" s="2" t="s">
        <v>1118</v>
      </c>
      <c r="AS10" s="2" t="s">
        <v>1118</v>
      </c>
      <c r="AT10" s="2" t="s">
        <v>1118</v>
      </c>
      <c r="AU10" s="2" t="s">
        <v>1119</v>
      </c>
      <c r="AW10" s="2" t="s">
        <v>1121</v>
      </c>
      <c r="AX10" s="2" t="s">
        <v>1122</v>
      </c>
      <c r="AZ10" s="2" t="s">
        <v>1124</v>
      </c>
      <c r="BA10" s="2" t="s">
        <v>1124</v>
      </c>
      <c r="BB10" s="2" t="s">
        <v>1124</v>
      </c>
      <c r="BC10" s="2" t="s">
        <v>1124</v>
      </c>
      <c r="BD10" s="2" t="s">
        <v>1124</v>
      </c>
      <c r="BE10" s="2" t="s">
        <v>1124</v>
      </c>
      <c r="BF10" s="2" t="s">
        <v>1125</v>
      </c>
      <c r="BH10" s="2" t="s">
        <v>1127</v>
      </c>
      <c r="BI10" s="2" t="s">
        <v>1127</v>
      </c>
      <c r="BJ10" s="2" t="s">
        <v>1127</v>
      </c>
      <c r="BK10" s="2" t="s">
        <v>1127</v>
      </c>
      <c r="BL10" s="2" t="s">
        <v>1127</v>
      </c>
      <c r="BM10" s="2" t="s">
        <v>1127</v>
      </c>
      <c r="BN10" s="2" t="s">
        <v>1127</v>
      </c>
      <c r="BO10" s="2" t="s">
        <v>1127</v>
      </c>
      <c r="BP10" s="2" t="s">
        <v>1128</v>
      </c>
      <c r="BQ10" s="209" t="s">
        <v>1127</v>
      </c>
      <c r="BS10" s="2" t="s">
        <v>1129</v>
      </c>
      <c r="BT10" s="2" t="s">
        <v>1129</v>
      </c>
      <c r="BU10" s="2" t="s">
        <v>1129</v>
      </c>
      <c r="BV10" s="2" t="s">
        <v>1129</v>
      </c>
      <c r="BW10" s="2" t="s">
        <v>1131</v>
      </c>
      <c r="BX10" s="209" t="s">
        <v>1129</v>
      </c>
      <c r="BZ10" s="2" t="s">
        <v>1136</v>
      </c>
      <c r="CA10" s="2" t="s">
        <v>1136</v>
      </c>
      <c r="CB10" s="2" t="s">
        <v>1136</v>
      </c>
      <c r="CC10" s="2" t="s">
        <v>1136</v>
      </c>
      <c r="CD10" s="2" t="s">
        <v>1136</v>
      </c>
      <c r="CE10" s="2" t="s">
        <v>1136</v>
      </c>
      <c r="CF10" s="2" t="s">
        <v>1136</v>
      </c>
      <c r="CG10" s="2" t="s">
        <v>1136</v>
      </c>
      <c r="CH10" s="2" t="s">
        <v>1137</v>
      </c>
      <c r="CJ10" s="2" t="s">
        <v>1267</v>
      </c>
      <c r="CK10" s="2" t="s">
        <v>1267</v>
      </c>
      <c r="CL10" s="2" t="s">
        <v>1267</v>
      </c>
      <c r="CM10" s="2" t="s">
        <v>1267</v>
      </c>
      <c r="CN10" s="2" t="s">
        <v>1267</v>
      </c>
      <c r="CO10" s="2" t="s">
        <v>1267</v>
      </c>
      <c r="CP10" s="2" t="s">
        <v>1267</v>
      </c>
      <c r="CQ10" s="2" t="s">
        <v>1267</v>
      </c>
      <c r="CR10" s="2" t="s">
        <v>1267</v>
      </c>
      <c r="CS10" s="2" t="s">
        <v>1268</v>
      </c>
      <c r="CT10" s="209" t="s">
        <v>1267</v>
      </c>
      <c r="CV10" s="2" t="s">
        <v>1138</v>
      </c>
      <c r="CW10" s="2" t="s">
        <v>1138</v>
      </c>
      <c r="CX10" s="2" t="s">
        <v>1138</v>
      </c>
      <c r="CY10" s="2" t="s">
        <v>1138</v>
      </c>
      <c r="CZ10" s="2" t="s">
        <v>1166</v>
      </c>
      <c r="DA10" s="2" t="s">
        <v>1139</v>
      </c>
      <c r="DB10" s="209" t="s">
        <v>1138</v>
      </c>
      <c r="DD10" s="2" t="s">
        <v>1141</v>
      </c>
      <c r="DE10" s="2" t="s">
        <v>1141</v>
      </c>
      <c r="DF10" s="2" t="s">
        <v>1141</v>
      </c>
      <c r="DG10" s="2" t="s">
        <v>1141</v>
      </c>
      <c r="DH10" s="2" t="s">
        <v>1141</v>
      </c>
      <c r="DI10" s="2" t="s">
        <v>1141</v>
      </c>
      <c r="DJ10" s="2" t="s">
        <v>1141</v>
      </c>
      <c r="DK10" s="2" t="s">
        <v>1141</v>
      </c>
      <c r="DL10" s="2" t="s">
        <v>1142</v>
      </c>
      <c r="DM10" s="209" t="s">
        <v>1141</v>
      </c>
      <c r="DO10" s="2" t="s">
        <v>1144</v>
      </c>
      <c r="DP10" s="2" t="s">
        <v>1144</v>
      </c>
      <c r="DQ10" s="2" t="s">
        <v>1144</v>
      </c>
      <c r="DR10" s="2" t="s">
        <v>1144</v>
      </c>
      <c r="DS10" s="2" t="s">
        <v>1144</v>
      </c>
      <c r="DT10" s="2" t="s">
        <v>1144</v>
      </c>
      <c r="DU10" s="2" t="s">
        <v>1144</v>
      </c>
      <c r="DV10" s="2" t="s">
        <v>1144</v>
      </c>
      <c r="DW10" s="2" t="s">
        <v>1146</v>
      </c>
      <c r="DX10" s="209" t="s">
        <v>1144</v>
      </c>
      <c r="DZ10" s="2" t="s">
        <v>1145</v>
      </c>
      <c r="EA10" s="2" t="s">
        <v>1145</v>
      </c>
      <c r="EB10" s="2" t="s">
        <v>1145</v>
      </c>
      <c r="EC10" s="2" t="s">
        <v>1145</v>
      </c>
      <c r="ED10" s="2" t="s">
        <v>1145</v>
      </c>
      <c r="EE10" s="2" t="s">
        <v>1145</v>
      </c>
      <c r="EF10" s="2" t="s">
        <v>1145</v>
      </c>
      <c r="EG10" s="2" t="s">
        <v>1149</v>
      </c>
      <c r="EI10" s="2" t="s">
        <v>1152</v>
      </c>
      <c r="EJ10" s="2" t="s">
        <v>1152</v>
      </c>
      <c r="EK10" s="2" t="s">
        <v>1152</v>
      </c>
      <c r="EL10" s="2" t="s">
        <v>1152</v>
      </c>
      <c r="EM10" s="2" t="s">
        <v>1152</v>
      </c>
      <c r="EN10" s="2" t="s">
        <v>1151</v>
      </c>
      <c r="EO10" s="209" t="s">
        <v>1152</v>
      </c>
      <c r="EQ10" s="2" t="s">
        <v>1169</v>
      </c>
      <c r="ER10" s="2" t="s">
        <v>1169</v>
      </c>
      <c r="ES10" s="2" t="s">
        <v>1170</v>
      </c>
      <c r="EU10" s="2" t="s">
        <v>1172</v>
      </c>
      <c r="EV10" s="2" t="s">
        <v>1172</v>
      </c>
      <c r="EW10" s="2" t="s">
        <v>1173</v>
      </c>
      <c r="EY10" s="2" t="s">
        <v>1175</v>
      </c>
      <c r="EZ10" s="2" t="s">
        <v>1175</v>
      </c>
      <c r="FA10" s="2" t="s">
        <v>1175</v>
      </c>
      <c r="FB10" s="2" t="s">
        <v>1175</v>
      </c>
      <c r="FC10" s="2" t="s">
        <v>1256</v>
      </c>
      <c r="FD10" s="2" t="s">
        <v>1257</v>
      </c>
      <c r="FE10" s="2" t="s">
        <v>1175</v>
      </c>
      <c r="FF10" s="2" t="s">
        <v>1175</v>
      </c>
      <c r="FG10" s="2" t="s">
        <v>1176</v>
      </c>
      <c r="FI10" s="2" t="s">
        <v>1639</v>
      </c>
      <c r="FJ10" s="200" t="s">
        <v>1639</v>
      </c>
      <c r="FK10" s="200" t="s">
        <v>1639</v>
      </c>
      <c r="FL10" s="200" t="s">
        <v>1639</v>
      </c>
      <c r="FM10" s="200" t="s">
        <v>1639</v>
      </c>
      <c r="FN10" s="2" t="s">
        <v>1640</v>
      </c>
      <c r="FP10" s="2" t="s">
        <v>1178</v>
      </c>
      <c r="FQ10" s="2" t="s">
        <v>1178</v>
      </c>
      <c r="FR10" s="2" t="s">
        <v>1178</v>
      </c>
      <c r="FS10" s="2" t="s">
        <v>1178</v>
      </c>
      <c r="FT10" s="2" t="s">
        <v>1178</v>
      </c>
      <c r="FU10" s="2" t="s">
        <v>1178</v>
      </c>
      <c r="FV10" s="2" t="s">
        <v>1178</v>
      </c>
      <c r="FW10" s="2" t="s">
        <v>1179</v>
      </c>
      <c r="FY10" s="2" t="s">
        <v>1180</v>
      </c>
      <c r="FZ10" s="2" t="s">
        <v>1180</v>
      </c>
      <c r="GA10" s="2" t="s">
        <v>1180</v>
      </c>
      <c r="GB10" s="2" t="s">
        <v>1180</v>
      </c>
      <c r="GC10" s="2" t="s">
        <v>1181</v>
      </c>
      <c r="GE10" s="2" t="s">
        <v>1182</v>
      </c>
      <c r="GF10" s="2" t="s">
        <v>1182</v>
      </c>
      <c r="GG10" s="2" t="s">
        <v>1182</v>
      </c>
      <c r="GH10" s="2" t="s">
        <v>1182</v>
      </c>
      <c r="GI10" s="2" t="s">
        <v>1182</v>
      </c>
      <c r="GJ10" s="2" t="s">
        <v>1182</v>
      </c>
      <c r="GK10" s="2" t="s">
        <v>1182</v>
      </c>
      <c r="GL10" s="2" t="s">
        <v>1183</v>
      </c>
      <c r="GN10" s="2" t="s">
        <v>1185</v>
      </c>
      <c r="GO10" s="2" t="s">
        <v>1185</v>
      </c>
      <c r="GP10" s="2" t="s">
        <v>1185</v>
      </c>
      <c r="GQ10" s="2" t="s">
        <v>1185</v>
      </c>
      <c r="GR10" s="2" t="s">
        <v>1185</v>
      </c>
      <c r="GS10" s="2" t="s">
        <v>1185</v>
      </c>
      <c r="GT10" s="2" t="s">
        <v>1185</v>
      </c>
      <c r="GU10" s="2" t="s">
        <v>1184</v>
      </c>
      <c r="GW10" s="2" t="s">
        <v>1196</v>
      </c>
      <c r="GX10" s="82" t="s">
        <v>1200</v>
      </c>
      <c r="GY10" s="46" t="s">
        <v>1201</v>
      </c>
      <c r="GZ10" s="66" t="s">
        <v>1202</v>
      </c>
      <c r="HA10" s="83" t="s">
        <v>1203</v>
      </c>
      <c r="HB10" s="2" t="s">
        <v>1195</v>
      </c>
      <c r="HC10" s="46" t="s">
        <v>1197</v>
      </c>
      <c r="HD10" s="66" t="s">
        <v>1198</v>
      </c>
      <c r="HE10" s="89" t="s">
        <v>1204</v>
      </c>
      <c r="HF10" s="83" t="s">
        <v>1199</v>
      </c>
      <c r="HG10" s="2" t="s">
        <v>1195</v>
      </c>
      <c r="HH10" s="46" t="s">
        <v>1197</v>
      </c>
      <c r="HI10" s="66" t="s">
        <v>1198</v>
      </c>
      <c r="HJ10" s="89" t="s">
        <v>1204</v>
      </c>
      <c r="HK10" s="83" t="s">
        <v>1199</v>
      </c>
      <c r="HL10" s="82" t="s">
        <v>1200</v>
      </c>
      <c r="HM10" s="80" t="s">
        <v>1207</v>
      </c>
      <c r="HN10" s="66" t="s">
        <v>1202</v>
      </c>
      <c r="HO10" s="82" t="s">
        <v>1200</v>
      </c>
      <c r="HP10" s="80" t="s">
        <v>1207</v>
      </c>
      <c r="HQ10" s="46" t="s">
        <v>1197</v>
      </c>
      <c r="HR10" s="66" t="s">
        <v>1202</v>
      </c>
      <c r="HS10" s="89" t="s">
        <v>1204</v>
      </c>
      <c r="HT10" s="83" t="s">
        <v>1199</v>
      </c>
      <c r="HV10" s="2" t="s">
        <v>1209</v>
      </c>
      <c r="HW10" s="2" t="s">
        <v>1209</v>
      </c>
      <c r="HX10" s="2" t="s">
        <v>1209</v>
      </c>
      <c r="HY10" s="2" t="s">
        <v>1209</v>
      </c>
      <c r="HZ10" s="2" t="s">
        <v>1209</v>
      </c>
      <c r="IA10" s="2" t="s">
        <v>1210</v>
      </c>
      <c r="IC10" s="2" t="s">
        <v>1211</v>
      </c>
      <c r="ID10" s="2" t="s">
        <v>1211</v>
      </c>
      <c r="IE10" s="2" t="s">
        <v>1211</v>
      </c>
      <c r="IF10" s="2" t="s">
        <v>1211</v>
      </c>
      <c r="IG10" s="2" t="s">
        <v>1211</v>
      </c>
      <c r="IH10" s="2" t="s">
        <v>1211</v>
      </c>
      <c r="II10" s="2" t="s">
        <v>1211</v>
      </c>
      <c r="IJ10" s="2" t="s">
        <v>1211</v>
      </c>
      <c r="IK10" s="2" t="s">
        <v>1212</v>
      </c>
      <c r="IM10" s="2" t="s">
        <v>1226</v>
      </c>
      <c r="IN10" s="2" t="s">
        <v>1226</v>
      </c>
      <c r="IO10" s="2" t="s">
        <v>1226</v>
      </c>
      <c r="IP10" s="2" t="s">
        <v>1226</v>
      </c>
      <c r="IQ10" s="2" t="s">
        <v>1229</v>
      </c>
      <c r="IS10" s="2" t="s">
        <v>1227</v>
      </c>
      <c r="IT10" s="2" t="s">
        <v>1227</v>
      </c>
      <c r="IU10" s="2" t="s">
        <v>1227</v>
      </c>
      <c r="IW10" s="2" t="s">
        <v>1264</v>
      </c>
      <c r="IX10" s="2" t="s">
        <v>1264</v>
      </c>
      <c r="IY10" s="2" t="s">
        <v>1264</v>
      </c>
      <c r="IZ10" s="2" t="s">
        <v>1264</v>
      </c>
      <c r="JB10" s="2" t="s">
        <v>1270</v>
      </c>
      <c r="JC10" s="2" t="s">
        <v>1270</v>
      </c>
      <c r="JD10" s="2" t="s">
        <v>1270</v>
      </c>
      <c r="JE10" s="2" t="s">
        <v>1271</v>
      </c>
      <c r="JG10" s="2" t="s">
        <v>1273</v>
      </c>
      <c r="JH10" s="2" t="s">
        <v>1274</v>
      </c>
      <c r="JI10" s="2" t="s">
        <v>1275</v>
      </c>
      <c r="JJ10" s="2" t="s">
        <v>1273</v>
      </c>
      <c r="JK10" s="2" t="s">
        <v>1274</v>
      </c>
      <c r="JL10" s="2" t="s">
        <v>1275</v>
      </c>
      <c r="JM10" s="2" t="s">
        <v>1273</v>
      </c>
      <c r="JN10" s="2" t="s">
        <v>1273</v>
      </c>
      <c r="JO10" s="2" t="s">
        <v>1273</v>
      </c>
      <c r="JP10" s="2" t="s">
        <v>1274</v>
      </c>
      <c r="JQ10" s="2" t="s">
        <v>1275</v>
      </c>
      <c r="JR10" s="2" t="s">
        <v>1273</v>
      </c>
      <c r="JS10" s="2" t="s">
        <v>1274</v>
      </c>
      <c r="JT10" s="2" t="s">
        <v>1275</v>
      </c>
      <c r="JU10" s="2" t="s">
        <v>1273</v>
      </c>
      <c r="JV10" s="2" t="s">
        <v>1273</v>
      </c>
      <c r="JW10" s="2" t="s">
        <v>1275</v>
      </c>
      <c r="JX10" s="2" t="s">
        <v>1273</v>
      </c>
      <c r="JY10" s="2" t="s">
        <v>1275</v>
      </c>
      <c r="KA10" s="2" t="s">
        <v>1277</v>
      </c>
      <c r="KB10" s="2" t="s">
        <v>1278</v>
      </c>
      <c r="KC10" s="2" t="s">
        <v>1277</v>
      </c>
      <c r="KD10" s="2" t="s">
        <v>1278</v>
      </c>
      <c r="KE10" s="2" t="s">
        <v>1277</v>
      </c>
      <c r="KF10" s="2" t="s">
        <v>1274</v>
      </c>
      <c r="KG10" s="2" t="s">
        <v>1278</v>
      </c>
      <c r="KH10" s="2" t="s">
        <v>1277</v>
      </c>
      <c r="KI10" s="2" t="s">
        <v>1277</v>
      </c>
      <c r="KJ10" s="2" t="s">
        <v>1278</v>
      </c>
      <c r="KL10" s="2" t="s">
        <v>1279</v>
      </c>
      <c r="KM10" s="2" t="s">
        <v>1274</v>
      </c>
      <c r="KN10" s="2" t="s">
        <v>1280</v>
      </c>
      <c r="KO10" s="2" t="s">
        <v>1279</v>
      </c>
      <c r="KP10" s="2" t="s">
        <v>1274</v>
      </c>
      <c r="KQ10" s="2" t="s">
        <v>1280</v>
      </c>
      <c r="KR10" s="2" t="s">
        <v>1279</v>
      </c>
      <c r="KS10" s="2" t="s">
        <v>1279</v>
      </c>
      <c r="KT10" s="2" t="s">
        <v>1274</v>
      </c>
      <c r="KU10" s="2" t="s">
        <v>1280</v>
      </c>
      <c r="KV10" s="2" t="s">
        <v>1279</v>
      </c>
      <c r="KW10" s="2" t="s">
        <v>1274</v>
      </c>
      <c r="KX10" s="2" t="s">
        <v>1280</v>
      </c>
      <c r="KY10" s="2" t="s">
        <v>1279</v>
      </c>
      <c r="KZ10" s="2" t="s">
        <v>1274</v>
      </c>
      <c r="LA10" s="2" t="s">
        <v>1280</v>
      </c>
      <c r="LB10" s="2" t="s">
        <v>1279</v>
      </c>
      <c r="LC10" s="2" t="s">
        <v>1279</v>
      </c>
      <c r="LD10" s="2" t="s">
        <v>1280</v>
      </c>
      <c r="LE10" s="2" t="s">
        <v>1279</v>
      </c>
      <c r="LF10" s="2" t="s">
        <v>1280</v>
      </c>
      <c r="LH10" s="2" t="s">
        <v>1282</v>
      </c>
      <c r="LI10" s="2" t="s">
        <v>1274</v>
      </c>
      <c r="LJ10" s="2" t="s">
        <v>1283</v>
      </c>
      <c r="LL10" s="2" t="s">
        <v>1284</v>
      </c>
      <c r="LM10" s="2" t="s">
        <v>1285</v>
      </c>
      <c r="LN10" s="2" t="s">
        <v>1286</v>
      </c>
      <c r="LO10" s="2" t="s">
        <v>1284</v>
      </c>
      <c r="LP10" s="2" t="s">
        <v>1285</v>
      </c>
      <c r="LQ10" s="2" t="s">
        <v>1286</v>
      </c>
      <c r="LR10" s="2" t="s">
        <v>1284</v>
      </c>
      <c r="LS10" s="2" t="s">
        <v>1284</v>
      </c>
      <c r="LT10" s="2" t="s">
        <v>1285</v>
      </c>
      <c r="LU10" s="2" t="s">
        <v>1286</v>
      </c>
      <c r="LV10" s="2" t="s">
        <v>1284</v>
      </c>
      <c r="LW10" s="2" t="s">
        <v>1285</v>
      </c>
      <c r="LX10" s="2" t="s">
        <v>1286</v>
      </c>
      <c r="LY10" s="2" t="s">
        <v>1284</v>
      </c>
      <c r="LZ10" s="2" t="s">
        <v>1285</v>
      </c>
      <c r="MA10" s="2" t="s">
        <v>1286</v>
      </c>
      <c r="MB10" s="2" t="s">
        <v>1284</v>
      </c>
      <c r="MC10" s="2" t="s">
        <v>1284</v>
      </c>
      <c r="MD10" s="2" t="s">
        <v>1284</v>
      </c>
      <c r="ME10" s="2" t="s">
        <v>1286</v>
      </c>
      <c r="MG10" s="2" t="s">
        <v>1289</v>
      </c>
      <c r="MH10" s="2" t="s">
        <v>1287</v>
      </c>
      <c r="MI10" s="2" t="s">
        <v>1290</v>
      </c>
      <c r="MJ10" s="2" t="s">
        <v>1289</v>
      </c>
      <c r="MK10" s="2" t="s">
        <v>1287</v>
      </c>
      <c r="ML10" s="2" t="s">
        <v>1290</v>
      </c>
      <c r="MM10" s="2" t="s">
        <v>1289</v>
      </c>
      <c r="MN10" s="2" t="s">
        <v>1289</v>
      </c>
      <c r="MO10" s="2" t="s">
        <v>1288</v>
      </c>
      <c r="MP10" s="2" t="s">
        <v>1290</v>
      </c>
      <c r="MQ10" s="2" t="s">
        <v>1289</v>
      </c>
      <c r="MR10" s="2" t="s">
        <v>1290</v>
      </c>
      <c r="MS10" s="2" t="s">
        <v>1291</v>
      </c>
      <c r="MT10" s="2" t="s">
        <v>1288</v>
      </c>
      <c r="MU10" s="2" t="s">
        <v>1292</v>
      </c>
      <c r="MV10" s="2" t="s">
        <v>1289</v>
      </c>
      <c r="MW10" s="2" t="s">
        <v>1290</v>
      </c>
      <c r="MY10" s="2" t="s">
        <v>1029</v>
      </c>
      <c r="MZ10" s="2" t="s">
        <v>1312</v>
      </c>
      <c r="NA10" s="2" t="s">
        <v>1029</v>
      </c>
      <c r="NB10" s="2" t="s">
        <v>1312</v>
      </c>
      <c r="NC10" s="2" t="s">
        <v>1029</v>
      </c>
      <c r="ND10" s="2" t="s">
        <v>1312</v>
      </c>
      <c r="NE10" s="2" t="s">
        <v>1029</v>
      </c>
      <c r="NF10" s="2" t="s">
        <v>1312</v>
      </c>
      <c r="NG10" s="2" t="s">
        <v>1029</v>
      </c>
      <c r="NH10" s="2" t="s">
        <v>1312</v>
      </c>
      <c r="NI10" s="2" t="s">
        <v>1029</v>
      </c>
      <c r="NJ10" s="2" t="s">
        <v>1029</v>
      </c>
      <c r="NK10" s="2" t="s">
        <v>1312</v>
      </c>
    </row>
    <row r="11" spans="1:375" x14ac:dyDescent="0.25">
      <c r="A11" s="2">
        <v>1799</v>
      </c>
      <c r="AO11" s="2">
        <v>950</v>
      </c>
      <c r="AT11" s="2">
        <v>950</v>
      </c>
      <c r="FI11" s="200"/>
      <c r="FJ11" s="200"/>
      <c r="FK11" s="200"/>
      <c r="FL11" s="200"/>
    </row>
    <row r="12" spans="1:375" x14ac:dyDescent="0.25">
      <c r="A12" s="2">
        <v>1800</v>
      </c>
      <c r="AO12" s="6">
        <v>1000</v>
      </c>
      <c r="AT12" s="6">
        <v>1000</v>
      </c>
      <c r="FI12" s="200"/>
      <c r="FJ12" s="200"/>
      <c r="FK12" s="200"/>
      <c r="FL12" s="200"/>
    </row>
    <row r="13" spans="1:375" x14ac:dyDescent="0.25">
      <c r="A13" s="2">
        <v>1801</v>
      </c>
      <c r="AO13" s="6">
        <v>1050</v>
      </c>
      <c r="AT13" s="6">
        <v>1050</v>
      </c>
      <c r="FI13" s="200"/>
      <c r="FJ13" s="200"/>
      <c r="FK13" s="200"/>
      <c r="FL13" s="200"/>
    </row>
    <row r="14" spans="1:375" x14ac:dyDescent="0.25">
      <c r="A14" s="2">
        <v>1802</v>
      </c>
      <c r="AO14" s="6">
        <v>1100</v>
      </c>
      <c r="AT14" s="6">
        <v>1100</v>
      </c>
      <c r="FI14" s="200"/>
      <c r="FJ14" s="200"/>
      <c r="FK14" s="200"/>
      <c r="FL14" s="200"/>
    </row>
    <row r="15" spans="1:375" x14ac:dyDescent="0.25">
      <c r="A15" s="2">
        <v>1803</v>
      </c>
      <c r="AO15" s="6">
        <v>1150</v>
      </c>
      <c r="AT15" s="6">
        <v>1150</v>
      </c>
      <c r="FI15" s="200"/>
      <c r="FJ15" s="200"/>
      <c r="FK15" s="200"/>
      <c r="FL15" s="200"/>
    </row>
    <row r="16" spans="1:375" x14ac:dyDescent="0.25">
      <c r="A16" s="2">
        <v>1804</v>
      </c>
      <c r="AO16" s="6">
        <v>1200</v>
      </c>
      <c r="AT16" s="6">
        <v>1200</v>
      </c>
      <c r="FI16" s="200"/>
      <c r="FJ16" s="200"/>
      <c r="FK16" s="200"/>
      <c r="FL16" s="200"/>
    </row>
    <row r="17" spans="1:168" x14ac:dyDescent="0.25">
      <c r="A17" s="2">
        <v>1805</v>
      </c>
      <c r="AO17" s="6">
        <v>1250</v>
      </c>
      <c r="AT17" s="6">
        <v>1250</v>
      </c>
      <c r="FI17" s="200"/>
      <c r="FJ17" s="200"/>
      <c r="FK17" s="200"/>
      <c r="FL17" s="200"/>
    </row>
    <row r="18" spans="1:168" x14ac:dyDescent="0.25">
      <c r="A18" s="2">
        <v>1806</v>
      </c>
      <c r="AO18" s="6">
        <v>1300</v>
      </c>
      <c r="AT18" s="6">
        <v>1300</v>
      </c>
      <c r="FI18" s="200"/>
      <c r="FJ18" s="200"/>
      <c r="FK18" s="200"/>
      <c r="FL18" s="200"/>
    </row>
    <row r="19" spans="1:168" x14ac:dyDescent="0.25">
      <c r="A19" s="2">
        <v>1807</v>
      </c>
      <c r="AO19" s="6">
        <v>1350</v>
      </c>
      <c r="AT19" s="6">
        <v>1350</v>
      </c>
      <c r="FI19" s="200"/>
      <c r="FJ19" s="200"/>
      <c r="FK19" s="200"/>
      <c r="FL19" s="200"/>
    </row>
    <row r="20" spans="1:168" x14ac:dyDescent="0.25">
      <c r="A20" s="2">
        <v>1808</v>
      </c>
      <c r="AO20" s="6">
        <v>1400</v>
      </c>
      <c r="AT20" s="6">
        <v>1400</v>
      </c>
      <c r="FI20" s="200"/>
      <c r="FJ20" s="200"/>
      <c r="FK20" s="200"/>
      <c r="FL20" s="200"/>
    </row>
    <row r="21" spans="1:168" x14ac:dyDescent="0.25">
      <c r="A21" s="2">
        <v>1809</v>
      </c>
      <c r="AO21" s="6">
        <v>1450</v>
      </c>
      <c r="AT21" s="6">
        <v>1450</v>
      </c>
      <c r="FI21" s="200"/>
      <c r="FJ21" s="200"/>
      <c r="FK21" s="200"/>
      <c r="FL21" s="200"/>
    </row>
    <row r="22" spans="1:168" x14ac:dyDescent="0.25">
      <c r="A22" s="2">
        <v>1810</v>
      </c>
      <c r="AO22" s="6">
        <v>1500</v>
      </c>
      <c r="AT22" s="6">
        <v>1500</v>
      </c>
      <c r="FI22" s="200"/>
      <c r="FJ22" s="200"/>
      <c r="FK22" s="200"/>
      <c r="FL22" s="200"/>
    </row>
    <row r="23" spans="1:168" x14ac:dyDescent="0.25">
      <c r="A23" s="2">
        <v>1811</v>
      </c>
      <c r="AO23" s="6">
        <v>1550</v>
      </c>
      <c r="AT23" s="6">
        <v>1550</v>
      </c>
      <c r="FI23" s="200"/>
      <c r="FJ23" s="200"/>
      <c r="FK23" s="200"/>
      <c r="FL23" s="200"/>
    </row>
    <row r="24" spans="1:168" x14ac:dyDescent="0.25">
      <c r="A24" s="2">
        <v>1812</v>
      </c>
      <c r="AO24" s="6">
        <v>1600</v>
      </c>
      <c r="AT24" s="6">
        <v>1600</v>
      </c>
      <c r="FI24" s="200"/>
      <c r="FJ24" s="200"/>
      <c r="FK24" s="200"/>
      <c r="FL24" s="200"/>
    </row>
    <row r="25" spans="1:168" x14ac:dyDescent="0.25">
      <c r="A25" s="2">
        <v>1813</v>
      </c>
      <c r="AO25" s="6">
        <v>1650</v>
      </c>
      <c r="AT25" s="6">
        <v>1650</v>
      </c>
      <c r="FI25" s="200"/>
      <c r="FJ25" s="200"/>
      <c r="FK25" s="200"/>
      <c r="FL25" s="200"/>
    </row>
    <row r="26" spans="1:168" x14ac:dyDescent="0.25">
      <c r="A26" s="2">
        <v>1814</v>
      </c>
      <c r="AO26" s="6">
        <v>1700</v>
      </c>
      <c r="AT26" s="6">
        <v>1700</v>
      </c>
      <c r="FI26" s="200"/>
      <c r="FJ26" s="200"/>
      <c r="FK26" s="200"/>
      <c r="FL26" s="200"/>
    </row>
    <row r="27" spans="1:168" x14ac:dyDescent="0.25">
      <c r="A27" s="2">
        <v>1815</v>
      </c>
      <c r="AO27" s="6">
        <v>1750</v>
      </c>
      <c r="AT27" s="6">
        <v>1750</v>
      </c>
      <c r="FI27" s="200"/>
      <c r="FJ27" s="200"/>
      <c r="FK27" s="200"/>
      <c r="FL27" s="200"/>
    </row>
    <row r="28" spans="1:168" x14ac:dyDescent="0.25">
      <c r="A28" s="2">
        <v>1816</v>
      </c>
      <c r="AO28" s="6">
        <v>1800</v>
      </c>
      <c r="AT28" s="6">
        <v>1800</v>
      </c>
      <c r="FI28" s="200"/>
      <c r="FJ28" s="200"/>
      <c r="FK28" s="200"/>
      <c r="FL28" s="200"/>
    </row>
    <row r="29" spans="1:168" x14ac:dyDescent="0.25">
      <c r="A29" s="2">
        <v>1817</v>
      </c>
      <c r="AO29" s="6">
        <v>1850</v>
      </c>
      <c r="AT29" s="6">
        <v>1850</v>
      </c>
      <c r="FI29" s="200"/>
      <c r="FJ29" s="200"/>
      <c r="FK29" s="200"/>
      <c r="FL29" s="200"/>
    </row>
    <row r="30" spans="1:168" x14ac:dyDescent="0.25">
      <c r="A30" s="2">
        <v>1818</v>
      </c>
      <c r="AO30" s="6">
        <v>1900</v>
      </c>
      <c r="AT30" s="6">
        <v>1900</v>
      </c>
      <c r="FI30" s="200"/>
      <c r="FJ30" s="200"/>
      <c r="FK30" s="200"/>
      <c r="FL30" s="200"/>
    </row>
    <row r="31" spans="1:168" x14ac:dyDescent="0.25">
      <c r="A31" s="2">
        <v>1819</v>
      </c>
      <c r="AO31" s="6">
        <v>1950</v>
      </c>
      <c r="AT31" s="6">
        <v>1950</v>
      </c>
      <c r="FI31" s="200"/>
      <c r="FJ31" s="200"/>
      <c r="FK31" s="200"/>
      <c r="FL31" s="200"/>
    </row>
    <row r="32" spans="1:168" x14ac:dyDescent="0.25">
      <c r="A32" s="2">
        <v>1820</v>
      </c>
      <c r="AO32" s="6">
        <v>2000</v>
      </c>
      <c r="AT32" s="6">
        <v>2000</v>
      </c>
      <c r="FI32" s="200"/>
      <c r="FJ32" s="200"/>
      <c r="FK32" s="200"/>
      <c r="FL32" s="200"/>
    </row>
    <row r="33" spans="1:168" x14ac:dyDescent="0.25">
      <c r="A33" s="2">
        <v>1821</v>
      </c>
      <c r="AO33" s="6">
        <v>2050</v>
      </c>
      <c r="AT33" s="6">
        <v>2050</v>
      </c>
      <c r="FI33" s="200"/>
      <c r="FJ33" s="200"/>
      <c r="FK33" s="200"/>
      <c r="FL33" s="200"/>
    </row>
    <row r="34" spans="1:168" x14ac:dyDescent="0.25">
      <c r="A34" s="2">
        <v>1822</v>
      </c>
      <c r="AO34" s="6">
        <v>2100</v>
      </c>
      <c r="AT34" s="6">
        <v>2100</v>
      </c>
      <c r="FI34" s="200"/>
      <c r="FJ34" s="200"/>
      <c r="FK34" s="200"/>
      <c r="FL34" s="200"/>
    </row>
    <row r="35" spans="1:168" x14ac:dyDescent="0.25">
      <c r="A35" s="2">
        <v>1823</v>
      </c>
      <c r="AO35" s="6">
        <v>2150</v>
      </c>
      <c r="AT35" s="6">
        <v>2150</v>
      </c>
      <c r="FI35" s="200"/>
      <c r="FJ35" s="200"/>
      <c r="FK35" s="200"/>
      <c r="FL35" s="200"/>
    </row>
    <row r="36" spans="1:168" x14ac:dyDescent="0.25">
      <c r="A36" s="2">
        <v>1824</v>
      </c>
      <c r="AO36" s="6">
        <v>2200</v>
      </c>
      <c r="AT36" s="6">
        <v>2200</v>
      </c>
      <c r="FI36" s="200"/>
      <c r="FJ36" s="200"/>
      <c r="FK36" s="200"/>
      <c r="FL36" s="200"/>
    </row>
    <row r="37" spans="1:168" x14ac:dyDescent="0.25">
      <c r="A37" s="2">
        <v>1825</v>
      </c>
      <c r="AO37" s="6">
        <v>2250</v>
      </c>
      <c r="AT37" s="6">
        <v>2250</v>
      </c>
      <c r="FI37" s="200"/>
      <c r="FJ37" s="200"/>
      <c r="FK37" s="200"/>
      <c r="FL37" s="200"/>
    </row>
    <row r="38" spans="1:168" x14ac:dyDescent="0.25">
      <c r="A38" s="2">
        <v>1826</v>
      </c>
      <c r="AO38" s="6">
        <v>2300</v>
      </c>
      <c r="AT38" s="6">
        <v>2300</v>
      </c>
      <c r="FI38" s="200"/>
      <c r="FJ38" s="200"/>
      <c r="FK38" s="200"/>
      <c r="FL38" s="200"/>
    </row>
    <row r="39" spans="1:168" x14ac:dyDescent="0.25">
      <c r="A39" s="2">
        <v>1827</v>
      </c>
      <c r="AO39" s="6">
        <v>2350</v>
      </c>
      <c r="AT39" s="6">
        <v>2350</v>
      </c>
      <c r="FI39" s="200"/>
      <c r="FJ39" s="200"/>
      <c r="FK39" s="200"/>
      <c r="FL39" s="200"/>
    </row>
    <row r="40" spans="1:168" x14ac:dyDescent="0.25">
      <c r="A40" s="2">
        <v>1828</v>
      </c>
      <c r="AO40" s="6">
        <v>2400</v>
      </c>
      <c r="AT40" s="6">
        <v>2400</v>
      </c>
      <c r="FI40" s="200"/>
      <c r="FJ40" s="200"/>
      <c r="FK40" s="200"/>
      <c r="FL40" s="200"/>
    </row>
    <row r="41" spans="1:168" x14ac:dyDescent="0.25">
      <c r="A41" s="2">
        <v>1829</v>
      </c>
      <c r="AO41" s="15">
        <v>792.48</v>
      </c>
      <c r="AT41" s="15">
        <v>792.48</v>
      </c>
      <c r="AU41" s="4">
        <v>0.99434686048859278</v>
      </c>
      <c r="FI41" s="200"/>
      <c r="FJ41" s="200"/>
      <c r="FK41" s="200"/>
      <c r="FL41" s="200"/>
    </row>
    <row r="42" spans="1:168" x14ac:dyDescent="0.25">
      <c r="A42" s="2">
        <v>1830</v>
      </c>
      <c r="AO42" s="6">
        <v>4064</v>
      </c>
      <c r="AT42" s="6">
        <v>4064</v>
      </c>
      <c r="AU42" s="4">
        <v>0.88582677165354329</v>
      </c>
      <c r="FI42" s="200"/>
      <c r="FJ42" s="200"/>
      <c r="FK42" s="200"/>
      <c r="FL42" s="200"/>
    </row>
    <row r="43" spans="1:168" x14ac:dyDescent="0.25">
      <c r="A43" s="2">
        <v>1831</v>
      </c>
      <c r="AO43" s="6">
        <v>5080</v>
      </c>
      <c r="AT43" s="6">
        <v>5080</v>
      </c>
      <c r="AU43" s="4">
        <v>0.78740157480314965</v>
      </c>
      <c r="FI43" s="200"/>
      <c r="FJ43" s="200"/>
      <c r="FK43" s="200"/>
      <c r="FL43" s="200"/>
    </row>
    <row r="44" spans="1:168" x14ac:dyDescent="0.25">
      <c r="A44" s="2">
        <v>1832</v>
      </c>
      <c r="AO44" s="6">
        <v>7257.2880000000005</v>
      </c>
      <c r="AT44" s="6">
        <v>7257.2880000000005</v>
      </c>
      <c r="AU44" s="4">
        <v>0.6889625987007818</v>
      </c>
      <c r="FI44" s="200"/>
      <c r="FJ44" s="200"/>
      <c r="FK44" s="200"/>
      <c r="FL44" s="200"/>
    </row>
    <row r="45" spans="1:168" x14ac:dyDescent="0.25">
      <c r="A45" s="2">
        <v>1833</v>
      </c>
      <c r="AO45" s="6">
        <v>6920.9920000000002</v>
      </c>
      <c r="AT45" s="6">
        <v>6920.9920000000002</v>
      </c>
      <c r="AU45" s="4">
        <v>0.74411298264757419</v>
      </c>
      <c r="FI45" s="200"/>
      <c r="FJ45" s="200"/>
      <c r="FK45" s="200"/>
      <c r="FL45" s="200"/>
    </row>
    <row r="46" spans="1:168" x14ac:dyDescent="0.25">
      <c r="A46" s="2">
        <v>1834</v>
      </c>
      <c r="AO46" s="6">
        <v>8625.84</v>
      </c>
      <c r="AT46" s="6">
        <v>8625.84</v>
      </c>
      <c r="AU46" s="4">
        <v>0.86948053754764754</v>
      </c>
      <c r="FI46" s="200"/>
      <c r="FJ46" s="200"/>
      <c r="FK46" s="200"/>
      <c r="FL46" s="200"/>
    </row>
    <row r="47" spans="1:168" x14ac:dyDescent="0.25">
      <c r="A47" s="2">
        <v>1835</v>
      </c>
      <c r="AO47" s="6">
        <v>12590.272000000001</v>
      </c>
      <c r="AT47" s="6">
        <v>12590.272000000001</v>
      </c>
      <c r="AU47" s="4">
        <v>0.8709899198365213</v>
      </c>
      <c r="FI47" s="200"/>
      <c r="FJ47" s="200"/>
      <c r="FK47" s="200"/>
      <c r="FL47" s="200"/>
    </row>
    <row r="48" spans="1:168" x14ac:dyDescent="0.25">
      <c r="A48" s="2">
        <v>1836</v>
      </c>
      <c r="AO48" s="6">
        <v>12848.335999999999</v>
      </c>
      <c r="AT48" s="6">
        <v>12848.335999999999</v>
      </c>
      <c r="AU48" s="4">
        <v>0.89459055242639984</v>
      </c>
      <c r="FI48" s="200"/>
      <c r="FJ48" s="200"/>
      <c r="FK48" s="200"/>
      <c r="FL48" s="200"/>
    </row>
    <row r="49" spans="1:168" x14ac:dyDescent="0.25">
      <c r="A49" s="2">
        <v>1837</v>
      </c>
      <c r="AO49" s="6">
        <v>16340.328</v>
      </c>
      <c r="AT49" s="6">
        <v>16340.328</v>
      </c>
      <c r="AU49" s="4">
        <v>0.71332717433823856</v>
      </c>
      <c r="FI49" s="200"/>
      <c r="FJ49" s="200"/>
      <c r="FK49" s="200"/>
      <c r="FL49" s="200"/>
    </row>
    <row r="50" spans="1:168" x14ac:dyDescent="0.25">
      <c r="A50" s="2">
        <v>1838</v>
      </c>
      <c r="AO50" s="6">
        <v>17495.52</v>
      </c>
      <c r="AT50" s="6">
        <v>17495.52</v>
      </c>
      <c r="AU50" s="4">
        <v>0.96013150795174995</v>
      </c>
      <c r="FI50" s="200"/>
      <c r="FJ50" s="200"/>
      <c r="FK50" s="200"/>
      <c r="FL50" s="200"/>
    </row>
    <row r="51" spans="1:168" x14ac:dyDescent="0.25">
      <c r="A51" s="2">
        <v>1839</v>
      </c>
      <c r="AO51" s="6">
        <v>21623.528000000002</v>
      </c>
      <c r="AT51" s="6">
        <v>21623.528000000002</v>
      </c>
      <c r="AU51" s="4">
        <v>0.96570735358263449</v>
      </c>
      <c r="FI51" s="200"/>
      <c r="FJ51" s="200"/>
      <c r="FK51" s="200"/>
      <c r="FL51" s="200"/>
    </row>
    <row r="52" spans="1:168" x14ac:dyDescent="0.25">
      <c r="A52" s="2">
        <v>1840</v>
      </c>
      <c r="AO52" s="6">
        <v>30740.096000000001</v>
      </c>
      <c r="AT52" s="6">
        <v>30740.096000000001</v>
      </c>
      <c r="AU52" s="4">
        <v>1.0733863680842115</v>
      </c>
      <c r="FI52" s="200"/>
      <c r="FJ52" s="200"/>
      <c r="FK52" s="200"/>
      <c r="FL52" s="200"/>
    </row>
    <row r="53" spans="1:168" x14ac:dyDescent="0.25">
      <c r="A53" s="2">
        <v>1841</v>
      </c>
      <c r="AO53" s="6">
        <v>35398.455999999998</v>
      </c>
      <c r="AT53" s="6">
        <v>35398.455999999998</v>
      </c>
      <c r="AU53" s="4">
        <v>1.1811249620604922</v>
      </c>
      <c r="FI53" s="200"/>
      <c r="FJ53" s="200"/>
      <c r="FK53" s="200"/>
      <c r="FL53" s="200"/>
    </row>
    <row r="54" spans="1:168" x14ac:dyDescent="0.25">
      <c r="A54" s="2">
        <v>1842</v>
      </c>
      <c r="AO54" s="6">
        <v>40538.400000000001</v>
      </c>
      <c r="AT54" s="6">
        <v>40538.400000000001</v>
      </c>
      <c r="AU54" s="4">
        <v>1.1811023622047243</v>
      </c>
      <c r="BL54" s="4">
        <v>2.032</v>
      </c>
      <c r="BO54" s="4">
        <v>2.032</v>
      </c>
      <c r="BP54" s="4">
        <v>101.37795275590551</v>
      </c>
      <c r="FI54" s="200"/>
      <c r="FJ54" s="200"/>
      <c r="FK54" s="200"/>
      <c r="FL54" s="200"/>
    </row>
    <row r="55" spans="1:168" x14ac:dyDescent="0.25">
      <c r="A55" s="2">
        <v>1843</v>
      </c>
      <c r="AO55" s="6">
        <v>26275.792000000001</v>
      </c>
      <c r="AT55" s="6">
        <v>26275.792000000001</v>
      </c>
      <c r="AU55" s="4">
        <v>1.2347486994873456</v>
      </c>
      <c r="BL55" s="4">
        <v>1.016</v>
      </c>
      <c r="BO55" s="4">
        <v>1.016</v>
      </c>
      <c r="BP55" s="4">
        <v>250</v>
      </c>
      <c r="FI55" s="200"/>
      <c r="FJ55" s="200"/>
      <c r="FK55" s="200"/>
      <c r="FL55" s="200"/>
    </row>
    <row r="56" spans="1:168" x14ac:dyDescent="0.25">
      <c r="A56" s="2">
        <v>1844</v>
      </c>
      <c r="AO56" s="6">
        <v>23487.887999999999</v>
      </c>
      <c r="AT56" s="6">
        <v>23487.887999999999</v>
      </c>
      <c r="AU56" s="4">
        <v>1.0527127854151894</v>
      </c>
      <c r="BL56" s="5">
        <v>55.88</v>
      </c>
      <c r="BO56" s="5">
        <v>55.88</v>
      </c>
      <c r="BP56" s="4">
        <v>143.16392269148173</v>
      </c>
      <c r="BQ56" s="6">
        <v>142.0368</v>
      </c>
      <c r="FI56" s="200"/>
      <c r="FJ56" s="200"/>
      <c r="FK56" s="200"/>
      <c r="FL56" s="200"/>
    </row>
    <row r="57" spans="1:168" x14ac:dyDescent="0.25">
      <c r="A57" s="2">
        <v>1845</v>
      </c>
      <c r="AO57" s="6">
        <v>22681.184000000001</v>
      </c>
      <c r="AT57" s="6">
        <v>22681.184000000001</v>
      </c>
      <c r="AU57" s="4">
        <v>0.77324005660374695</v>
      </c>
      <c r="BL57" s="15">
        <v>248.92</v>
      </c>
      <c r="BO57" s="15">
        <v>248.92</v>
      </c>
      <c r="BP57" s="4">
        <v>138.02828217901333</v>
      </c>
      <c r="BQ57" s="6">
        <v>241.38365066666668</v>
      </c>
      <c r="FI57" s="200"/>
      <c r="FJ57" s="200"/>
      <c r="FK57" s="200"/>
      <c r="FL57" s="200"/>
    </row>
    <row r="58" spans="1:168" x14ac:dyDescent="0.25">
      <c r="A58" s="2">
        <v>1846</v>
      </c>
      <c r="AO58" s="6">
        <v>39588.44</v>
      </c>
      <c r="AT58" s="6">
        <v>39588.44</v>
      </c>
      <c r="AU58" s="4">
        <v>0.69282851256578937</v>
      </c>
      <c r="BL58" s="6">
        <v>1640.84</v>
      </c>
      <c r="BO58" s="6">
        <v>1640.84</v>
      </c>
      <c r="BP58" s="4">
        <v>171.61210111893908</v>
      </c>
      <c r="BQ58" s="6">
        <v>1554.0556506666667</v>
      </c>
      <c r="FI58" s="200"/>
      <c r="FJ58" s="200"/>
      <c r="FK58" s="200"/>
      <c r="FL58" s="200"/>
    </row>
    <row r="59" spans="1:168" x14ac:dyDescent="0.25">
      <c r="A59" s="2">
        <v>1847</v>
      </c>
      <c r="AO59" s="6">
        <v>41383.712</v>
      </c>
      <c r="AT59" s="6">
        <v>41383.712</v>
      </c>
      <c r="AU59" s="4">
        <v>0.66451264690803957</v>
      </c>
      <c r="BL59" s="6">
        <v>2326.64</v>
      </c>
      <c r="BO59" s="6">
        <v>2326.64</v>
      </c>
      <c r="BP59" s="4">
        <v>147.75212323350411</v>
      </c>
      <c r="BQ59" s="6">
        <v>2102.695650666667</v>
      </c>
      <c r="FI59" s="200"/>
      <c r="FJ59" s="200"/>
      <c r="FK59" s="200"/>
      <c r="FL59" s="200"/>
    </row>
    <row r="60" spans="1:168" x14ac:dyDescent="0.25">
      <c r="A60" s="2">
        <v>1848</v>
      </c>
      <c r="AO60" s="6">
        <v>46174.152000000002</v>
      </c>
      <c r="AT60" s="6">
        <v>46174.152000000002</v>
      </c>
      <c r="AU60" s="4">
        <v>0.61831130109330434</v>
      </c>
      <c r="BL60" s="6">
        <v>4145.28</v>
      </c>
      <c r="BO60" s="6">
        <v>4145.28</v>
      </c>
      <c r="BP60" s="4">
        <v>149.75441948432916</v>
      </c>
      <c r="BQ60" s="6">
        <v>3540.76</v>
      </c>
      <c r="FI60" s="200"/>
      <c r="FJ60" s="200"/>
      <c r="FK60" s="200"/>
      <c r="FL60" s="200"/>
    </row>
    <row r="61" spans="1:168" x14ac:dyDescent="0.25">
      <c r="A61" s="2">
        <v>1849</v>
      </c>
      <c r="AO61" s="6">
        <v>49292.256000000001</v>
      </c>
      <c r="AT61" s="6">
        <v>49292.256000000001</v>
      </c>
      <c r="AU61" s="4">
        <v>0.59429213383944124</v>
      </c>
      <c r="BL61" s="6">
        <v>2621.2800000000002</v>
      </c>
      <c r="BO61" s="6">
        <v>2621.2800000000002</v>
      </c>
      <c r="BP61" s="4">
        <v>165.42986632484892</v>
      </c>
      <c r="BQ61" s="6">
        <v>2576.576</v>
      </c>
      <c r="FI61" s="200"/>
      <c r="FJ61" s="200"/>
      <c r="FK61" s="200"/>
      <c r="FL61" s="200"/>
    </row>
    <row r="62" spans="1:168" x14ac:dyDescent="0.25">
      <c r="A62" s="2">
        <v>1850</v>
      </c>
      <c r="AO62" s="6">
        <v>72355.456000000006</v>
      </c>
      <c r="AT62" s="6">
        <v>72355.456000000006</v>
      </c>
      <c r="AU62" s="4">
        <v>0.64611575386934184</v>
      </c>
      <c r="BL62" s="6">
        <v>4775.2</v>
      </c>
      <c r="BO62" s="6">
        <v>4775.2</v>
      </c>
      <c r="BP62" s="4">
        <v>148.21996984419502</v>
      </c>
      <c r="BQ62" s="6">
        <v>4258.0559999999996</v>
      </c>
      <c r="CD62" s="15">
        <v>118.872</v>
      </c>
      <c r="CG62" s="15">
        <v>118.872</v>
      </c>
      <c r="CH62" s="2">
        <v>20</v>
      </c>
      <c r="DI62" s="4">
        <v>2.794</v>
      </c>
      <c r="DK62" s="4">
        <v>2.794</v>
      </c>
      <c r="DM62" s="6">
        <v>2.794</v>
      </c>
      <c r="FI62" s="200"/>
      <c r="FJ62" s="200"/>
      <c r="FK62" s="200"/>
      <c r="FL62" s="200"/>
    </row>
    <row r="63" spans="1:168" x14ac:dyDescent="0.25">
      <c r="A63" s="2">
        <v>1851</v>
      </c>
      <c r="C63" s="6">
        <v>3428.9616000000001</v>
      </c>
      <c r="D63" s="6">
        <v>6514.9213000000009</v>
      </c>
      <c r="I63" s="6">
        <v>9943.8829000000005</v>
      </c>
      <c r="J63" s="15">
        <v>273.16602418398679</v>
      </c>
      <c r="K63" s="5">
        <v>81.066151027440071</v>
      </c>
      <c r="AO63" s="6">
        <v>68691.759999999995</v>
      </c>
      <c r="AT63" s="6">
        <v>68691.759999999995</v>
      </c>
      <c r="AU63" s="4">
        <v>0.74378644541936334</v>
      </c>
      <c r="BL63" s="6">
        <v>4084.32</v>
      </c>
      <c r="BO63" s="6">
        <v>4084.32</v>
      </c>
      <c r="BP63" s="4">
        <v>151.46903278881183</v>
      </c>
      <c r="BQ63" s="6">
        <v>2574.5439999999999</v>
      </c>
      <c r="CH63" s="2">
        <v>20</v>
      </c>
      <c r="FI63" s="200"/>
      <c r="FJ63" s="200"/>
      <c r="FK63" s="200"/>
      <c r="FL63" s="200"/>
    </row>
    <row r="64" spans="1:168" x14ac:dyDescent="0.25">
      <c r="A64" s="2">
        <v>1852</v>
      </c>
      <c r="C64" s="6">
        <v>19482.284</v>
      </c>
      <c r="D64" s="6">
        <v>66963.991300000009</v>
      </c>
      <c r="F64" s="5">
        <v>20</v>
      </c>
      <c r="I64" s="6">
        <v>86466.275300000008</v>
      </c>
      <c r="J64" s="15">
        <v>273.16602418398679</v>
      </c>
      <c r="K64" s="6">
        <v>1826.4235771651192</v>
      </c>
      <c r="AO64" s="6">
        <v>68482.464000000007</v>
      </c>
      <c r="AT64" s="6">
        <v>68482.464000000007</v>
      </c>
      <c r="AU64" s="4">
        <v>1.0772100723478639</v>
      </c>
      <c r="BL64" s="6">
        <v>4582.16</v>
      </c>
      <c r="BO64" s="6">
        <v>4582.16</v>
      </c>
      <c r="BP64" s="4">
        <v>163.58136773923215</v>
      </c>
      <c r="BQ64" s="6">
        <v>2082.8000000000002</v>
      </c>
      <c r="CH64" s="2">
        <v>20</v>
      </c>
      <c r="FI64" s="200"/>
      <c r="FJ64" s="200"/>
      <c r="FK64" s="200"/>
      <c r="FL64" s="200"/>
    </row>
    <row r="65" spans="1:179" x14ac:dyDescent="0.25">
      <c r="A65" s="2">
        <v>1853</v>
      </c>
      <c r="C65" s="6">
        <v>13973.9764</v>
      </c>
      <c r="D65" s="6">
        <v>80364.328200000004</v>
      </c>
      <c r="F65" s="2">
        <v>850</v>
      </c>
      <c r="I65" s="6">
        <v>95188.304600000003</v>
      </c>
      <c r="J65" s="15">
        <v>273.16602418398679</v>
      </c>
      <c r="K65" s="6">
        <v>2936.2129131956181</v>
      </c>
      <c r="AO65" s="6">
        <v>98357.944000000003</v>
      </c>
      <c r="AQ65" s="6">
        <v>7783</v>
      </c>
      <c r="AT65" s="6">
        <v>106140.944</v>
      </c>
      <c r="AU65" s="4">
        <v>1.5872434259097568</v>
      </c>
      <c r="BL65" s="6">
        <v>1910.08</v>
      </c>
      <c r="BO65" s="6">
        <v>1910.08</v>
      </c>
      <c r="BP65" s="4">
        <v>184.65718713352322</v>
      </c>
      <c r="BQ65" s="6">
        <v>735.29840000000013</v>
      </c>
      <c r="CH65" s="2">
        <v>20</v>
      </c>
      <c r="FI65" s="200"/>
      <c r="FJ65" s="200"/>
      <c r="FK65" s="200"/>
      <c r="FL65" s="200"/>
    </row>
    <row r="66" spans="1:179" x14ac:dyDescent="0.25">
      <c r="A66" s="2">
        <v>1854</v>
      </c>
      <c r="C66" s="6">
        <v>5661.1019000000006</v>
      </c>
      <c r="D66" s="6">
        <v>64971.072200000002</v>
      </c>
      <c r="F66" s="2">
        <v>800</v>
      </c>
      <c r="I66" s="6">
        <v>71432.174100000004</v>
      </c>
      <c r="J66" s="15">
        <v>273.16602418398679</v>
      </c>
      <c r="K66" s="6">
        <v>3643.8592919107123</v>
      </c>
      <c r="AO66" s="6">
        <v>118508.272</v>
      </c>
      <c r="AQ66" s="6">
        <v>8000</v>
      </c>
      <c r="AT66" s="6">
        <v>126508.272</v>
      </c>
      <c r="AU66" s="4">
        <v>2.0147116818984587</v>
      </c>
      <c r="BL66" s="6">
        <v>1249.68</v>
      </c>
      <c r="BO66" s="6">
        <v>1249.68</v>
      </c>
      <c r="BP66" s="4">
        <v>151.56840151078674</v>
      </c>
      <c r="BQ66" s="6">
        <v>532.63800000000003</v>
      </c>
      <c r="CH66" s="2">
        <v>20</v>
      </c>
      <c r="EB66" s="15">
        <v>62.656719999999993</v>
      </c>
      <c r="EF66" s="15">
        <v>62.656719999999993</v>
      </c>
      <c r="FI66" s="200"/>
      <c r="FJ66" s="200"/>
      <c r="FK66" s="200"/>
      <c r="FL66" s="200"/>
    </row>
    <row r="67" spans="1:179" x14ac:dyDescent="0.25">
      <c r="A67" s="2">
        <v>1855</v>
      </c>
      <c r="C67" s="6">
        <v>4792.6655000000001</v>
      </c>
      <c r="D67" s="6">
        <v>82566.363700000002</v>
      </c>
      <c r="F67" s="2">
        <v>180</v>
      </c>
      <c r="I67" s="6">
        <v>87539.029200000004</v>
      </c>
      <c r="J67" s="15">
        <v>273.16602418398679</v>
      </c>
      <c r="K67" s="6">
        <v>6995.9147434713177</v>
      </c>
      <c r="AO67" s="6">
        <v>139269.21600000001</v>
      </c>
      <c r="AQ67" s="6">
        <v>8000</v>
      </c>
      <c r="AT67" s="6">
        <v>147269.21600000001</v>
      </c>
      <c r="AU67" s="4">
        <v>1.2792776833036812</v>
      </c>
      <c r="BL67" s="6">
        <v>1402.08</v>
      </c>
      <c r="BO67" s="6">
        <v>1402.08</v>
      </c>
      <c r="BP67" s="4">
        <v>216.61103503366428</v>
      </c>
      <c r="BQ67" s="6">
        <v>1196.7024000000001</v>
      </c>
      <c r="CH67" s="2">
        <v>20</v>
      </c>
      <c r="DI67" s="5">
        <v>11.641666666666669</v>
      </c>
      <c r="DK67" s="5">
        <v>11.641666666666669</v>
      </c>
      <c r="DM67" s="6">
        <v>11.641666666666669</v>
      </c>
      <c r="EB67" s="15">
        <v>42.423079999999999</v>
      </c>
      <c r="EF67" s="15">
        <v>42.423079999999999</v>
      </c>
      <c r="FI67" s="200"/>
      <c r="FJ67" s="200"/>
      <c r="FK67" s="200"/>
      <c r="FL67" s="200"/>
    </row>
    <row r="68" spans="1:179" x14ac:dyDescent="0.25">
      <c r="A68" s="2">
        <v>1856</v>
      </c>
      <c r="C68" s="6">
        <v>5045.8194999999996</v>
      </c>
      <c r="D68" s="6">
        <v>89432.621700000003</v>
      </c>
      <c r="E68" s="5">
        <v>13.217499999999999</v>
      </c>
      <c r="F68" s="2">
        <v>150</v>
      </c>
      <c r="I68" s="6">
        <v>94641.6587</v>
      </c>
      <c r="J68" s="15">
        <v>273.16602418398679</v>
      </c>
      <c r="K68" s="6">
        <v>10253.042695646865</v>
      </c>
      <c r="AO68" s="6">
        <v>192999.36</v>
      </c>
      <c r="AQ68" s="6">
        <v>8000</v>
      </c>
      <c r="AT68" s="6">
        <v>200999.36</v>
      </c>
      <c r="AU68" s="4">
        <v>1.2218278858541292</v>
      </c>
      <c r="BL68" s="6">
        <v>3688.08</v>
      </c>
      <c r="BO68" s="6">
        <v>3688.08</v>
      </c>
      <c r="BP68" s="4">
        <v>221.62371748985922</v>
      </c>
      <c r="BQ68" s="6">
        <v>1804.3075999999999</v>
      </c>
      <c r="CH68" s="2">
        <v>20</v>
      </c>
      <c r="EB68" s="15">
        <v>395.46276</v>
      </c>
      <c r="EF68" s="15">
        <v>395.46276</v>
      </c>
      <c r="FI68" s="200"/>
      <c r="FJ68" s="200"/>
      <c r="FK68" s="200"/>
      <c r="FL68" s="200"/>
    </row>
    <row r="69" spans="1:179" x14ac:dyDescent="0.25">
      <c r="A69" s="2">
        <v>1857</v>
      </c>
      <c r="C69" s="6">
        <v>4938.2134999999998</v>
      </c>
      <c r="D69" s="6">
        <v>82886.227200000008</v>
      </c>
      <c r="E69" s="5">
        <v>10.0764</v>
      </c>
      <c r="F69" s="2">
        <v>140</v>
      </c>
      <c r="I69" s="6">
        <v>87974.517100000012</v>
      </c>
      <c r="J69" s="15">
        <v>273.16602418398679</v>
      </c>
      <c r="K69" s="6">
        <v>11982.587628210811</v>
      </c>
      <c r="AO69" s="6">
        <v>213800.94399999999</v>
      </c>
      <c r="AQ69" s="6">
        <v>8000</v>
      </c>
      <c r="AT69" s="6">
        <v>221800.94399999999</v>
      </c>
      <c r="AU69" s="4">
        <v>1.3859433660872893</v>
      </c>
      <c r="BL69" s="6">
        <v>4328.16</v>
      </c>
      <c r="BO69" s="6">
        <v>4328.16</v>
      </c>
      <c r="BP69" s="4">
        <v>201.97682155927694</v>
      </c>
      <c r="BQ69" s="6">
        <v>2108.96243</v>
      </c>
      <c r="CH69" s="2">
        <v>20</v>
      </c>
      <c r="EB69" s="15">
        <v>503.2095599999999</v>
      </c>
      <c r="EF69" s="15">
        <v>503.2095599999999</v>
      </c>
      <c r="FI69" s="200"/>
      <c r="FJ69" s="200"/>
      <c r="FK69" s="200"/>
      <c r="FL69" s="200"/>
    </row>
    <row r="70" spans="1:179" x14ac:dyDescent="0.25">
      <c r="A70" s="2">
        <v>1858</v>
      </c>
      <c r="C70" s="6">
        <v>8084.2894999999999</v>
      </c>
      <c r="D70" s="6">
        <v>76033.777600000016</v>
      </c>
      <c r="E70" s="4">
        <v>6.8109000000000002</v>
      </c>
      <c r="F70" s="2">
        <v>130</v>
      </c>
      <c r="I70" s="6">
        <v>84254.878000000012</v>
      </c>
      <c r="J70" s="15">
        <v>273.16602418398679</v>
      </c>
      <c r="K70" s="6">
        <v>13612.97604740448</v>
      </c>
      <c r="AO70" s="6">
        <v>219859.35200000001</v>
      </c>
      <c r="AQ70" s="6">
        <v>8000</v>
      </c>
      <c r="AT70" s="6">
        <v>227859.35200000001</v>
      </c>
      <c r="AU70" s="4">
        <v>1.4751430723765617</v>
      </c>
      <c r="BL70" s="6">
        <v>3474.72</v>
      </c>
      <c r="BO70" s="6">
        <v>3474.72</v>
      </c>
      <c r="BP70" s="4">
        <v>212.97428281991068</v>
      </c>
      <c r="BQ70" s="6">
        <v>2272.26136</v>
      </c>
      <c r="CH70" s="2">
        <v>20</v>
      </c>
      <c r="EB70" s="15">
        <v>254.50292000000002</v>
      </c>
      <c r="EF70" s="15">
        <v>254.50292000000002</v>
      </c>
      <c r="FI70" s="200"/>
      <c r="FJ70" s="200"/>
      <c r="FK70" s="200"/>
      <c r="FL70" s="200"/>
    </row>
    <row r="71" spans="1:179" x14ac:dyDescent="0.25">
      <c r="A71" s="2">
        <v>1859</v>
      </c>
      <c r="B71" s="5">
        <v>21.490100000000002</v>
      </c>
      <c r="C71" s="6">
        <v>9218.7864000000009</v>
      </c>
      <c r="D71" s="6">
        <v>68785.051800000001</v>
      </c>
      <c r="E71" s="4">
        <v>3.5764999999999998</v>
      </c>
      <c r="F71" s="2">
        <v>130</v>
      </c>
      <c r="I71" s="6">
        <v>78158.904800000004</v>
      </c>
      <c r="J71" s="15">
        <v>273.16602418398679</v>
      </c>
      <c r="K71" s="6">
        <v>14599.016664439978</v>
      </c>
      <c r="AO71" s="6">
        <v>313144.408</v>
      </c>
      <c r="AQ71" s="6">
        <v>8000</v>
      </c>
      <c r="AT71" s="6">
        <v>321144.408</v>
      </c>
      <c r="AU71" s="4">
        <v>1.3052827690922713</v>
      </c>
      <c r="BI71" s="15">
        <v>376.19709090909089</v>
      </c>
      <c r="BL71" s="6">
        <v>3901.44</v>
      </c>
      <c r="BO71" s="6">
        <v>4277.6370909090911</v>
      </c>
      <c r="BP71" s="4">
        <v>195.34335948597618</v>
      </c>
      <c r="BQ71" s="6">
        <v>2996.3625534999996</v>
      </c>
      <c r="CH71" s="2">
        <v>20</v>
      </c>
      <c r="DI71" s="4">
        <v>6.8580000000000005</v>
      </c>
      <c r="DK71" s="4">
        <v>6.8580000000000005</v>
      </c>
      <c r="DL71" s="5">
        <f>(370154*2)/(33939*1.016)</f>
        <v>21.469389383871434</v>
      </c>
      <c r="DM71" s="6">
        <v>6.8580000000000005</v>
      </c>
      <c r="EB71" s="15">
        <v>77.62748000000002</v>
      </c>
      <c r="EF71" s="15">
        <v>77.62748000000002</v>
      </c>
      <c r="FI71" s="200"/>
      <c r="FJ71" s="200"/>
      <c r="FK71" s="200"/>
      <c r="FL71" s="200"/>
    </row>
    <row r="72" spans="1:179" x14ac:dyDescent="0.25">
      <c r="A72" s="2">
        <v>1860</v>
      </c>
      <c r="B72" s="5">
        <v>85.151800000000009</v>
      </c>
      <c r="C72" s="6">
        <v>10728.8158</v>
      </c>
      <c r="D72" s="6">
        <v>65134.564900000005</v>
      </c>
      <c r="E72" s="4">
        <v>0.311</v>
      </c>
      <c r="F72" s="2">
        <v>120</v>
      </c>
      <c r="I72" s="6">
        <v>76068.843500000003</v>
      </c>
      <c r="J72" s="15">
        <v>273.16602418398679</v>
      </c>
      <c r="K72" s="6">
        <v>16416.631993799117</v>
      </c>
      <c r="AN72" s="6">
        <v>12524.232</v>
      </c>
      <c r="AO72" s="6">
        <v>374763.79200000002</v>
      </c>
      <c r="AQ72" s="6">
        <v>8000</v>
      </c>
      <c r="AT72" s="6">
        <v>395288.02400000003</v>
      </c>
      <c r="AU72" s="4">
        <v>1.2087240274268545</v>
      </c>
      <c r="BH72" s="4">
        <v>1.016</v>
      </c>
      <c r="BI72" s="15">
        <v>376.19709090909089</v>
      </c>
      <c r="BL72" s="6">
        <v>4521.2</v>
      </c>
      <c r="BO72" s="6">
        <v>4898.4130909090909</v>
      </c>
      <c r="BP72" s="4">
        <v>185.24938243450421</v>
      </c>
      <c r="BQ72" s="6">
        <v>2782.6787884999999</v>
      </c>
      <c r="CD72" s="2">
        <v>5.08</v>
      </c>
      <c r="CG72" s="2">
        <v>5.08</v>
      </c>
      <c r="CH72" s="2">
        <v>20</v>
      </c>
      <c r="DI72" s="5">
        <v>50.038000000000004</v>
      </c>
      <c r="DK72" s="5">
        <v>50.038000000000004</v>
      </c>
      <c r="DL72" s="5">
        <f t="shared" ref="DL72:DL87" si="353">(370154*2)/(33939*1.016)</f>
        <v>21.469389383871434</v>
      </c>
      <c r="DM72" s="6">
        <v>50.038000000000004</v>
      </c>
      <c r="EB72" s="15">
        <v>69.377559999999988</v>
      </c>
      <c r="EF72" s="15">
        <v>69.377559999999988</v>
      </c>
      <c r="FI72" s="200"/>
      <c r="FJ72" s="200"/>
      <c r="FK72" s="200"/>
      <c r="FL72" s="200"/>
    </row>
    <row r="73" spans="1:179" x14ac:dyDescent="0.25">
      <c r="A73" s="2">
        <v>1861</v>
      </c>
      <c r="B73" s="5">
        <v>28.767499999999998</v>
      </c>
      <c r="C73" s="6">
        <v>13223.999900000001</v>
      </c>
      <c r="D73" s="6">
        <v>59602.590200000006</v>
      </c>
      <c r="E73" s="4">
        <v>0.24880000000000002</v>
      </c>
      <c r="F73" s="2">
        <v>120</v>
      </c>
      <c r="I73" s="6">
        <v>72975.606400000004</v>
      </c>
      <c r="J73" s="15">
        <v>273.16602418398679</v>
      </c>
      <c r="K73" s="6">
        <v>17014.032658958331</v>
      </c>
      <c r="AN73" s="6">
        <v>14439.392</v>
      </c>
      <c r="AO73" s="6">
        <v>347540.07199999999</v>
      </c>
      <c r="AT73" s="6">
        <v>361979.46399999998</v>
      </c>
      <c r="AU73" s="4">
        <v>1.2592504728490705</v>
      </c>
      <c r="BH73" s="5">
        <v>49.783999999999999</v>
      </c>
      <c r="BI73" s="15">
        <v>376.19709090909089</v>
      </c>
      <c r="BL73" s="6">
        <v>4785.3599999999997</v>
      </c>
      <c r="BO73" s="6">
        <v>5211.3410909090908</v>
      </c>
      <c r="BP73" s="4">
        <v>176.06523618279238</v>
      </c>
      <c r="BQ73" s="6">
        <v>5817.2682669999995</v>
      </c>
      <c r="CH73" s="2">
        <v>20</v>
      </c>
      <c r="DI73" s="5">
        <v>40.131999999999998</v>
      </c>
      <c r="DK73" s="5">
        <v>40.131999999999998</v>
      </c>
      <c r="DL73" s="5">
        <f t="shared" si="353"/>
        <v>21.469389383871434</v>
      </c>
      <c r="DM73" s="6">
        <v>40.131999999999998</v>
      </c>
      <c r="EB73" s="15">
        <v>105.791</v>
      </c>
      <c r="EF73" s="15">
        <v>105.791</v>
      </c>
      <c r="FI73" s="200"/>
      <c r="FJ73" s="200"/>
      <c r="FK73" s="200"/>
      <c r="FL73" s="200"/>
    </row>
    <row r="74" spans="1:179" x14ac:dyDescent="0.25">
      <c r="A74" s="2">
        <v>1862</v>
      </c>
      <c r="B74" s="4">
        <v>4.5406000000000004</v>
      </c>
      <c r="C74" s="6">
        <v>18068.011500000001</v>
      </c>
      <c r="D74" s="6">
        <v>50671.105600000003</v>
      </c>
      <c r="F74" s="2">
        <v>100</v>
      </c>
      <c r="I74" s="6">
        <v>68843.657700000011</v>
      </c>
      <c r="J74" s="15">
        <v>273.16602418398679</v>
      </c>
      <c r="K74" s="6">
        <v>17048.487497659899</v>
      </c>
      <c r="AN74" s="6">
        <v>24452.072</v>
      </c>
      <c r="AO74" s="6">
        <v>484146.35200000001</v>
      </c>
      <c r="AT74" s="6">
        <v>508598.424</v>
      </c>
      <c r="AU74" s="4">
        <v>1.2609162445986992</v>
      </c>
      <c r="BH74" s="15">
        <v>272.28800000000001</v>
      </c>
      <c r="BI74" s="15">
        <v>376.19709090909089</v>
      </c>
      <c r="BL74" s="6">
        <v>5821.68</v>
      </c>
      <c r="BO74" s="6">
        <v>6470.1650909090904</v>
      </c>
      <c r="BP74" s="4">
        <v>178.47303488785505</v>
      </c>
      <c r="BQ74" s="6">
        <v>2922.7465684999997</v>
      </c>
      <c r="CD74" s="4">
        <v>9.1440000000000001</v>
      </c>
      <c r="CG74" s="4">
        <v>9.1440000000000001</v>
      </c>
      <c r="CH74" s="2">
        <v>20</v>
      </c>
      <c r="DI74" s="4">
        <v>4.5720000000000001</v>
      </c>
      <c r="DK74" s="4">
        <v>4.5720000000000001</v>
      </c>
      <c r="DL74" s="5">
        <f t="shared" si="353"/>
        <v>21.469389383871434</v>
      </c>
      <c r="DM74" s="6">
        <v>4.5720000000000001</v>
      </c>
      <c r="EB74" s="15">
        <v>48.503839999999997</v>
      </c>
      <c r="EF74" s="15">
        <v>48.503839999999997</v>
      </c>
      <c r="FA74" s="15">
        <v>184.404</v>
      </c>
      <c r="FF74" s="15">
        <v>184.404</v>
      </c>
      <c r="FG74" s="5">
        <v>30</v>
      </c>
      <c r="FI74" s="200"/>
      <c r="FJ74" s="200"/>
      <c r="FK74" s="200"/>
      <c r="FL74" s="200"/>
    </row>
    <row r="75" spans="1:179" x14ac:dyDescent="0.25">
      <c r="A75" s="2">
        <v>1863</v>
      </c>
      <c r="B75" s="15">
        <v>108.3835</v>
      </c>
      <c r="C75" s="6">
        <v>13150.759400000001</v>
      </c>
      <c r="D75" s="6">
        <v>49634.884700000002</v>
      </c>
      <c r="F75" s="5">
        <v>70</v>
      </c>
      <c r="I75" s="6">
        <v>62964.027600000001</v>
      </c>
      <c r="J75" s="15">
        <v>273.16602418398679</v>
      </c>
      <c r="K75" s="6">
        <v>17587.63396995308</v>
      </c>
      <c r="AN75" s="6">
        <v>24384</v>
      </c>
      <c r="AO75" s="6">
        <v>440831.22399999999</v>
      </c>
      <c r="AT75" s="6">
        <v>465215.22399999999</v>
      </c>
      <c r="AU75" s="4">
        <v>1.0717480393357981</v>
      </c>
      <c r="BH75" s="6">
        <v>1117.5999999999999</v>
      </c>
      <c r="BI75" s="15">
        <v>376.19709090909089</v>
      </c>
      <c r="BL75" s="6">
        <v>5821.68</v>
      </c>
      <c r="BO75" s="6">
        <v>7315.4770909090912</v>
      </c>
      <c r="BP75" s="4">
        <v>163.89033621469639</v>
      </c>
      <c r="BQ75" s="6">
        <v>3645.3338799999997</v>
      </c>
      <c r="CH75" s="2">
        <v>20</v>
      </c>
      <c r="DI75" s="15">
        <v>116.84</v>
      </c>
      <c r="DK75" s="15">
        <v>116.84</v>
      </c>
      <c r="DL75" s="5">
        <f t="shared" si="353"/>
        <v>21.469389383871434</v>
      </c>
      <c r="DM75" s="6">
        <v>116.84</v>
      </c>
      <c r="EB75" s="15">
        <v>55.473600000000005</v>
      </c>
      <c r="EF75" s="15">
        <v>55.473600000000005</v>
      </c>
      <c r="FA75" s="15">
        <v>184.404</v>
      </c>
      <c r="FF75" s="15">
        <v>184.404</v>
      </c>
      <c r="FG75" s="5">
        <v>30</v>
      </c>
      <c r="FI75" s="200"/>
      <c r="FJ75" s="200"/>
      <c r="FK75" s="200"/>
      <c r="FL75" s="200"/>
    </row>
    <row r="76" spans="1:179" x14ac:dyDescent="0.25">
      <c r="A76" s="2">
        <v>1864</v>
      </c>
      <c r="B76" s="15">
        <v>609.83990000000006</v>
      </c>
      <c r="C76" s="6">
        <v>9554.1065999999992</v>
      </c>
      <c r="D76" s="6">
        <v>47515.388599999998</v>
      </c>
      <c r="F76" s="5">
        <v>40</v>
      </c>
      <c r="I76" s="6">
        <v>57719.335099999997</v>
      </c>
      <c r="J76" s="15">
        <v>273.16602418398679</v>
      </c>
      <c r="K76" s="6">
        <v>17082.153674272529</v>
      </c>
      <c r="AN76" s="6">
        <v>25400</v>
      </c>
      <c r="AO76" s="6">
        <v>557796.19200000004</v>
      </c>
      <c r="AT76" s="6">
        <v>583196.19200000004</v>
      </c>
      <c r="AU76" s="4">
        <v>0.96870865694257013</v>
      </c>
      <c r="AW76" s="15">
        <v>203.2</v>
      </c>
      <c r="AX76" s="4">
        <v>1.2303149606299213</v>
      </c>
      <c r="BH76" s="6">
        <v>2032</v>
      </c>
      <c r="BI76" s="15">
        <v>376.19709090909089</v>
      </c>
      <c r="BL76" s="6">
        <v>7244.08</v>
      </c>
      <c r="BO76" s="6">
        <v>9652.2770909090923</v>
      </c>
      <c r="BP76" s="4">
        <v>157.71449427552881</v>
      </c>
      <c r="BQ76" s="6">
        <v>3520.8944155000004</v>
      </c>
      <c r="CH76" s="2">
        <v>20</v>
      </c>
      <c r="DI76" s="5">
        <v>40.64</v>
      </c>
      <c r="DK76" s="5">
        <v>40.64</v>
      </c>
      <c r="DL76" s="5">
        <f t="shared" si="353"/>
        <v>21.469389383871434</v>
      </c>
      <c r="DM76" s="6">
        <v>40.64</v>
      </c>
      <c r="EB76" s="15">
        <v>66.497199999999992</v>
      </c>
      <c r="EF76" s="15">
        <v>66.497199999999992</v>
      </c>
      <c r="EG76" s="15">
        <v>168.72890888638923</v>
      </c>
      <c r="FA76" s="15">
        <v>264.16000000000003</v>
      </c>
      <c r="FF76" s="15">
        <v>264.16000000000003</v>
      </c>
      <c r="FG76" s="5">
        <v>30</v>
      </c>
      <c r="FI76" s="200"/>
      <c r="FJ76" s="200"/>
      <c r="FK76" s="200"/>
      <c r="FL76" s="200"/>
    </row>
    <row r="77" spans="1:179" x14ac:dyDescent="0.25">
      <c r="A77" s="2">
        <v>1865</v>
      </c>
      <c r="B77" s="15">
        <v>680.46799999999996</v>
      </c>
      <c r="C77" s="6">
        <v>9014.6149000000005</v>
      </c>
      <c r="D77" s="6">
        <v>47196.364800000003</v>
      </c>
      <c r="F77" s="5">
        <v>40</v>
      </c>
      <c r="I77" s="6">
        <v>56931.447700000004</v>
      </c>
      <c r="J77" s="15">
        <v>273.16602418398679</v>
      </c>
      <c r="K77" s="6">
        <v>16280.405716741669</v>
      </c>
      <c r="AN77" s="6">
        <v>33528</v>
      </c>
      <c r="AO77" s="6">
        <v>594893.4</v>
      </c>
      <c r="AP77" s="6">
        <v>2344.9279999999999</v>
      </c>
      <c r="AT77" s="6">
        <v>630766.32799999998</v>
      </c>
      <c r="AU77" s="4">
        <v>0.92219211038481852</v>
      </c>
      <c r="AW77" s="15">
        <v>35.56</v>
      </c>
      <c r="AX77" s="4">
        <v>0.49212598425196846</v>
      </c>
      <c r="BH77" s="15">
        <v>732.53600000000006</v>
      </c>
      <c r="BI77" s="15">
        <v>376.19709090909089</v>
      </c>
      <c r="BL77" s="6">
        <v>7396.48</v>
      </c>
      <c r="BO77" s="6">
        <v>8505.213090909092</v>
      </c>
      <c r="BP77" s="4">
        <v>165.9168306445296</v>
      </c>
      <c r="BQ77" s="6">
        <v>3269.2280830000004</v>
      </c>
      <c r="CD77" s="5">
        <v>20.32</v>
      </c>
      <c r="CG77" s="5">
        <v>20.32</v>
      </c>
      <c r="CH77" s="2">
        <v>20</v>
      </c>
      <c r="DI77" s="15">
        <v>428.54880000000003</v>
      </c>
      <c r="DK77" s="15">
        <v>428.54880000000003</v>
      </c>
      <c r="DL77" s="5">
        <f t="shared" si="353"/>
        <v>21.469389383871434</v>
      </c>
      <c r="DM77" s="6">
        <v>428.54880000000003</v>
      </c>
      <c r="EB77" s="15">
        <v>11.663679999999999</v>
      </c>
      <c r="EF77" s="15">
        <v>11.663679999999999</v>
      </c>
      <c r="EG77" s="15">
        <v>126.54668166479189</v>
      </c>
      <c r="FA77" s="15">
        <v>333.24799999999999</v>
      </c>
      <c r="FF77" s="15">
        <v>333.24799999999999</v>
      </c>
      <c r="FG77" s="5">
        <v>30</v>
      </c>
      <c r="FI77" s="200"/>
      <c r="FJ77" s="200"/>
      <c r="FK77" s="200"/>
      <c r="FL77" s="200"/>
    </row>
    <row r="78" spans="1:179" x14ac:dyDescent="0.25">
      <c r="A78" s="2">
        <v>1866</v>
      </c>
      <c r="B78" s="15">
        <v>626.44730000000004</v>
      </c>
      <c r="C78" s="6">
        <v>8173.8263999999999</v>
      </c>
      <c r="D78" s="6">
        <v>45304.303</v>
      </c>
      <c r="E78" s="4">
        <v>7.6506000000000007</v>
      </c>
      <c r="F78" s="5">
        <v>30</v>
      </c>
      <c r="I78" s="6">
        <v>54142.227299999999</v>
      </c>
      <c r="J78" s="15">
        <v>273.16602418398679</v>
      </c>
      <c r="K78" s="6">
        <v>17021.671120619831</v>
      </c>
      <c r="AN78" s="6">
        <v>39945.056000000004</v>
      </c>
      <c r="AO78" s="6">
        <v>786625.80799999996</v>
      </c>
      <c r="AQ78" s="6">
        <v>14537.944</v>
      </c>
      <c r="AT78" s="6">
        <v>841108.80799999996</v>
      </c>
      <c r="AU78" s="4">
        <v>0.82389618216034943</v>
      </c>
      <c r="BH78" s="6">
        <v>3218.6880000000001</v>
      </c>
      <c r="BI78" s="15">
        <v>376.19709090909089</v>
      </c>
      <c r="BL78" s="6">
        <v>9144</v>
      </c>
      <c r="BO78" s="6">
        <v>12738.885090909092</v>
      </c>
      <c r="BP78" s="4">
        <v>148.71160124930583</v>
      </c>
      <c r="BQ78" s="6">
        <v>2395.4204</v>
      </c>
      <c r="CH78" s="2">
        <v>20</v>
      </c>
      <c r="DI78" s="15">
        <v>166.72559999999999</v>
      </c>
      <c r="DK78" s="15">
        <v>166.72559999999999</v>
      </c>
      <c r="DL78" s="5">
        <f t="shared" si="353"/>
        <v>21.469389383871434</v>
      </c>
      <c r="DM78" s="6">
        <v>166.72559999999999</v>
      </c>
      <c r="EB78" s="15">
        <v>65.750440000000012</v>
      </c>
      <c r="EF78" s="15">
        <v>65.750440000000012</v>
      </c>
      <c r="EG78" s="15">
        <v>126.54668166479188</v>
      </c>
      <c r="FA78" s="15">
        <v>199.136</v>
      </c>
      <c r="FF78" s="15">
        <v>199.136</v>
      </c>
      <c r="FG78" s="5">
        <v>30</v>
      </c>
      <c r="FI78" s="200"/>
      <c r="FJ78" s="200"/>
      <c r="FK78" s="200"/>
      <c r="FL78" s="200"/>
      <c r="FS78" s="5">
        <v>10.16</v>
      </c>
      <c r="FV78" s="5">
        <v>10.16</v>
      </c>
      <c r="FW78" s="15">
        <f>(2*382)/(1.02^42)</f>
        <v>332.57235409604061</v>
      </c>
    </row>
    <row r="79" spans="1:179" x14ac:dyDescent="0.25">
      <c r="A79" s="2">
        <v>1867</v>
      </c>
      <c r="B79" s="6">
        <v>1385.5672</v>
      </c>
      <c r="C79" s="6">
        <v>7713.8263000000006</v>
      </c>
      <c r="D79" s="6">
        <v>43971.730200000005</v>
      </c>
      <c r="E79" s="5">
        <v>32.095199999999998</v>
      </c>
      <c r="F79" s="2">
        <v>100</v>
      </c>
      <c r="I79" s="6">
        <v>53203.218900000007</v>
      </c>
      <c r="J79" s="15">
        <v>273.16602418398679</v>
      </c>
      <c r="K79" s="6">
        <v>18472.999148662806</v>
      </c>
      <c r="AN79" s="6">
        <v>18275.808000000001</v>
      </c>
      <c r="AO79" s="6">
        <v>782332.19200000004</v>
      </c>
      <c r="AQ79" s="6">
        <v>8474.4560000000001</v>
      </c>
      <c r="AT79" s="6">
        <v>809082.45600000001</v>
      </c>
      <c r="AU79" s="4">
        <v>0.87598338277251919</v>
      </c>
      <c r="BH79" s="6">
        <v>6238.24</v>
      </c>
      <c r="BI79" s="15">
        <v>376.19709090909089</v>
      </c>
      <c r="BL79" s="6">
        <v>9418.32</v>
      </c>
      <c r="BO79" s="6">
        <v>16032.757090909092</v>
      </c>
      <c r="BP79" s="4">
        <v>103.83454265292589</v>
      </c>
      <c r="BQ79" s="6">
        <v>2811.3984</v>
      </c>
      <c r="CH79" s="2">
        <v>20</v>
      </c>
      <c r="DI79" s="15">
        <v>659.83104000000003</v>
      </c>
      <c r="DK79" s="15">
        <v>659.83104000000003</v>
      </c>
      <c r="DL79" s="5">
        <f t="shared" si="353"/>
        <v>21.469389383871434</v>
      </c>
      <c r="DM79" s="6">
        <v>659.83104000000003</v>
      </c>
      <c r="EB79" s="15">
        <v>126.23800000000001</v>
      </c>
      <c r="EF79" s="15">
        <v>126.23800000000001</v>
      </c>
      <c r="EG79" s="15">
        <v>130.76490438695163</v>
      </c>
      <c r="FA79" s="15">
        <v>123.952</v>
      </c>
      <c r="FF79" s="15">
        <v>123.952</v>
      </c>
      <c r="FG79" s="5">
        <v>30</v>
      </c>
      <c r="FI79" s="200"/>
      <c r="FJ79" s="200"/>
      <c r="FK79" s="200"/>
      <c r="FL79" s="200"/>
    </row>
    <row r="80" spans="1:179" x14ac:dyDescent="0.25">
      <c r="A80" s="2">
        <v>1868</v>
      </c>
      <c r="B80" s="6">
        <v>4345.4786000000004</v>
      </c>
      <c r="C80" s="6">
        <v>7282.5004000000008</v>
      </c>
      <c r="D80" s="6">
        <v>49344.939400000003</v>
      </c>
      <c r="E80" s="5">
        <v>18.566700000000001</v>
      </c>
      <c r="F80" s="2">
        <v>200</v>
      </c>
      <c r="I80" s="6">
        <v>61191.485100000005</v>
      </c>
      <c r="J80" s="15">
        <v>273.16602418398679</v>
      </c>
      <c r="K80" s="6">
        <v>17906.629646429163</v>
      </c>
      <c r="AN80" s="6">
        <v>19924.776000000002</v>
      </c>
      <c r="AO80" s="6">
        <v>969498.696</v>
      </c>
      <c r="AP80" s="15">
        <v>101.6</v>
      </c>
      <c r="AQ80" s="6">
        <v>9198.8639999999996</v>
      </c>
      <c r="AT80" s="6">
        <v>998723.93599999987</v>
      </c>
      <c r="AU80" s="4">
        <v>0.86190729646943232</v>
      </c>
      <c r="BH80" s="6">
        <v>9177.5280000000002</v>
      </c>
      <c r="BI80" s="15">
        <v>376.19709090909089</v>
      </c>
      <c r="BL80" s="6">
        <v>8026.4</v>
      </c>
      <c r="BO80" s="6">
        <v>17580.125090909092</v>
      </c>
      <c r="BP80" s="4">
        <v>78.013096773083248</v>
      </c>
      <c r="BQ80" s="6">
        <v>1585.6460000000002</v>
      </c>
      <c r="CH80" s="2">
        <v>20</v>
      </c>
      <c r="DI80" s="15">
        <v>670.86479999999995</v>
      </c>
      <c r="DK80" s="15">
        <v>670.86479999999995</v>
      </c>
      <c r="DL80" s="5">
        <f t="shared" si="353"/>
        <v>21.469389383871434</v>
      </c>
      <c r="DM80" s="6">
        <v>670.86479999999995</v>
      </c>
      <c r="EB80" s="15">
        <v>156.71292</v>
      </c>
      <c r="EF80" s="15">
        <v>156.71292</v>
      </c>
      <c r="EG80" s="15">
        <v>112.4859392575928</v>
      </c>
      <c r="FA80" s="15">
        <v>384.048</v>
      </c>
      <c r="FF80" s="15">
        <v>384.048</v>
      </c>
      <c r="FG80" s="5">
        <v>30</v>
      </c>
      <c r="FI80" s="200"/>
      <c r="FJ80" s="200"/>
      <c r="FK80" s="200"/>
      <c r="FL80" s="200"/>
    </row>
    <row r="81" spans="1:375" x14ac:dyDescent="0.25">
      <c r="A81" s="2">
        <v>1869</v>
      </c>
      <c r="B81" s="6">
        <v>3829.4985000000001</v>
      </c>
      <c r="C81" s="6">
        <v>7132.2874000000002</v>
      </c>
      <c r="D81" s="6">
        <v>45240.0815</v>
      </c>
      <c r="E81" s="5">
        <v>3.7631000000000006</v>
      </c>
      <c r="F81" s="2">
        <v>750</v>
      </c>
      <c r="I81" s="6">
        <v>56955.630499999999</v>
      </c>
      <c r="J81" s="15">
        <v>273.16602418398679</v>
      </c>
      <c r="K81" s="6">
        <v>18400.365168597313</v>
      </c>
      <c r="U81" s="5">
        <v>16.995255846923133</v>
      </c>
      <c r="AN81" s="6">
        <v>11297.92</v>
      </c>
      <c r="AO81" s="6">
        <v>934490.38399999996</v>
      </c>
      <c r="AQ81" s="6">
        <v>10420.096</v>
      </c>
      <c r="AT81" s="6">
        <v>956208.4</v>
      </c>
      <c r="AU81" s="4">
        <v>0.74082303237483071</v>
      </c>
      <c r="AW81" s="15">
        <v>233.68</v>
      </c>
      <c r="AX81" s="4">
        <v>0.49212598425196846</v>
      </c>
      <c r="BH81" s="6">
        <v>6410.96</v>
      </c>
      <c r="BI81" s="15">
        <v>376.19709090909089</v>
      </c>
      <c r="BL81" s="6">
        <v>7904.48</v>
      </c>
      <c r="BO81" s="6">
        <v>14691.637090909091</v>
      </c>
      <c r="BP81" s="4">
        <v>97.526912156481742</v>
      </c>
      <c r="BQ81" s="6">
        <v>921.72559200000001</v>
      </c>
      <c r="CH81" s="2">
        <v>20</v>
      </c>
      <c r="DI81" s="15">
        <v>426.41519999999997</v>
      </c>
      <c r="DK81" s="15">
        <v>426.41519999999997</v>
      </c>
      <c r="DL81" s="5">
        <f t="shared" si="353"/>
        <v>21.469389383871434</v>
      </c>
      <c r="DM81" s="6">
        <v>426.41519999999997</v>
      </c>
      <c r="EB81" s="15">
        <v>191.34835999999999</v>
      </c>
      <c r="EF81" s="15">
        <v>191.34835999999999</v>
      </c>
      <c r="EG81" s="15">
        <v>119.51631046119236</v>
      </c>
      <c r="FA81" s="15">
        <v>324.10399999999998</v>
      </c>
      <c r="FF81" s="15">
        <v>324.10399999999998</v>
      </c>
      <c r="FG81" s="5">
        <v>30</v>
      </c>
      <c r="FI81" s="200"/>
      <c r="FJ81" s="200"/>
      <c r="FK81" s="200"/>
      <c r="FL81" s="200"/>
    </row>
    <row r="82" spans="1:375" x14ac:dyDescent="0.25">
      <c r="A82" s="2">
        <v>1870</v>
      </c>
      <c r="B82" s="6">
        <v>3584.2128000000002</v>
      </c>
      <c r="C82" s="6">
        <v>6816.4979999999996</v>
      </c>
      <c r="D82" s="6">
        <v>38198.170700000002</v>
      </c>
      <c r="E82" s="5">
        <v>26.839300000000001</v>
      </c>
      <c r="F82" s="2">
        <v>830</v>
      </c>
      <c r="I82" s="6">
        <v>49455.720800000003</v>
      </c>
      <c r="J82" s="15">
        <v>273.16602418398679</v>
      </c>
      <c r="K82" s="6">
        <v>18190.352798671163</v>
      </c>
      <c r="T82" s="6">
        <v>3110</v>
      </c>
      <c r="U82" s="5">
        <v>17.625995027067329</v>
      </c>
      <c r="AN82" s="6">
        <v>23001.224000000002</v>
      </c>
      <c r="AO82" s="6">
        <v>882461.02399999998</v>
      </c>
      <c r="AQ82" s="6">
        <v>9942.5760000000009</v>
      </c>
      <c r="AT82" s="6">
        <v>915404.82400000002</v>
      </c>
      <c r="AU82" s="4">
        <v>0.71807364038323807</v>
      </c>
      <c r="AW82" s="15">
        <v>540.51200000000006</v>
      </c>
      <c r="AX82" s="4">
        <v>0.49212598425196846</v>
      </c>
      <c r="BH82" s="6">
        <v>1356.36</v>
      </c>
      <c r="BI82" s="6">
        <v>2459.1554285714287</v>
      </c>
      <c r="BL82" s="6">
        <v>7995.92</v>
      </c>
      <c r="BO82" s="6">
        <v>11811.435428571429</v>
      </c>
      <c r="BP82" s="4">
        <v>111.66077213694892</v>
      </c>
      <c r="BQ82" s="6">
        <v>630.35260800000003</v>
      </c>
      <c r="CH82" s="2">
        <v>20</v>
      </c>
      <c r="DI82" s="15">
        <v>737.3112000000001</v>
      </c>
      <c r="DK82" s="15">
        <v>737.3112000000001</v>
      </c>
      <c r="DL82" s="5">
        <f t="shared" si="353"/>
        <v>21.469389383871434</v>
      </c>
      <c r="DM82" s="6">
        <v>737.3112000000001</v>
      </c>
      <c r="EB82" s="15">
        <v>104.3686</v>
      </c>
      <c r="EF82" s="15">
        <v>104.3686</v>
      </c>
      <c r="EG82" s="15">
        <v>126.5466816647919</v>
      </c>
      <c r="FA82" s="15">
        <v>759.96799999999996</v>
      </c>
      <c r="FF82" s="15">
        <v>759.96799999999996</v>
      </c>
      <c r="FG82" s="5">
        <v>30</v>
      </c>
      <c r="FI82" s="200"/>
      <c r="FJ82" s="200"/>
      <c r="FK82" s="200"/>
      <c r="FL82" s="200"/>
    </row>
    <row r="83" spans="1:375" x14ac:dyDescent="0.25">
      <c r="A83" s="2">
        <v>1871</v>
      </c>
      <c r="B83" s="6">
        <v>4516.6841000000004</v>
      </c>
      <c r="C83" s="6">
        <v>9155.4979000000003</v>
      </c>
      <c r="D83" s="6">
        <v>40091.165500000003</v>
      </c>
      <c r="E83" s="15">
        <v>171.82749999999999</v>
      </c>
      <c r="F83" s="2">
        <v>850</v>
      </c>
      <c r="I83" s="6">
        <v>54785.175000000003</v>
      </c>
      <c r="J83" s="15">
        <v>273.16602418398679</v>
      </c>
      <c r="K83" s="6">
        <v>20435.643918930818</v>
      </c>
      <c r="T83" s="6">
        <v>3110</v>
      </c>
      <c r="U83" s="5">
        <v>16.846400077337787</v>
      </c>
      <c r="AN83" s="6">
        <v>17272</v>
      </c>
      <c r="AO83" s="6">
        <v>913164.54399999999</v>
      </c>
      <c r="AQ83" s="6">
        <v>9679.4320000000007</v>
      </c>
      <c r="AT83" s="6">
        <v>940115.97600000002</v>
      </c>
      <c r="AU83" s="4">
        <v>0.692843369967724</v>
      </c>
      <c r="AW83" s="6">
        <v>1010.92</v>
      </c>
      <c r="AX83" s="4">
        <v>0.49212598425196852</v>
      </c>
      <c r="BH83" s="6">
        <v>2529.84</v>
      </c>
      <c r="BI83" s="6">
        <v>2459.1554285714287</v>
      </c>
      <c r="BL83" s="6">
        <v>8199.1200000000008</v>
      </c>
      <c r="BO83" s="6">
        <v>13188.115428571429</v>
      </c>
      <c r="BP83" s="4">
        <v>124.97782635638788</v>
      </c>
      <c r="BQ83" s="6">
        <v>2181.5843063948309</v>
      </c>
      <c r="CH83" s="2">
        <v>20</v>
      </c>
      <c r="DI83" s="15">
        <v>256.03199999999998</v>
      </c>
      <c r="DK83" s="15">
        <v>256.03199999999998</v>
      </c>
      <c r="DL83" s="5">
        <f t="shared" si="353"/>
        <v>21.469389383871434</v>
      </c>
      <c r="DM83" s="6">
        <v>256.03199999999998</v>
      </c>
      <c r="EB83" s="15">
        <v>172.72</v>
      </c>
      <c r="EF83" s="15">
        <v>172.72</v>
      </c>
      <c r="EG83" s="15">
        <v>173.69152385363594</v>
      </c>
      <c r="FA83" s="15">
        <v>720.34400000000005</v>
      </c>
      <c r="FF83" s="15">
        <v>720.34400000000005</v>
      </c>
      <c r="FG83" s="5">
        <v>35.56007112014224</v>
      </c>
      <c r="FI83" s="200"/>
      <c r="FJ83" s="200"/>
      <c r="FK83" s="200"/>
      <c r="FL83" s="200"/>
    </row>
    <row r="84" spans="1:375" x14ac:dyDescent="0.25">
      <c r="A84" s="2">
        <v>1872</v>
      </c>
      <c r="B84" s="6">
        <v>4835.1170000000002</v>
      </c>
      <c r="C84" s="6">
        <v>12037.939200000001</v>
      </c>
      <c r="D84" s="6">
        <v>38991.034100000004</v>
      </c>
      <c r="E84" s="15">
        <v>199.97300000000001</v>
      </c>
      <c r="F84" s="2">
        <v>200</v>
      </c>
      <c r="I84" s="6">
        <v>56264.063300000002</v>
      </c>
      <c r="J84" s="15">
        <v>273.16602418398679</v>
      </c>
      <c r="K84" s="6">
        <v>24694.408387822597</v>
      </c>
      <c r="T84" s="6">
        <v>3421</v>
      </c>
      <c r="U84" s="5">
        <v>16.436387849689407</v>
      </c>
      <c r="AN84" s="6">
        <v>28170.632000000001</v>
      </c>
      <c r="AO84" s="6">
        <v>1028624.816</v>
      </c>
      <c r="AP84" s="5">
        <v>10.16</v>
      </c>
      <c r="AQ84" s="6">
        <v>8271.2559999999994</v>
      </c>
      <c r="AT84" s="6">
        <v>1065076.8640000001</v>
      </c>
      <c r="AU84" s="4">
        <v>0.77034501566993108</v>
      </c>
      <c r="BH84" s="6">
        <v>2488.1840000000002</v>
      </c>
      <c r="BI84" s="6">
        <v>2459.1554285714287</v>
      </c>
      <c r="BL84" s="6">
        <v>8961.1200000000008</v>
      </c>
      <c r="BO84" s="6">
        <v>13908.45942857143</v>
      </c>
      <c r="BP84" s="4">
        <v>143.61676864776723</v>
      </c>
      <c r="BQ84" s="6">
        <v>2284.7552323627001</v>
      </c>
      <c r="CH84" s="2">
        <v>20</v>
      </c>
      <c r="DI84" s="15">
        <v>221.89440000000002</v>
      </c>
      <c r="DK84" s="15">
        <v>221.89440000000002</v>
      </c>
      <c r="DL84" s="5">
        <f t="shared" si="353"/>
        <v>21.469389383871434</v>
      </c>
      <c r="DM84" s="6">
        <v>221.89440000000002</v>
      </c>
      <c r="DZ84" s="6">
        <v>1000.6583999999999</v>
      </c>
      <c r="EA84" s="15">
        <v>648.20800000000008</v>
      </c>
      <c r="EB84" s="15">
        <v>217.26016999999999</v>
      </c>
      <c r="EF84" s="6">
        <v>1866.1265699999999</v>
      </c>
      <c r="EG84" s="15">
        <v>175.12897094759705</v>
      </c>
      <c r="FA84" s="15">
        <v>718.31200000000001</v>
      </c>
      <c r="FF84" s="15">
        <v>718.31200000000001</v>
      </c>
      <c r="FG84" s="5">
        <v>18.170805572380374</v>
      </c>
      <c r="FI84" s="200"/>
      <c r="FJ84" s="200"/>
      <c r="FK84" s="200"/>
      <c r="FL84" s="200"/>
    </row>
    <row r="85" spans="1:375" x14ac:dyDescent="0.25">
      <c r="A85" s="2">
        <v>1873</v>
      </c>
      <c r="B85" s="6">
        <v>5253.5052999999998</v>
      </c>
      <c r="C85" s="6">
        <v>10223.6585</v>
      </c>
      <c r="D85" s="6">
        <v>34276.522899999996</v>
      </c>
      <c r="E85" s="15">
        <v>134.6319</v>
      </c>
      <c r="F85" s="2">
        <v>120</v>
      </c>
      <c r="I85" s="6">
        <v>50008.318599999991</v>
      </c>
      <c r="J85" s="15">
        <v>273.16602418398679</v>
      </c>
      <c r="K85" s="6">
        <v>25548.26478204448</v>
      </c>
      <c r="T85" s="6">
        <v>3732</v>
      </c>
      <c r="U85" s="5">
        <v>15.624596558960487</v>
      </c>
      <c r="AN85" s="6">
        <v>34150.807999999997</v>
      </c>
      <c r="AO85" s="6">
        <v>1211947.7920000001</v>
      </c>
      <c r="AP85" s="15">
        <v>512.06399999999996</v>
      </c>
      <c r="AQ85" s="6">
        <v>10309.352000000001</v>
      </c>
      <c r="AT85" s="6">
        <v>1256920.0160000001</v>
      </c>
      <c r="AU85" s="4">
        <v>1.0986397341445875</v>
      </c>
      <c r="AW85" s="15">
        <v>775.20799999999997</v>
      </c>
      <c r="AX85" s="4">
        <v>0.49212598425196852</v>
      </c>
      <c r="BH85" s="6">
        <v>2480.056</v>
      </c>
      <c r="BI85" s="6">
        <v>2459.1554285714287</v>
      </c>
      <c r="BL85" s="6">
        <v>9296.4</v>
      </c>
      <c r="BO85" s="6">
        <v>14235.61142857143</v>
      </c>
      <c r="BP85" s="4">
        <v>134.23252029517923</v>
      </c>
      <c r="BQ85" s="6">
        <v>1731.0986932813926</v>
      </c>
      <c r="CH85" s="2">
        <v>20</v>
      </c>
      <c r="DI85" s="15">
        <v>588.56880000000001</v>
      </c>
      <c r="DK85" s="15">
        <v>588.56880000000001</v>
      </c>
      <c r="DL85" s="5">
        <f t="shared" si="353"/>
        <v>21.469389383871434</v>
      </c>
      <c r="DM85" s="6">
        <v>588.56880000000001</v>
      </c>
      <c r="DZ85" s="6">
        <v>6356.7055999999993</v>
      </c>
      <c r="EA85" s="6">
        <v>3167.38</v>
      </c>
      <c r="EB85" s="15">
        <v>124.31775999999999</v>
      </c>
      <c r="EF85" s="6">
        <v>9648.4033599999984</v>
      </c>
      <c r="EG85" s="15">
        <v>144.02506731069028</v>
      </c>
      <c r="EY85" s="4">
        <v>7.1120000000000001</v>
      </c>
      <c r="FA85" s="15">
        <v>653.28800000000001</v>
      </c>
      <c r="FF85" s="15">
        <v>660.4</v>
      </c>
      <c r="FG85" s="5">
        <v>15.032211882605583</v>
      </c>
      <c r="FI85" s="200"/>
      <c r="FJ85" s="200"/>
      <c r="FK85" s="200"/>
      <c r="FL85" s="200"/>
    </row>
    <row r="86" spans="1:375" x14ac:dyDescent="0.25">
      <c r="A86" s="2">
        <v>1874</v>
      </c>
      <c r="B86" s="6">
        <v>9928.5506000000005</v>
      </c>
      <c r="C86" s="6">
        <v>7626.2487000000001</v>
      </c>
      <c r="D86" s="6">
        <v>32145.8308</v>
      </c>
      <c r="E86" s="15">
        <v>135.37830000000002</v>
      </c>
      <c r="F86" s="5">
        <v>20</v>
      </c>
      <c r="I86" s="6">
        <v>49856.008399999992</v>
      </c>
      <c r="J86" s="15">
        <v>273.16602418398679</v>
      </c>
      <c r="K86" s="6">
        <v>25266.385281134066</v>
      </c>
      <c r="T86" s="6">
        <v>4043</v>
      </c>
      <c r="U86" s="5">
        <v>15.560612479883188</v>
      </c>
      <c r="AN86" s="6">
        <v>44138.088000000003</v>
      </c>
      <c r="AO86" s="6">
        <v>1325485.7920000001</v>
      </c>
      <c r="AP86" s="6">
        <v>2955.5439999999999</v>
      </c>
      <c r="AQ86" s="6">
        <v>9424.4159999999993</v>
      </c>
      <c r="AT86" s="6">
        <v>1382003.84</v>
      </c>
      <c r="AU86" s="4">
        <v>1.1923537842041236</v>
      </c>
      <c r="AW86" s="15">
        <v>762</v>
      </c>
      <c r="AX86" s="4">
        <v>0.49212598425196852</v>
      </c>
      <c r="BH86" s="6">
        <v>2263.6480000000001</v>
      </c>
      <c r="BI86" s="6">
        <v>2459.1554285714287</v>
      </c>
      <c r="BL86" s="6">
        <v>8808.7199999999993</v>
      </c>
      <c r="BO86" s="6">
        <v>13531.52342857143</v>
      </c>
      <c r="BP86" s="4">
        <v>146.11348163691079</v>
      </c>
      <c r="BQ86" s="6">
        <v>884.57877053279276</v>
      </c>
      <c r="CD86" s="4">
        <v>6.0960000000000001</v>
      </c>
      <c r="CG86" s="4">
        <v>6.0960000000000001</v>
      </c>
      <c r="CH86" s="2">
        <v>20</v>
      </c>
      <c r="DI86" s="6">
        <v>1306.83</v>
      </c>
      <c r="DK86" s="6">
        <v>1306.83</v>
      </c>
      <c r="DL86" s="5">
        <f t="shared" si="353"/>
        <v>21.469389383871434</v>
      </c>
      <c r="DM86" s="6">
        <v>1306.83</v>
      </c>
      <c r="DZ86" s="6">
        <v>4055.2624000000001</v>
      </c>
      <c r="EA86" s="6">
        <v>3671.9509999999991</v>
      </c>
      <c r="EB86" s="15">
        <v>82.068718068252323</v>
      </c>
      <c r="EC86" s="15">
        <v>253.60000000000002</v>
      </c>
      <c r="EF86" s="6">
        <v>8062.8821180682517</v>
      </c>
      <c r="EG86" s="15">
        <v>153.30274381404206</v>
      </c>
      <c r="EY86" s="15">
        <v>105.664</v>
      </c>
      <c r="FA86" s="15">
        <v>269.24</v>
      </c>
      <c r="FF86" s="15">
        <v>374.904</v>
      </c>
      <c r="FG86" s="5">
        <v>19.022374678412724</v>
      </c>
      <c r="FI86" s="200"/>
      <c r="FJ86" s="200"/>
      <c r="FK86" s="200"/>
      <c r="FL86" s="200"/>
    </row>
    <row r="87" spans="1:375" x14ac:dyDescent="0.25">
      <c r="A87" s="2">
        <v>1875</v>
      </c>
      <c r="B87" s="6">
        <v>10970.898200000001</v>
      </c>
      <c r="C87" s="6">
        <v>6426.0996999999998</v>
      </c>
      <c r="D87" s="6">
        <v>31289.927700000004</v>
      </c>
      <c r="E87" s="5">
        <v>87.733100000000007</v>
      </c>
      <c r="F87" s="2">
        <v>100</v>
      </c>
      <c r="I87" s="6">
        <v>48874.6587</v>
      </c>
      <c r="J87" s="15">
        <v>273.16602418398679</v>
      </c>
      <c r="K87" s="6">
        <v>24720.313682203581</v>
      </c>
      <c r="T87" s="6">
        <v>4354</v>
      </c>
      <c r="U87" s="5">
        <v>15.655914473234583</v>
      </c>
      <c r="AN87" s="6">
        <v>32620.712</v>
      </c>
      <c r="AO87" s="6">
        <v>1351004.6640000001</v>
      </c>
      <c r="AQ87" s="6">
        <v>7842.5039999999999</v>
      </c>
      <c r="AT87" s="6">
        <v>1391467.8800000001</v>
      </c>
      <c r="AU87" s="4">
        <v>1.2130661304660011</v>
      </c>
      <c r="AW87" s="15">
        <v>211.328</v>
      </c>
      <c r="AX87" s="4">
        <v>0.49212598425196852</v>
      </c>
      <c r="BH87" s="6">
        <v>1395.9839999999999</v>
      </c>
      <c r="BI87" s="6">
        <v>2459.1554285714287</v>
      </c>
      <c r="BL87" s="6">
        <v>9570.7199999999993</v>
      </c>
      <c r="BO87" s="6">
        <v>13425.85942857143</v>
      </c>
      <c r="BP87" s="4">
        <v>157.24550158087246</v>
      </c>
      <c r="BQ87" s="6">
        <v>899.08356139575369</v>
      </c>
      <c r="CH87" s="4">
        <v>19.685039370078741</v>
      </c>
      <c r="DI87" s="6">
        <v>1328.9280000000001</v>
      </c>
      <c r="DK87" s="6">
        <v>1328.9280000000001</v>
      </c>
      <c r="DL87" s="5">
        <f t="shared" si="353"/>
        <v>21.469389383871434</v>
      </c>
      <c r="DM87" s="6">
        <v>1328.9280000000001</v>
      </c>
      <c r="DZ87" s="6">
        <v>3182.62</v>
      </c>
      <c r="EA87" s="6">
        <v>4621.4284000000007</v>
      </c>
      <c r="EB87" s="15">
        <v>48.247300000000003</v>
      </c>
      <c r="EC87" s="15">
        <v>593.62400000000002</v>
      </c>
      <c r="EF87" s="6">
        <v>8445.9197000000004</v>
      </c>
      <c r="EG87" s="15">
        <v>136.7503605675528</v>
      </c>
      <c r="EY87" s="5">
        <v>30.48</v>
      </c>
      <c r="EZ87" s="15">
        <v>144.27199999999999</v>
      </c>
      <c r="FA87" s="15">
        <v>800.60800000000006</v>
      </c>
      <c r="FF87" s="15">
        <v>975.36</v>
      </c>
      <c r="FG87" s="5">
        <v>69.313518908727957</v>
      </c>
      <c r="FI87" s="200"/>
      <c r="FJ87" s="200"/>
      <c r="FK87" s="200"/>
      <c r="FL87" s="200"/>
    </row>
    <row r="88" spans="1:375" x14ac:dyDescent="0.25">
      <c r="A88" s="2">
        <v>1876</v>
      </c>
      <c r="B88" s="6">
        <v>10529.216</v>
      </c>
      <c r="C88" s="6">
        <v>4489.5027</v>
      </c>
      <c r="D88" s="6">
        <v>28224.898300000001</v>
      </c>
      <c r="E88" s="15">
        <v>328.91360000000003</v>
      </c>
      <c r="F88" s="5">
        <v>72.400800000000004</v>
      </c>
      <c r="I88" s="6">
        <v>43644.931400000001</v>
      </c>
      <c r="J88" s="15">
        <v>273.16602418398679</v>
      </c>
      <c r="K88" s="6">
        <v>23133.354704038247</v>
      </c>
      <c r="T88" s="6">
        <v>4665</v>
      </c>
      <c r="U88" s="5">
        <v>14.367871520589047</v>
      </c>
      <c r="AN88" s="6">
        <v>51437.031999999999</v>
      </c>
      <c r="AO88" s="6">
        <v>1341036.6880000001</v>
      </c>
      <c r="AP88" s="6">
        <v>1112.52</v>
      </c>
      <c r="AQ88" s="6">
        <v>6197.6</v>
      </c>
      <c r="AT88" s="6">
        <v>1399783.84</v>
      </c>
      <c r="AU88" s="4">
        <v>1.1980283719128197</v>
      </c>
      <c r="AW88" s="15">
        <v>320.34480000000002</v>
      </c>
      <c r="AX88" s="4">
        <v>0.98425196850393692</v>
      </c>
      <c r="BH88" s="6">
        <v>2138.6799999999998</v>
      </c>
      <c r="BI88" s="6">
        <v>2459.1554285714287</v>
      </c>
      <c r="BL88" s="6">
        <v>8595.36</v>
      </c>
      <c r="BO88" s="6">
        <v>13193.195428571429</v>
      </c>
      <c r="BP88" s="4">
        <v>119.84026224427726</v>
      </c>
      <c r="BQ88" s="6">
        <v>923.16043467512998</v>
      </c>
      <c r="CH88" s="4">
        <v>9.8417851686449644</v>
      </c>
      <c r="DI88" s="6">
        <v>1206.6540387096775</v>
      </c>
      <c r="DK88" s="6">
        <v>1206.6540387096775</v>
      </c>
      <c r="DL88" s="5">
        <v>40.897872840521799</v>
      </c>
      <c r="DM88" s="6">
        <v>1206.6540387096775</v>
      </c>
      <c r="DZ88" s="6">
        <v>3068.828</v>
      </c>
      <c r="EA88" s="6">
        <v>5667.7686999999996</v>
      </c>
      <c r="EB88" s="15">
        <v>19.202400000000001</v>
      </c>
      <c r="EC88" s="6">
        <v>1266.712</v>
      </c>
      <c r="EF88" s="6">
        <v>10022.5111</v>
      </c>
      <c r="EG88" s="15">
        <v>124.37900745304221</v>
      </c>
      <c r="EY88" s="4">
        <v>9.1440000000000001</v>
      </c>
      <c r="EZ88" s="15">
        <v>201.16800000000001</v>
      </c>
      <c r="FA88" s="6">
        <v>1156.2080000000001</v>
      </c>
      <c r="FF88" s="6">
        <v>1366.52</v>
      </c>
      <c r="FG88" s="4">
        <v>6.8897637795275593</v>
      </c>
      <c r="FI88" s="200"/>
      <c r="FJ88" s="200"/>
      <c r="FK88" s="200"/>
      <c r="FL88" s="200"/>
      <c r="GR88" s="6">
        <v>2577.5920000000001</v>
      </c>
      <c r="GT88" s="6">
        <v>2577.5920000000001</v>
      </c>
      <c r="GU88" s="4">
        <v>0.28514986080031285</v>
      </c>
    </row>
    <row r="89" spans="1:375" x14ac:dyDescent="0.25">
      <c r="A89" s="2">
        <v>1877</v>
      </c>
      <c r="B89" s="6">
        <v>9644.4210000000003</v>
      </c>
      <c r="C89" s="6">
        <v>3451.7268000000004</v>
      </c>
      <c r="D89" s="6">
        <v>23711.697400000001</v>
      </c>
      <c r="E89" s="15">
        <v>170.52130000000002</v>
      </c>
      <c r="I89" s="6">
        <v>36978.366500000004</v>
      </c>
      <c r="J89" s="15">
        <v>273.16602418398679</v>
      </c>
      <c r="K89" s="6">
        <v>21069.848358106559</v>
      </c>
      <c r="T89" s="6">
        <v>4976</v>
      </c>
      <c r="U89" s="5">
        <v>13.662702817581827</v>
      </c>
      <c r="AN89" s="6">
        <v>61892.688000000002</v>
      </c>
      <c r="AO89" s="6">
        <v>1467379.3360000001</v>
      </c>
      <c r="AP89" s="6">
        <v>2458.7199999999998</v>
      </c>
      <c r="AQ89" s="6">
        <v>9621.52</v>
      </c>
      <c r="AT89" s="6">
        <v>1541352.2640000002</v>
      </c>
      <c r="AU89" s="4">
        <v>1.1707920084817112</v>
      </c>
      <c r="AW89" s="15">
        <v>281.94</v>
      </c>
      <c r="AX89" s="4">
        <v>0.98425196850393704</v>
      </c>
      <c r="BH89" s="6">
        <v>1990.3440000000001</v>
      </c>
      <c r="BI89" s="6">
        <v>1768.856</v>
      </c>
      <c r="BL89" s="6">
        <v>8412.48</v>
      </c>
      <c r="BO89" s="6">
        <v>12171.68</v>
      </c>
      <c r="BP89" s="4">
        <v>144.30974195838209</v>
      </c>
      <c r="BQ89" s="6">
        <v>1194.7132854531819</v>
      </c>
      <c r="CH89" s="4">
        <v>5.7540884312537859</v>
      </c>
      <c r="DI89" s="6">
        <v>3215.0304000000001</v>
      </c>
      <c r="DK89" s="6">
        <v>3215.0304000000001</v>
      </c>
      <c r="DL89" s="5">
        <v>31.207989245246782</v>
      </c>
      <c r="DM89" s="6">
        <v>3215.0304000000001</v>
      </c>
      <c r="DZ89" s="6">
        <v>2371.8520000000003</v>
      </c>
      <c r="EA89" s="6">
        <v>3715.4103999999998</v>
      </c>
      <c r="EB89" s="15">
        <v>67.315079999999995</v>
      </c>
      <c r="EC89" s="6">
        <v>2176.8959999999997</v>
      </c>
      <c r="EF89" s="6">
        <v>8331.4734800000006</v>
      </c>
      <c r="EG89" s="15">
        <v>124.29389025651653</v>
      </c>
      <c r="EY89" s="2">
        <v>50.8</v>
      </c>
      <c r="EZ89" s="5">
        <v>42.671999999999997</v>
      </c>
      <c r="FA89" s="6">
        <v>1207.008</v>
      </c>
      <c r="FF89" s="6">
        <v>1300.48</v>
      </c>
      <c r="FG89" s="5">
        <v>32.034215147566989</v>
      </c>
      <c r="FI89" s="200"/>
      <c r="FJ89" s="200"/>
      <c r="FK89" s="200"/>
      <c r="FL89" s="200"/>
      <c r="GR89" s="6">
        <v>15294.864</v>
      </c>
      <c r="GT89" s="6">
        <v>15294.864</v>
      </c>
      <c r="GU89" s="4">
        <v>0.79242286822556907</v>
      </c>
    </row>
    <row r="90" spans="1:375" x14ac:dyDescent="0.25">
      <c r="A90" s="2">
        <v>1878</v>
      </c>
      <c r="B90" s="6">
        <v>8414.2294000000002</v>
      </c>
      <c r="C90" s="6">
        <v>3149.7458000000001</v>
      </c>
      <c r="D90" s="6">
        <v>22200.144100000001</v>
      </c>
      <c r="E90" s="15">
        <v>732.15620000000013</v>
      </c>
      <c r="F90" s="4">
        <v>8.9568000000000012</v>
      </c>
      <c r="I90" s="6">
        <v>34505.232300000003</v>
      </c>
      <c r="J90" s="15">
        <v>273.16602418398679</v>
      </c>
      <c r="K90" s="6">
        <v>20307.093740464257</v>
      </c>
      <c r="T90" s="6">
        <v>5287</v>
      </c>
      <c r="U90" s="5">
        <v>14.113017652740021</v>
      </c>
      <c r="AN90" s="6">
        <v>53421.279999999999</v>
      </c>
      <c r="AO90" s="6">
        <v>1600704.952</v>
      </c>
      <c r="AQ90" s="6">
        <v>12507.976000000001</v>
      </c>
      <c r="AT90" s="6">
        <v>1666634.2080000001</v>
      </c>
      <c r="AU90" s="4">
        <v>1.1506761700614756</v>
      </c>
      <c r="AW90" s="15">
        <v>191.77</v>
      </c>
      <c r="AX90" s="4">
        <v>0.98425196850393692</v>
      </c>
      <c r="BH90" s="15">
        <v>583.18399999999997</v>
      </c>
      <c r="BI90" s="6">
        <v>1740.4080000000001</v>
      </c>
      <c r="BL90" s="6">
        <v>6898.64</v>
      </c>
      <c r="BO90" s="6">
        <v>9222.232</v>
      </c>
      <c r="BP90" s="4">
        <v>148.66921586878317</v>
      </c>
      <c r="BQ90" s="6">
        <v>1592.5032000000001</v>
      </c>
      <c r="CH90" s="4">
        <v>14.58005249343832</v>
      </c>
      <c r="DI90" s="6">
        <v>2205.2280000000001</v>
      </c>
      <c r="DK90" s="6">
        <v>2205.2280000000001</v>
      </c>
      <c r="DL90" s="15">
        <v>938.14471910112354</v>
      </c>
      <c r="DM90" s="6">
        <v>2205.2280000000001</v>
      </c>
      <c r="DZ90" s="6">
        <v>2026.2087999999997</v>
      </c>
      <c r="EA90" s="6">
        <v>3567.3537999999999</v>
      </c>
      <c r="EB90" s="15">
        <v>51.170840000000005</v>
      </c>
      <c r="EC90" s="6">
        <v>2431.6959999999999</v>
      </c>
      <c r="EF90" s="6">
        <v>8076.429439999999</v>
      </c>
      <c r="EG90" s="15">
        <v>108.06895497286141</v>
      </c>
      <c r="EY90" s="5">
        <v>14.224</v>
      </c>
      <c r="EZ90" s="5">
        <v>53.847999999999999</v>
      </c>
      <c r="FA90" s="6">
        <v>1200.912</v>
      </c>
      <c r="FF90" s="6">
        <v>1268.9839999999999</v>
      </c>
      <c r="FG90" s="5">
        <v>60.408464566929133</v>
      </c>
      <c r="FI90" s="200"/>
      <c r="FJ90" s="200"/>
      <c r="FK90" s="200"/>
      <c r="FL90" s="200"/>
      <c r="GR90" s="6">
        <v>23038.815999999999</v>
      </c>
      <c r="GT90" s="6">
        <v>23038.815999999999</v>
      </c>
      <c r="GU90" s="4">
        <v>5.7377080488858461</v>
      </c>
    </row>
    <row r="91" spans="1:375" x14ac:dyDescent="0.25">
      <c r="A91" s="2">
        <v>1879</v>
      </c>
      <c r="B91" s="6">
        <v>7572.0725000000002</v>
      </c>
      <c r="C91" s="6">
        <v>2981.4637000000002</v>
      </c>
      <c r="D91" s="6">
        <v>22226.7035</v>
      </c>
      <c r="E91" s="6">
        <v>1690.5027000000002</v>
      </c>
      <c r="F91" s="4">
        <v>0.65310000000000001</v>
      </c>
      <c r="I91" s="6">
        <v>34471.395499999999</v>
      </c>
      <c r="J91" s="15">
        <v>273.16602418398679</v>
      </c>
      <c r="K91" s="6">
        <v>19292.054734600697</v>
      </c>
      <c r="T91" s="6">
        <v>5598</v>
      </c>
      <c r="U91" s="5">
        <v>13.973861123745573</v>
      </c>
      <c r="AN91" s="6">
        <v>55892.192000000003</v>
      </c>
      <c r="AO91" s="6">
        <v>1608715.0960000001</v>
      </c>
      <c r="AQ91" s="6">
        <v>9666.2240000000002</v>
      </c>
      <c r="AT91" s="6">
        <v>1674273.5120000001</v>
      </c>
      <c r="AU91" s="4">
        <v>1.1821596034802173</v>
      </c>
      <c r="AW91" s="6">
        <v>1375.2575999999999</v>
      </c>
      <c r="AX91" s="4">
        <v>0.98425196850393704</v>
      </c>
      <c r="BH91" s="15">
        <v>576.072</v>
      </c>
      <c r="BI91" s="6">
        <v>2187.4479999999999</v>
      </c>
      <c r="BL91" s="6">
        <v>6156.96</v>
      </c>
      <c r="BO91" s="6">
        <v>8920.48</v>
      </c>
      <c r="BP91" s="4">
        <v>140.15523828314173</v>
      </c>
      <c r="BQ91" s="6">
        <v>1936.2420000000002</v>
      </c>
      <c r="CD91" s="15">
        <v>297.68799999999999</v>
      </c>
      <c r="CG91" s="15">
        <v>297.68799999999999</v>
      </c>
      <c r="CH91" s="4">
        <v>18.575775076415987</v>
      </c>
      <c r="DI91" s="6">
        <v>1691.64</v>
      </c>
      <c r="DK91" s="6">
        <v>1691.64</v>
      </c>
      <c r="DL91" s="5">
        <v>56.773563681898246</v>
      </c>
      <c r="DM91" s="6">
        <v>1691.64</v>
      </c>
      <c r="DZ91" s="6">
        <v>2046.1224000000002</v>
      </c>
      <c r="EA91" s="6">
        <v>3505.6635499999998</v>
      </c>
      <c r="EB91" s="15">
        <v>17.0688</v>
      </c>
      <c r="EC91" s="6">
        <v>2712.9120000000003</v>
      </c>
      <c r="EF91" s="6">
        <v>8281.7667499999989</v>
      </c>
      <c r="EG91" s="15">
        <v>123.79166904930669</v>
      </c>
      <c r="EY91" s="4">
        <v>2.032</v>
      </c>
      <c r="EZ91" s="5">
        <v>42.671999999999997</v>
      </c>
      <c r="FA91" s="15">
        <v>226.56800000000001</v>
      </c>
      <c r="FF91" s="15">
        <v>271.27199999999999</v>
      </c>
      <c r="FG91" s="5">
        <v>26.856073015654573</v>
      </c>
      <c r="FI91" s="200"/>
      <c r="FJ91" s="200"/>
      <c r="FK91" s="200"/>
      <c r="FL91" s="200"/>
      <c r="GR91" s="6">
        <v>8739.6319999999996</v>
      </c>
      <c r="GT91" s="6">
        <v>8739.6319999999996</v>
      </c>
      <c r="GU91" s="5">
        <v>12.399606756897773</v>
      </c>
    </row>
    <row r="92" spans="1:375" x14ac:dyDescent="0.25">
      <c r="A92" s="2">
        <v>1880</v>
      </c>
      <c r="B92" s="6">
        <v>6917.9151000000002</v>
      </c>
      <c r="C92" s="6">
        <v>3252.6246000000001</v>
      </c>
      <c r="D92" s="6">
        <v>24281.8537</v>
      </c>
      <c r="E92" s="6">
        <v>1473.7979</v>
      </c>
      <c r="H92" s="15">
        <v>578.58440000000007</v>
      </c>
      <c r="I92" s="6">
        <v>36504.775699999998</v>
      </c>
      <c r="J92" s="15">
        <v>273.16602418398679</v>
      </c>
      <c r="K92" s="6">
        <v>22095.319452565363</v>
      </c>
      <c r="T92" s="6">
        <v>5909</v>
      </c>
      <c r="U92" s="5">
        <v>15.390075778783171</v>
      </c>
      <c r="V92" s="6">
        <v>108.85</v>
      </c>
      <c r="AN92" s="6">
        <v>58980.832000000002</v>
      </c>
      <c r="AO92" s="6">
        <v>1489638.88</v>
      </c>
      <c r="AQ92" s="6">
        <v>12414.504000000001</v>
      </c>
      <c r="AT92" s="6">
        <v>1561034.2159999998</v>
      </c>
      <c r="AU92" s="4">
        <v>0.8261559338461949</v>
      </c>
      <c r="AW92" s="15">
        <v>271.17039999999997</v>
      </c>
      <c r="AX92" s="4">
        <v>0.98425196850393704</v>
      </c>
      <c r="BH92" s="15">
        <v>331.21600000000001</v>
      </c>
      <c r="BI92" s="6">
        <v>2976.88</v>
      </c>
      <c r="BL92" s="6">
        <v>5669.28</v>
      </c>
      <c r="BO92" s="6">
        <v>8977.3760000000002</v>
      </c>
      <c r="BP92" s="4">
        <v>145.46811896928457</v>
      </c>
      <c r="BQ92" s="6">
        <v>2665.1503199999997</v>
      </c>
      <c r="CD92" s="4">
        <v>2.032</v>
      </c>
      <c r="CG92" s="4">
        <v>2.032</v>
      </c>
      <c r="CH92" s="4">
        <v>13.000434054270348</v>
      </c>
      <c r="DE92" s="5">
        <v>60.96</v>
      </c>
      <c r="DI92" s="15">
        <v>877.18471910112351</v>
      </c>
      <c r="DK92" s="15">
        <v>938.14471910112354</v>
      </c>
      <c r="DL92" s="5">
        <v>63.592323191905912</v>
      </c>
      <c r="DM92" s="6">
        <v>938.14471910112354</v>
      </c>
      <c r="DZ92" s="6">
        <v>2024.7864000000002</v>
      </c>
      <c r="EA92" s="6">
        <v>4684.0394000000006</v>
      </c>
      <c r="EB92" s="15">
        <v>60.609480000000005</v>
      </c>
      <c r="EC92" s="6">
        <v>2565.16</v>
      </c>
      <c r="EF92" s="6">
        <v>9334.5952800000014</v>
      </c>
      <c r="EG92" s="15">
        <v>150.64600424703366</v>
      </c>
      <c r="EZ92" s="5">
        <v>55.88</v>
      </c>
      <c r="FA92" s="15">
        <v>152.4</v>
      </c>
      <c r="FF92" s="15">
        <v>208.28</v>
      </c>
      <c r="FG92" s="5">
        <v>32.581590060484999</v>
      </c>
      <c r="FI92" s="200"/>
      <c r="FJ92" s="200"/>
      <c r="FK92" s="200"/>
      <c r="FL92" s="200"/>
    </row>
    <row r="93" spans="1:375" x14ac:dyDescent="0.25">
      <c r="A93" s="2">
        <v>1881</v>
      </c>
      <c r="B93" s="6">
        <v>7010.9041000000007</v>
      </c>
      <c r="C93" s="6">
        <v>4199.5262999999995</v>
      </c>
      <c r="D93" s="6">
        <v>24406.502499999999</v>
      </c>
      <c r="E93" s="6">
        <v>1588.0593000000001</v>
      </c>
      <c r="F93" s="4">
        <v>6.4377000000000004</v>
      </c>
      <c r="H93" s="15">
        <v>819.60940000000005</v>
      </c>
      <c r="I93" s="6">
        <v>38031.039300000004</v>
      </c>
      <c r="J93" s="15">
        <v>273.16602418398679</v>
      </c>
      <c r="K93" s="6">
        <v>23097.842968896559</v>
      </c>
      <c r="T93" s="6">
        <v>8086</v>
      </c>
      <c r="U93" s="5">
        <v>14.630992404388698</v>
      </c>
      <c r="AN93" s="6">
        <v>66661.792000000001</v>
      </c>
      <c r="AO93" s="6">
        <v>1797910.5520000001</v>
      </c>
      <c r="AP93" s="4">
        <v>3.048</v>
      </c>
      <c r="AQ93" s="6">
        <v>11341.608</v>
      </c>
      <c r="AT93" s="6">
        <v>1875917</v>
      </c>
      <c r="AU93" s="4">
        <v>0.67105451862323784</v>
      </c>
      <c r="BH93" s="15">
        <v>336.29599999999999</v>
      </c>
      <c r="BI93" s="6">
        <v>3966.4639999999999</v>
      </c>
      <c r="BL93" s="6">
        <v>6858</v>
      </c>
      <c r="BO93" s="6">
        <v>11160.76</v>
      </c>
      <c r="BP93" s="4">
        <v>127.94881352165982</v>
      </c>
      <c r="BQ93" s="6">
        <v>5821.1389799999997</v>
      </c>
      <c r="CH93" s="4">
        <v>14.364101574371066</v>
      </c>
      <c r="DI93" s="15">
        <v>569.16320000000007</v>
      </c>
      <c r="DK93" s="15">
        <v>569.16320000000007</v>
      </c>
      <c r="DL93" s="5">
        <v>60.698650809066315</v>
      </c>
      <c r="DM93" s="6">
        <v>569.16320000000007</v>
      </c>
      <c r="DZ93" s="6">
        <v>2457.9072000000001</v>
      </c>
      <c r="EA93" s="6">
        <v>5586.7426999999989</v>
      </c>
      <c r="EB93" s="15">
        <v>78.105000000000004</v>
      </c>
      <c r="EC93" s="6">
        <v>2409.0640000000003</v>
      </c>
      <c r="EF93" s="6">
        <v>10531.818899999998</v>
      </c>
      <c r="EG93" s="15">
        <v>173.8052141348185</v>
      </c>
      <c r="EY93" s="15">
        <v>179.83199999999999</v>
      </c>
      <c r="EZ93" s="15">
        <v>394.20800000000003</v>
      </c>
      <c r="FA93" s="5">
        <v>32.512</v>
      </c>
      <c r="FF93" s="15">
        <v>606.55199999999991</v>
      </c>
      <c r="FG93" s="5">
        <v>63.326538003224364</v>
      </c>
      <c r="FI93" s="200"/>
      <c r="FJ93" s="200"/>
      <c r="FK93" s="200"/>
      <c r="FL93" s="200"/>
      <c r="NA93" s="5">
        <v>9.232899999999999</v>
      </c>
      <c r="NB93" s="15">
        <v>591.08189192994621</v>
      </c>
      <c r="NJ93" s="4">
        <v>9.232899999999999</v>
      </c>
      <c r="NK93" s="15">
        <v>591.08189192994621</v>
      </c>
    </row>
    <row r="94" spans="1:375" x14ac:dyDescent="0.25">
      <c r="A94" s="2">
        <v>1882</v>
      </c>
      <c r="B94" s="6">
        <v>5753.7799000000005</v>
      </c>
      <c r="C94" s="6">
        <v>3854.9694000000004</v>
      </c>
      <c r="D94" s="6">
        <v>25321.184600000001</v>
      </c>
      <c r="E94" s="6">
        <v>1371.6033</v>
      </c>
      <c r="F94" s="5">
        <v>33.930099999999996</v>
      </c>
      <c r="H94" s="15">
        <v>590.99330000000009</v>
      </c>
      <c r="I94" s="6">
        <v>36926.460600000006</v>
      </c>
      <c r="J94" s="15">
        <v>273.16602418398679</v>
      </c>
      <c r="K94" s="6">
        <v>22464.682471476623</v>
      </c>
      <c r="T94" s="6">
        <v>8086</v>
      </c>
      <c r="U94" s="5">
        <v>15.027132078961635</v>
      </c>
      <c r="AN94" s="6">
        <v>75626.975999999995</v>
      </c>
      <c r="AO94" s="6">
        <v>2143030.5120000001</v>
      </c>
      <c r="AP94" s="5">
        <v>10.16</v>
      </c>
      <c r="AQ94" s="6">
        <v>8943.848</v>
      </c>
      <c r="AT94" s="6">
        <v>2227611.4960000003</v>
      </c>
      <c r="AU94" s="4">
        <v>0.88562901431988561</v>
      </c>
      <c r="AW94" s="15">
        <v>10.16</v>
      </c>
      <c r="AX94" s="4">
        <v>0.98425196850393704</v>
      </c>
      <c r="BH94" s="6">
        <v>1751.5840000000001</v>
      </c>
      <c r="BI94" s="6">
        <v>3648.4560000000001</v>
      </c>
      <c r="BL94" s="6">
        <v>6908.8</v>
      </c>
      <c r="BO94" s="6">
        <v>12308.84</v>
      </c>
      <c r="BP94" s="4">
        <v>106.45389817399527</v>
      </c>
      <c r="BQ94" s="6">
        <v>3502.0856000000003</v>
      </c>
      <c r="CH94" s="4">
        <v>9.8014696898842697</v>
      </c>
      <c r="CN94" s="15">
        <v>137.16</v>
      </c>
      <c r="CR94" s="15">
        <v>137.16</v>
      </c>
      <c r="CS94" s="5">
        <v>19.685039370078741</v>
      </c>
      <c r="DI94" s="15">
        <v>728.87839999999994</v>
      </c>
      <c r="DK94" s="15">
        <v>728.87839999999994</v>
      </c>
      <c r="DL94" s="5">
        <v>63.329885372907476</v>
      </c>
      <c r="DM94" s="6">
        <v>728.87839999999994</v>
      </c>
      <c r="DZ94" s="6">
        <v>3030.4232000000002</v>
      </c>
      <c r="EA94" s="6">
        <v>5329.6693000000005</v>
      </c>
      <c r="EB94" s="15">
        <v>684.40299999999991</v>
      </c>
      <c r="EC94" s="6">
        <v>2397.672</v>
      </c>
      <c r="EE94" s="5">
        <v>19.109792284866469</v>
      </c>
      <c r="EF94" s="6">
        <v>11461.277292284867</v>
      </c>
      <c r="EG94" s="15">
        <v>189.23543942820297</v>
      </c>
      <c r="EY94" s="15">
        <v>128.01599999999999</v>
      </c>
      <c r="EZ94" s="15">
        <v>554.73599999999999</v>
      </c>
      <c r="FA94" s="15">
        <v>171.70400000000001</v>
      </c>
      <c r="FF94" s="15">
        <v>854.4559999999999</v>
      </c>
      <c r="FG94" s="5">
        <v>30.834698153883942</v>
      </c>
      <c r="FI94" s="200"/>
      <c r="FJ94" s="6">
        <v>101.6</v>
      </c>
      <c r="FK94" s="200"/>
      <c r="FL94" s="200"/>
      <c r="FM94" s="5">
        <f>SUM(FI94:FL94)</f>
        <v>101.6</v>
      </c>
      <c r="FN94" s="5">
        <v>44.645000000000003</v>
      </c>
      <c r="GR94" s="6">
        <v>2733.04</v>
      </c>
      <c r="GT94" s="6">
        <v>2733.04</v>
      </c>
      <c r="GU94" s="4">
        <v>0.14196645493662735</v>
      </c>
      <c r="NA94" s="4">
        <v>0.54864000000000013</v>
      </c>
      <c r="NB94" s="15">
        <v>590.55118110236208</v>
      </c>
      <c r="NJ94" s="4">
        <v>0.54864000000000013</v>
      </c>
      <c r="NK94" s="15">
        <v>590.55118110236208</v>
      </c>
    </row>
    <row r="95" spans="1:375" x14ac:dyDescent="0.25">
      <c r="A95" s="2">
        <v>1883</v>
      </c>
      <c r="B95" s="6">
        <v>5394.6059999999998</v>
      </c>
      <c r="C95" s="6">
        <v>3357.1517000000003</v>
      </c>
      <c r="D95" s="6">
        <v>22850.693900000002</v>
      </c>
      <c r="E95" s="6">
        <v>1291.8318000000002</v>
      </c>
      <c r="F95" s="5">
        <v>77.128</v>
      </c>
      <c r="H95" s="15">
        <v>565.1803000000001</v>
      </c>
      <c r="I95" s="6">
        <v>33536.591699999997</v>
      </c>
      <c r="J95" s="15">
        <v>273.16602418398679</v>
      </c>
      <c r="K95" s="6">
        <v>21778.744852298856</v>
      </c>
      <c r="T95" s="6">
        <v>18349</v>
      </c>
      <c r="U95" s="5">
        <v>13.758634407803715</v>
      </c>
      <c r="V95" s="6">
        <v>380.05280332666177</v>
      </c>
      <c r="AN95" s="6">
        <v>106426</v>
      </c>
      <c r="AO95" s="6">
        <v>2561800.3119999999</v>
      </c>
      <c r="AP95" s="15">
        <v>434.84800000000001</v>
      </c>
      <c r="AQ95" s="6">
        <v>9013.9519999999993</v>
      </c>
      <c r="AT95" s="6">
        <v>2677675.1120000002</v>
      </c>
      <c r="AU95" s="4">
        <v>0.93835729066770446</v>
      </c>
      <c r="AW95" s="15">
        <v>335.28000000000003</v>
      </c>
      <c r="AX95" s="4">
        <v>0.98425196850393692</v>
      </c>
      <c r="BH95" s="6">
        <v>1828.8</v>
      </c>
      <c r="BI95" s="6">
        <v>6156.96</v>
      </c>
      <c r="BL95" s="6">
        <v>6055.36</v>
      </c>
      <c r="BO95" s="6">
        <v>14041.12</v>
      </c>
      <c r="BP95" s="4">
        <v>124.50659206672971</v>
      </c>
      <c r="BQ95" s="6">
        <v>5374.0720000000001</v>
      </c>
      <c r="CH95" s="4">
        <v>15.424140593689776</v>
      </c>
      <c r="CN95" s="15">
        <v>338.32800000000003</v>
      </c>
      <c r="CR95" s="15">
        <v>338.32800000000003</v>
      </c>
      <c r="CS95" s="2">
        <v>12.5</v>
      </c>
      <c r="DI95" s="15">
        <v>369.11279999999999</v>
      </c>
      <c r="DK95" s="6">
        <v>369.11279999999999</v>
      </c>
      <c r="DL95" s="5">
        <v>29.187043547068971</v>
      </c>
      <c r="DM95" s="6">
        <v>387.90879999999999</v>
      </c>
      <c r="DZ95" s="6">
        <v>2939.3896000000004</v>
      </c>
      <c r="EA95" s="6">
        <v>4250.1820000000007</v>
      </c>
      <c r="EB95" s="15">
        <v>59.817</v>
      </c>
      <c r="EC95" s="6">
        <v>2310.6959999999999</v>
      </c>
      <c r="EE95" s="5">
        <v>5.4005934718100885</v>
      </c>
      <c r="EF95" s="6">
        <v>9565.4851934718117</v>
      </c>
      <c r="EG95" s="15">
        <v>177.86793690950813</v>
      </c>
      <c r="EY95" s="15">
        <v>267.20800000000003</v>
      </c>
      <c r="EZ95" s="15">
        <v>199.136</v>
      </c>
      <c r="FA95" s="5">
        <v>16.256</v>
      </c>
      <c r="FF95" s="15">
        <v>482.6</v>
      </c>
      <c r="FG95" s="5">
        <v>29.117399467657407</v>
      </c>
      <c r="FI95" s="200"/>
      <c r="FJ95" s="200"/>
      <c r="FK95" s="200"/>
      <c r="FL95" s="200"/>
      <c r="GR95" s="15">
        <v>735.58400000000006</v>
      </c>
      <c r="GT95" s="6">
        <v>735.58400000000006</v>
      </c>
      <c r="GU95" s="4">
        <v>8.0589028581372073</v>
      </c>
      <c r="NA95" s="4">
        <v>0.75184000000000006</v>
      </c>
      <c r="NB95" s="6">
        <v>1729.0912960204298</v>
      </c>
      <c r="NJ95" s="4">
        <v>0.75184000000000006</v>
      </c>
      <c r="NK95" s="6">
        <v>1729.0912960204298</v>
      </c>
    </row>
    <row r="96" spans="1:375" x14ac:dyDescent="0.25">
      <c r="A96" s="2">
        <v>1884</v>
      </c>
      <c r="B96" s="6">
        <v>7778.9497000000001</v>
      </c>
      <c r="C96" s="6">
        <v>2899.7640000000001</v>
      </c>
      <c r="D96" s="6">
        <v>22802.799900000002</v>
      </c>
      <c r="E96" s="6">
        <v>1174.3981999999999</v>
      </c>
      <c r="F96" s="15">
        <v>113.26620000000001</v>
      </c>
      <c r="H96" s="15">
        <v>570.6228000000001</v>
      </c>
      <c r="I96" s="6">
        <v>35339.800800000005</v>
      </c>
      <c r="J96" s="15">
        <v>273.16602418398679</v>
      </c>
      <c r="K96" s="6">
        <v>23939.53336854422</v>
      </c>
      <c r="T96" s="6">
        <v>32344</v>
      </c>
      <c r="U96" s="5">
        <v>13.581276192116386</v>
      </c>
      <c r="V96" s="6">
        <v>38515.009772168858</v>
      </c>
      <c r="AN96" s="6">
        <v>122658.632</v>
      </c>
      <c r="AO96" s="6">
        <v>2793094.7439999999</v>
      </c>
      <c r="AP96" s="6">
        <v>3332.48</v>
      </c>
      <c r="AQ96" s="6">
        <v>7309.1040000000003</v>
      </c>
      <c r="AT96" s="6">
        <v>2926394.96</v>
      </c>
      <c r="AU96" s="4">
        <v>0.93307038925135721</v>
      </c>
      <c r="AW96" s="15">
        <v>586.74</v>
      </c>
      <c r="AX96" s="4">
        <v>0.98425196850393704</v>
      </c>
      <c r="BH96" s="6">
        <v>1679.4480000000001</v>
      </c>
      <c r="BI96" s="6">
        <v>7376.16</v>
      </c>
      <c r="BL96" s="6">
        <v>8829.0400000000009</v>
      </c>
      <c r="BO96" s="6">
        <v>17884.648000000001</v>
      </c>
      <c r="BP96" s="4">
        <v>96.63695925130871</v>
      </c>
      <c r="BQ96" s="6">
        <v>6983.4796000000006</v>
      </c>
      <c r="CH96" s="4">
        <v>12.867158514063352</v>
      </c>
      <c r="CK96" s="15">
        <v>203.2</v>
      </c>
      <c r="CN96" s="5">
        <v>59.944000000000003</v>
      </c>
      <c r="CR96" s="15">
        <v>263.14400000000001</v>
      </c>
      <c r="CS96" s="2">
        <v>12.5</v>
      </c>
      <c r="DE96" s="15">
        <v>193.44640000000004</v>
      </c>
      <c r="DI96" s="15">
        <v>247.49760000000001</v>
      </c>
      <c r="DK96" s="6">
        <v>440.94400000000007</v>
      </c>
      <c r="DL96" s="5">
        <v>12.987695759586154</v>
      </c>
      <c r="DM96" s="6">
        <v>440.94400000000007</v>
      </c>
      <c r="DZ96" s="6">
        <v>2405.9896000000003</v>
      </c>
      <c r="EA96" s="6">
        <v>3870.8330000000005</v>
      </c>
      <c r="EB96" s="15">
        <v>29.585919999999998</v>
      </c>
      <c r="EC96" s="6">
        <v>2325.3199999999997</v>
      </c>
      <c r="EE96" s="5">
        <v>23.679525222551923</v>
      </c>
      <c r="EF96" s="6">
        <v>8655.4080452225517</v>
      </c>
      <c r="EG96" s="15">
        <v>154.02962285544729</v>
      </c>
      <c r="EY96" s="15">
        <v>379.98399999999998</v>
      </c>
      <c r="EZ96" s="15">
        <v>226.56800000000001</v>
      </c>
      <c r="FA96" s="5">
        <v>28.617333333333335</v>
      </c>
      <c r="FF96" s="15">
        <v>635.16933333333338</v>
      </c>
      <c r="FG96" s="5">
        <v>29.318723305343287</v>
      </c>
      <c r="FI96" s="200"/>
      <c r="FJ96" s="200"/>
      <c r="FK96" s="200"/>
      <c r="FL96" s="200"/>
      <c r="GR96" s="6">
        <v>3741.9279999999999</v>
      </c>
      <c r="GT96" s="6">
        <v>3741.9279999999999</v>
      </c>
      <c r="GU96" s="4">
        <v>4.0404304946540925</v>
      </c>
      <c r="NA96" s="5">
        <v>2.9210000000000003</v>
      </c>
      <c r="NB96" s="6">
        <v>1896.6107497432386</v>
      </c>
      <c r="NJ96" s="4">
        <v>2.9210000000000003</v>
      </c>
      <c r="NK96" s="6">
        <v>1896.6107497432386</v>
      </c>
    </row>
    <row r="97" spans="1:375" x14ac:dyDescent="0.25">
      <c r="A97" s="2">
        <v>1885</v>
      </c>
      <c r="B97" s="6">
        <v>7779.2606999999998</v>
      </c>
      <c r="C97" s="6">
        <v>2772.4095000000002</v>
      </c>
      <c r="D97" s="6">
        <v>21531.774000000001</v>
      </c>
      <c r="E97" s="6">
        <v>1137.1093000000001</v>
      </c>
      <c r="F97" s="15">
        <v>133.9477</v>
      </c>
      <c r="H97" s="15">
        <v>515.54470000000003</v>
      </c>
      <c r="I97" s="6">
        <v>33870.045899999997</v>
      </c>
      <c r="J97" s="15">
        <v>273.16602418398679</v>
      </c>
      <c r="K97" s="6">
        <v>23671.953933123987</v>
      </c>
      <c r="T97" s="6">
        <v>51626</v>
      </c>
      <c r="U97" s="5">
        <v>12.890259171638196</v>
      </c>
      <c r="V97" s="6">
        <v>58214.237860076631</v>
      </c>
      <c r="AN97" s="6">
        <v>213053.16800000001</v>
      </c>
      <c r="AO97" s="6">
        <v>2924924.8080000002</v>
      </c>
      <c r="AP97" s="15">
        <v>812.8</v>
      </c>
      <c r="AQ97" s="6">
        <v>6760.4639999999999</v>
      </c>
      <c r="AT97" s="6">
        <v>3145551.24</v>
      </c>
      <c r="AU97" s="4">
        <v>0.91640851507318466</v>
      </c>
      <c r="AW97" s="15">
        <v>812.8</v>
      </c>
      <c r="AX97" s="4">
        <v>0.98425196850393704</v>
      </c>
      <c r="BH97" s="6">
        <v>1361.44</v>
      </c>
      <c r="BI97" s="6">
        <v>5171.4399999999996</v>
      </c>
      <c r="BL97" s="6">
        <v>7630.16</v>
      </c>
      <c r="BN97" s="15">
        <v>267.20800000000003</v>
      </c>
      <c r="BO97" s="6">
        <v>14430.248</v>
      </c>
      <c r="BP97" s="4">
        <v>73.19319806561883</v>
      </c>
      <c r="BQ97" s="6">
        <v>5461.5187999999998</v>
      </c>
      <c r="CA97" s="15">
        <v>457.14920000000001</v>
      </c>
      <c r="CG97" s="15">
        <v>457.14920000000001</v>
      </c>
      <c r="CH97" s="4">
        <v>12.159026988207408</v>
      </c>
      <c r="CN97" s="15">
        <v>132.08000000000001</v>
      </c>
      <c r="CR97" s="15">
        <v>132.08000000000001</v>
      </c>
      <c r="CS97" s="2">
        <v>12.5</v>
      </c>
      <c r="DE97" s="6">
        <v>3141.5171681688394</v>
      </c>
      <c r="DI97" s="15">
        <v>165.35400000000001</v>
      </c>
      <c r="DK97" s="6">
        <v>3306.8711681688392</v>
      </c>
      <c r="DL97" s="5">
        <v>23.167505546803589</v>
      </c>
      <c r="DM97" s="6">
        <v>3349.5431681688392</v>
      </c>
      <c r="DZ97" s="6">
        <v>2313.5336000000002</v>
      </c>
      <c r="EA97" s="6">
        <v>3546.7861499999999</v>
      </c>
      <c r="EC97" s="6">
        <v>2360.88</v>
      </c>
      <c r="EE97" s="5">
        <v>2.0771513353115725</v>
      </c>
      <c r="EF97" s="6">
        <v>8223.2769013353118</v>
      </c>
      <c r="EG97" s="15">
        <v>157.55082174520214</v>
      </c>
      <c r="EZ97" s="15">
        <v>136.14400000000001</v>
      </c>
      <c r="FA97" s="5">
        <v>28.617333333333335</v>
      </c>
      <c r="FF97" s="15">
        <v>164.76133333333334</v>
      </c>
      <c r="FG97" s="5">
        <v>28.887080831377716</v>
      </c>
      <c r="FI97" s="200"/>
      <c r="FJ97" s="200"/>
      <c r="FK97" s="200"/>
      <c r="FL97" s="200"/>
      <c r="GR97" s="15">
        <v>936.75200000000007</v>
      </c>
      <c r="GT97" s="6">
        <v>936.75200000000007</v>
      </c>
      <c r="GU97" s="4">
        <v>7.3274463251746456</v>
      </c>
      <c r="NA97" s="5">
        <v>2.8793440000000001</v>
      </c>
      <c r="NB97" s="6">
        <v>2570.0298401302516</v>
      </c>
      <c r="NJ97" s="4">
        <v>2.8793440000000001</v>
      </c>
      <c r="NK97" s="6">
        <v>2570.0298401302516</v>
      </c>
    </row>
    <row r="98" spans="1:375" x14ac:dyDescent="0.25">
      <c r="A98" s="2">
        <v>1886</v>
      </c>
      <c r="B98" s="6">
        <v>8692.0768000000007</v>
      </c>
      <c r="C98" s="6">
        <v>2681.8463000000002</v>
      </c>
      <c r="D98" s="6">
        <v>19481.102199999998</v>
      </c>
      <c r="E98" s="15">
        <v>858.45330000000001</v>
      </c>
      <c r="F98" s="15">
        <v>238.19490000000002</v>
      </c>
      <c r="G98" s="4">
        <v>8.3970000000000002</v>
      </c>
      <c r="H98" s="15">
        <v>462.2704</v>
      </c>
      <c r="I98" s="6">
        <v>32422.340899999999</v>
      </c>
      <c r="J98" s="15">
        <v>273.16602418398679</v>
      </c>
      <c r="K98" s="6">
        <v>23751.567567317714</v>
      </c>
      <c r="T98" s="6">
        <v>87391</v>
      </c>
      <c r="U98" s="5">
        <v>12.51071016685844</v>
      </c>
      <c r="V98" s="6">
        <v>49046.776791580342</v>
      </c>
      <c r="AN98" s="6">
        <v>232314.49600000001</v>
      </c>
      <c r="AO98" s="6">
        <v>2875457.8</v>
      </c>
      <c r="AP98" s="6">
        <v>1105.4079999999999</v>
      </c>
      <c r="AQ98" s="6">
        <v>10557.255999999999</v>
      </c>
      <c r="AT98" s="6">
        <v>3119434.9599999995</v>
      </c>
      <c r="AU98" s="4">
        <v>0.90640453843558411</v>
      </c>
      <c r="AW98" s="6">
        <v>1234.44</v>
      </c>
      <c r="AX98" s="4">
        <v>0.98425196850393692</v>
      </c>
      <c r="BH98" s="15">
        <v>914.4</v>
      </c>
      <c r="BI98" s="6">
        <v>3894.328</v>
      </c>
      <c r="BL98" s="6">
        <v>5862.32</v>
      </c>
      <c r="BN98" s="15">
        <v>568.96</v>
      </c>
      <c r="BO98" s="6">
        <v>11240.008</v>
      </c>
      <c r="BP98" s="4">
        <v>66.904222843969507</v>
      </c>
      <c r="BQ98" s="6">
        <v>4115.5291724137933</v>
      </c>
      <c r="CH98" s="4">
        <v>10.183826299495014</v>
      </c>
      <c r="CN98" s="6">
        <v>1574.8</v>
      </c>
      <c r="CR98" s="6">
        <v>1574.8</v>
      </c>
      <c r="CS98" s="2">
        <v>12.5</v>
      </c>
      <c r="DE98" s="6">
        <v>3590.1689521418443</v>
      </c>
      <c r="DI98" s="15">
        <v>217.27160000000001</v>
      </c>
      <c r="DK98" s="6">
        <v>3807.4405521418444</v>
      </c>
      <c r="DL98" s="5">
        <v>36.21508601797737</v>
      </c>
      <c r="DM98" s="6">
        <v>4152.9313521418444</v>
      </c>
      <c r="DZ98" s="6">
        <v>2242.4135999999999</v>
      </c>
      <c r="EA98" s="6">
        <v>3008.1219999999994</v>
      </c>
      <c r="EB98" s="15">
        <v>0.99060000000000004</v>
      </c>
      <c r="EC98" s="6">
        <v>2177.384</v>
      </c>
      <c r="EE98" s="5">
        <v>7.4777448071216615</v>
      </c>
      <c r="EF98" s="6">
        <v>7436.3879448071211</v>
      </c>
      <c r="EG98" s="15">
        <v>185.30128253895799</v>
      </c>
      <c r="EY98" s="5">
        <v>55.88</v>
      </c>
      <c r="EZ98" s="15">
        <v>166.624</v>
      </c>
      <c r="FA98" s="5">
        <v>28.617333333333335</v>
      </c>
      <c r="FF98" s="15">
        <v>251.12133333333333</v>
      </c>
      <c r="FG98" s="5">
        <v>24.365776353738319</v>
      </c>
      <c r="FI98" s="200"/>
      <c r="FJ98" s="200"/>
      <c r="FK98" s="200"/>
      <c r="FL98" s="200"/>
      <c r="GR98" s="6">
        <v>10233.152</v>
      </c>
      <c r="GT98" s="6">
        <v>10233.152</v>
      </c>
      <c r="GU98" s="5">
        <v>12.903893150419343</v>
      </c>
      <c r="NA98" s="5">
        <v>4.24688</v>
      </c>
      <c r="NB98" s="6">
        <v>1822.5144105790605</v>
      </c>
      <c r="NJ98" s="4">
        <v>4.24688</v>
      </c>
      <c r="NK98" s="6">
        <v>1822.5144105790605</v>
      </c>
    </row>
    <row r="99" spans="1:375" x14ac:dyDescent="0.25">
      <c r="A99" s="2">
        <v>1887</v>
      </c>
      <c r="B99" s="6">
        <v>10850.478999999999</v>
      </c>
      <c r="C99" s="6">
        <v>2888.9412000000002</v>
      </c>
      <c r="D99" s="6">
        <v>18091.616400000003</v>
      </c>
      <c r="E99" s="6">
        <v>1160.7141999999999</v>
      </c>
      <c r="F99" s="15">
        <v>527.17610000000002</v>
      </c>
      <c r="G99" s="15">
        <v>135.56489999999999</v>
      </c>
      <c r="H99" s="15">
        <v>503.54010000000005</v>
      </c>
      <c r="I99" s="6">
        <v>34158.031899999994</v>
      </c>
      <c r="J99" s="15">
        <v>273.17437317836573</v>
      </c>
      <c r="K99" s="6">
        <v>25655.351548891431</v>
      </c>
      <c r="T99" s="6">
        <v>109161</v>
      </c>
      <c r="U99" s="5">
        <v>11.772362966145648</v>
      </c>
      <c r="V99" s="6">
        <v>92898.822146174323</v>
      </c>
      <c r="AN99" s="6">
        <v>242634.008</v>
      </c>
      <c r="AO99" s="6">
        <v>2969256.952</v>
      </c>
      <c r="AP99" s="6">
        <v>3410.712</v>
      </c>
      <c r="AQ99" s="6">
        <v>28075.128000000001</v>
      </c>
      <c r="AT99" s="6">
        <v>3243376.8</v>
      </c>
      <c r="AU99" s="4">
        <v>0.90673392149053722</v>
      </c>
      <c r="AW99" s="6">
        <v>3143.1484</v>
      </c>
      <c r="AX99" s="4">
        <v>1.4763779527559056</v>
      </c>
      <c r="BH99" s="6">
        <v>1026.1600000000001</v>
      </c>
      <c r="BI99" s="6">
        <v>2741.1680000000001</v>
      </c>
      <c r="BL99" s="6">
        <v>5313.68</v>
      </c>
      <c r="BN99" s="15">
        <v>143.256</v>
      </c>
      <c r="BO99" s="6">
        <v>9224.264000000001</v>
      </c>
      <c r="BP99" s="4">
        <v>80.141678512236851</v>
      </c>
      <c r="BQ99" s="6">
        <v>2928.1308413793099</v>
      </c>
      <c r="CH99" s="4">
        <v>10.573964968569664</v>
      </c>
      <c r="CN99" s="6">
        <v>1475.232</v>
      </c>
      <c r="CR99" s="6">
        <v>1475.232</v>
      </c>
      <c r="CS99" s="2">
        <v>12.5</v>
      </c>
      <c r="DE99" s="6">
        <v>11161.516751487497</v>
      </c>
      <c r="DI99" s="15">
        <v>239.268</v>
      </c>
      <c r="DK99" s="6">
        <v>11400.784751487497</v>
      </c>
      <c r="DL99" s="5">
        <v>29.799446135547399</v>
      </c>
      <c r="DM99" s="6">
        <v>12458.440751487498</v>
      </c>
      <c r="DZ99" s="6">
        <v>2332.0247999999997</v>
      </c>
      <c r="EA99" s="6">
        <v>3206.8134999999993</v>
      </c>
      <c r="EB99" s="15">
        <v>4.6228000000000007</v>
      </c>
      <c r="EC99" s="6">
        <v>2136.7439999999997</v>
      </c>
      <c r="EE99" s="5">
        <v>19.525222551928781</v>
      </c>
      <c r="EF99" s="6">
        <v>7699.7303225519281</v>
      </c>
      <c r="EG99" s="15">
        <v>208.48444639844328</v>
      </c>
      <c r="EZ99" s="5">
        <v>98.552000000000007</v>
      </c>
      <c r="FA99" s="5">
        <v>28.617333333333335</v>
      </c>
      <c r="FF99" s="15">
        <v>127.16933333333334</v>
      </c>
      <c r="FG99" s="5">
        <v>19.188090054231786</v>
      </c>
      <c r="FI99" s="200"/>
      <c r="FJ99" s="200"/>
      <c r="FK99" s="200"/>
      <c r="FL99" s="200"/>
      <c r="GR99" s="6">
        <v>3413.76</v>
      </c>
      <c r="GT99" s="6">
        <v>3413.76</v>
      </c>
      <c r="GU99" s="5">
        <v>12.026035808023996</v>
      </c>
      <c r="MY99" s="5">
        <v>2.032</v>
      </c>
      <c r="NA99" s="5">
        <v>7.4269600000000002</v>
      </c>
      <c r="NB99" s="6">
        <v>1802.8910886823141</v>
      </c>
      <c r="NJ99" s="4">
        <v>9.4589600000000011</v>
      </c>
      <c r="NK99" s="6">
        <v>1415.5890288150069</v>
      </c>
    </row>
    <row r="100" spans="1:375" x14ac:dyDescent="0.25">
      <c r="A100" s="2">
        <v>1888</v>
      </c>
      <c r="B100" s="6">
        <v>12376.9292</v>
      </c>
      <c r="C100" s="6">
        <v>2322.7035000000001</v>
      </c>
      <c r="D100" s="6">
        <v>18304.651400000002</v>
      </c>
      <c r="E100" s="6">
        <v>1077.3973000000001</v>
      </c>
      <c r="F100" s="15">
        <v>250.41720000000001</v>
      </c>
      <c r="G100" s="5">
        <v>97.1875</v>
      </c>
      <c r="H100" s="15">
        <v>254.80230000000003</v>
      </c>
      <c r="I100" s="6">
        <v>34684.088400000008</v>
      </c>
      <c r="J100" s="15">
        <v>273.15785607900528</v>
      </c>
      <c r="K100" s="6">
        <v>26308.964376534826</v>
      </c>
      <c r="T100" s="6">
        <v>193131</v>
      </c>
      <c r="U100" s="5">
        <v>11.430932293450214</v>
      </c>
      <c r="V100" s="6">
        <v>189824.25273446823</v>
      </c>
      <c r="AN100" s="6">
        <v>316394.592</v>
      </c>
      <c r="AO100" s="6">
        <v>3254699.1039999998</v>
      </c>
      <c r="AP100" s="6">
        <v>8710.1679999999997</v>
      </c>
      <c r="AQ100" s="6">
        <v>42242.232000000004</v>
      </c>
      <c r="AT100" s="6">
        <v>3622046.0959999999</v>
      </c>
      <c r="AU100" s="4">
        <v>0.89421381686079138</v>
      </c>
      <c r="AW100" s="6">
        <v>7688.9356000000007</v>
      </c>
      <c r="AX100" s="4">
        <v>1.5994411502159023</v>
      </c>
      <c r="BH100" s="6">
        <v>1144.0160000000001</v>
      </c>
      <c r="BI100" s="6">
        <v>3795.7759999999998</v>
      </c>
      <c r="BL100" s="6">
        <v>4043.68</v>
      </c>
      <c r="BN100" s="15">
        <v>180.84800000000001</v>
      </c>
      <c r="BO100" s="6">
        <v>9164.32</v>
      </c>
      <c r="BP100" s="4">
        <v>127.83032456308815</v>
      </c>
      <c r="BQ100" s="6">
        <v>3078.6383172413798</v>
      </c>
      <c r="CH100" s="4">
        <v>12.461938054380511</v>
      </c>
      <c r="CN100" s="6">
        <v>1037.336</v>
      </c>
      <c r="CR100" s="6">
        <v>1037.336</v>
      </c>
      <c r="CS100" s="4">
        <v>6.3976377952755907</v>
      </c>
      <c r="DE100" s="6">
        <v>24973.020034943231</v>
      </c>
      <c r="DI100" s="15">
        <v>270.25600000000003</v>
      </c>
      <c r="DK100" s="6">
        <v>25243.276034943232</v>
      </c>
      <c r="DL100" s="5">
        <v>28.35805071776355</v>
      </c>
      <c r="DM100" s="6">
        <v>26344.079522943233</v>
      </c>
      <c r="DZ100" s="6">
        <v>2550.3632000000002</v>
      </c>
      <c r="EA100" s="6">
        <v>1833.3504100000002</v>
      </c>
      <c r="EB100" s="15">
        <v>35.991799999999998</v>
      </c>
      <c r="EC100" s="6">
        <v>2175.3519999999999</v>
      </c>
      <c r="EE100" s="5">
        <v>59.406528189910802</v>
      </c>
      <c r="EF100" s="6">
        <v>6654.4639381899115</v>
      </c>
      <c r="EG100" s="15">
        <v>238.43744422776845</v>
      </c>
      <c r="EZ100" s="15">
        <v>105.664</v>
      </c>
      <c r="FA100" s="5">
        <v>28.617333333333335</v>
      </c>
      <c r="FF100" s="15">
        <v>134.28133333333335</v>
      </c>
      <c r="FG100" s="5">
        <v>30.176487986283039</v>
      </c>
      <c r="FI100" s="200"/>
      <c r="FJ100" s="200"/>
      <c r="FK100" s="200"/>
      <c r="FL100" s="200"/>
      <c r="GR100" s="6">
        <v>3643.3760000000002</v>
      </c>
      <c r="GT100" s="6">
        <v>3643.3760000000002</v>
      </c>
      <c r="GU100" s="4">
        <v>6.8288312817562611</v>
      </c>
      <c r="NA100" s="5">
        <v>3.6718240000000004</v>
      </c>
      <c r="NB100" s="6">
        <v>2130.276396690037</v>
      </c>
      <c r="NJ100" s="4">
        <v>3.6718240000000004</v>
      </c>
      <c r="NK100" s="6">
        <v>2130.276396690037</v>
      </c>
    </row>
    <row r="101" spans="1:375" x14ac:dyDescent="0.25">
      <c r="A101" s="2">
        <v>1889</v>
      </c>
      <c r="B101" s="6">
        <v>19736.215499999998</v>
      </c>
      <c r="C101" s="6">
        <v>3183.3027000000002</v>
      </c>
      <c r="D101" s="6">
        <v>18006.309100000002</v>
      </c>
      <c r="E101" s="15">
        <v>876.39800000000002</v>
      </c>
      <c r="F101" s="15">
        <v>273.12020000000001</v>
      </c>
      <c r="G101" s="15">
        <v>431.04599999999999</v>
      </c>
      <c r="H101" s="15">
        <v>348.87979999999999</v>
      </c>
      <c r="I101" s="6">
        <v>42855.271300000008</v>
      </c>
      <c r="J101" s="15">
        <v>273.16360153265236</v>
      </c>
      <c r="K101" s="6">
        <v>35072.798963747955</v>
      </c>
      <c r="T101" s="6">
        <v>314110</v>
      </c>
      <c r="U101" s="5">
        <v>11.106598788083208</v>
      </c>
      <c r="V101" s="6">
        <v>221879.05918942014</v>
      </c>
      <c r="AN101" s="6">
        <v>269755.11200000002</v>
      </c>
      <c r="AO101" s="6">
        <v>3714122.1120000002</v>
      </c>
      <c r="AP101" s="6">
        <v>14829.536</v>
      </c>
      <c r="AQ101" s="6">
        <v>37287.199999999997</v>
      </c>
      <c r="AT101" s="6">
        <v>4035993.9600000004</v>
      </c>
      <c r="AU101" s="4">
        <v>0.87980306017466769</v>
      </c>
      <c r="AW101" s="15">
        <v>563.16879999999992</v>
      </c>
      <c r="AX101" s="4">
        <v>0.49718663391864043</v>
      </c>
      <c r="BH101" s="6">
        <v>1096.2640000000001</v>
      </c>
      <c r="BI101" s="6">
        <v>2340.864</v>
      </c>
      <c r="BL101" s="6">
        <v>4003.04</v>
      </c>
      <c r="BN101" s="15">
        <v>222.50399999999999</v>
      </c>
      <c r="BO101" s="6">
        <v>7662.6720000000005</v>
      </c>
      <c r="BP101" s="4">
        <v>116.21142076810804</v>
      </c>
      <c r="BQ101" s="6">
        <v>1538.9189517241377</v>
      </c>
      <c r="CA101" s="15">
        <v>496.87479999999999</v>
      </c>
      <c r="CD101" s="6">
        <v>4467.3519999999999</v>
      </c>
      <c r="CG101" s="6">
        <v>4964.2267999999995</v>
      </c>
      <c r="CH101" s="4">
        <v>16.885524435094919</v>
      </c>
      <c r="CN101" s="6">
        <v>1621.5360000000001</v>
      </c>
      <c r="CR101" s="6">
        <v>1621.5360000000001</v>
      </c>
      <c r="CS101" s="4">
        <v>4.8499372361063564</v>
      </c>
      <c r="DE101" s="6">
        <v>28937.172898964858</v>
      </c>
      <c r="DI101" s="2">
        <v>127</v>
      </c>
      <c r="DK101" s="6">
        <v>29064.172898964858</v>
      </c>
      <c r="DL101" s="5">
        <v>25.293183843116683</v>
      </c>
      <c r="DM101" s="6">
        <v>29975.118498964857</v>
      </c>
      <c r="DP101" s="5">
        <v>34.543999999999997</v>
      </c>
      <c r="DS101" s="15">
        <v>495.80799999999999</v>
      </c>
      <c r="DV101" s="15">
        <v>530.35199999999998</v>
      </c>
      <c r="DW101" s="5">
        <v>80</v>
      </c>
      <c r="DZ101" s="6">
        <v>2157.0696000000003</v>
      </c>
      <c r="EA101" s="6">
        <v>2460.1970100000003</v>
      </c>
      <c r="EB101" s="15">
        <v>71.917560000000009</v>
      </c>
      <c r="EC101" s="6">
        <v>2057.4960000000001</v>
      </c>
      <c r="ED101" s="5">
        <v>3.556</v>
      </c>
      <c r="EE101" s="5">
        <v>63.145400593471585</v>
      </c>
      <c r="EF101" s="6">
        <v>6813.3815705934721</v>
      </c>
      <c r="EG101" s="15">
        <v>175.75607484548303</v>
      </c>
      <c r="EY101" s="5">
        <v>29.463999999999999</v>
      </c>
      <c r="EZ101" s="15">
        <v>144.27199999999999</v>
      </c>
      <c r="FA101" s="5">
        <v>28.617333333333335</v>
      </c>
      <c r="FF101" s="15">
        <v>202.35333333333332</v>
      </c>
      <c r="FG101" s="5">
        <v>29.732055850742231</v>
      </c>
      <c r="FI101" s="200"/>
      <c r="FJ101" s="200"/>
      <c r="FK101" s="200"/>
      <c r="FL101" s="200"/>
      <c r="GR101" s="6">
        <v>3640.328</v>
      </c>
      <c r="GT101" s="6">
        <v>3640.328</v>
      </c>
      <c r="GU101" s="4">
        <v>4.6633160528391944</v>
      </c>
      <c r="MY101" s="5">
        <v>26.416</v>
      </c>
      <c r="MZ101" s="15">
        <v>332.37431859479102</v>
      </c>
      <c r="NA101" s="5">
        <v>8.636000000000001</v>
      </c>
      <c r="NB101" s="6">
        <v>2628.3001389532187</v>
      </c>
      <c r="NJ101" s="5">
        <v>35.052</v>
      </c>
      <c r="NK101" s="15">
        <v>898.0372018715052</v>
      </c>
    </row>
    <row r="102" spans="1:375" x14ac:dyDescent="0.25">
      <c r="A102" s="2">
        <v>1890</v>
      </c>
      <c r="B102" s="6">
        <v>15979.7709</v>
      </c>
      <c r="C102" s="6">
        <v>3369.9960000000001</v>
      </c>
      <c r="D102" s="6">
        <v>17236.708500000001</v>
      </c>
      <c r="E102" s="15">
        <v>555.63260000000002</v>
      </c>
      <c r="F102" s="15">
        <v>152.35890000000001</v>
      </c>
      <c r="G102" s="15">
        <v>634.50220000000002</v>
      </c>
      <c r="H102" s="15">
        <v>591.39760000000001</v>
      </c>
      <c r="I102" s="6">
        <v>38520.366699999991</v>
      </c>
      <c r="J102" s="15">
        <v>273.1660062102651</v>
      </c>
      <c r="K102" s="6">
        <v>30114.790877075902</v>
      </c>
      <c r="T102" s="6">
        <v>456237</v>
      </c>
      <c r="U102" s="5">
        <v>12.356588729901858</v>
      </c>
      <c r="V102" s="6">
        <v>266233.86467587278</v>
      </c>
      <c r="AN102" s="6">
        <v>343757.50400000002</v>
      </c>
      <c r="AO102" s="6">
        <v>3109850.0159999998</v>
      </c>
      <c r="AP102" s="6">
        <v>14834.616</v>
      </c>
      <c r="AQ102" s="6">
        <v>51327.304000000004</v>
      </c>
      <c r="AT102" s="6">
        <v>3519769.44</v>
      </c>
      <c r="AU102" s="4">
        <v>0.84052732519837348</v>
      </c>
      <c r="AW102" s="6">
        <v>10015.219999999999</v>
      </c>
      <c r="AX102" s="4">
        <v>0.49924015648183467</v>
      </c>
      <c r="BH102" s="15">
        <v>187.96</v>
      </c>
      <c r="BI102" s="6">
        <v>2151.8879999999999</v>
      </c>
      <c r="BL102" s="6">
        <v>4663.4399999999996</v>
      </c>
      <c r="BN102" s="15">
        <v>153.416</v>
      </c>
      <c r="BO102" s="6">
        <v>7156.7039999999997</v>
      </c>
      <c r="BP102" s="4">
        <v>95.009658077237788</v>
      </c>
      <c r="BQ102" s="6">
        <v>6951.053144827586</v>
      </c>
      <c r="BS102" s="15">
        <v>731.5</v>
      </c>
      <c r="BV102" s="15">
        <v>731.5</v>
      </c>
      <c r="BW102" s="4">
        <v>0.91592617908407381</v>
      </c>
      <c r="CA102" s="15">
        <v>462.58480000000003</v>
      </c>
      <c r="CD102" s="6">
        <v>4030.4720000000002</v>
      </c>
      <c r="CG102" s="6">
        <v>4493.0568000000003</v>
      </c>
      <c r="CH102" s="4">
        <v>23.037966624360038</v>
      </c>
      <c r="CK102" s="15">
        <v>101.6</v>
      </c>
      <c r="CN102" s="6">
        <v>2808.2240000000002</v>
      </c>
      <c r="CR102" s="6">
        <v>2909.8240000000001</v>
      </c>
      <c r="CS102" s="4">
        <v>5.7824803149606296</v>
      </c>
      <c r="DE102" s="6">
        <v>34345.815483098624</v>
      </c>
      <c r="DI102" s="15">
        <v>108.458</v>
      </c>
      <c r="DK102" s="6">
        <v>34454.273483098623</v>
      </c>
      <c r="DL102" s="5">
        <v>24.793775778027747</v>
      </c>
      <c r="DM102" s="6">
        <v>35356.735483098622</v>
      </c>
      <c r="DP102" s="5">
        <v>75.183999999999997</v>
      </c>
      <c r="DS102" s="5">
        <v>17.271999999999998</v>
      </c>
      <c r="DV102" s="5">
        <v>92.455999999999989</v>
      </c>
      <c r="DW102" s="5">
        <v>80</v>
      </c>
      <c r="DZ102" s="6">
        <v>2112.2640000000001</v>
      </c>
      <c r="EA102" s="6">
        <v>2081.452276</v>
      </c>
      <c r="EB102" s="15">
        <v>600.63380000000006</v>
      </c>
      <c r="EC102" s="6">
        <v>1950.4159999999999</v>
      </c>
      <c r="ED102" s="5">
        <v>48.005999999999993</v>
      </c>
      <c r="EE102" s="5">
        <v>81.424332344213212</v>
      </c>
      <c r="EF102" s="6">
        <v>6874.1964083442144</v>
      </c>
      <c r="EG102" s="15">
        <v>176.97943634388119</v>
      </c>
      <c r="EY102" s="5">
        <v>87.376000000000005</v>
      </c>
      <c r="EZ102" s="15">
        <v>594.36</v>
      </c>
      <c r="FA102" s="5">
        <v>28.617333333333335</v>
      </c>
      <c r="FF102" s="15">
        <v>710.35333333333335</v>
      </c>
      <c r="FG102" s="5">
        <v>38.832865190096854</v>
      </c>
      <c r="FI102" s="200"/>
      <c r="FJ102" s="200"/>
      <c r="FK102" s="200"/>
      <c r="FL102" s="200"/>
      <c r="GR102" s="6">
        <v>4102.6080000000002</v>
      </c>
      <c r="GT102" s="6">
        <v>4102.6080000000002</v>
      </c>
      <c r="GU102" s="4">
        <v>4.7691614699722713</v>
      </c>
      <c r="MY102" s="5">
        <v>15.748000000000001</v>
      </c>
      <c r="MZ102" s="15">
        <v>94.043688087376168</v>
      </c>
      <c r="NA102" s="4">
        <v>0.42671999999999999</v>
      </c>
      <c r="NB102" s="6">
        <v>1434.1957255343082</v>
      </c>
      <c r="NJ102" s="5">
        <v>16.174720000000001</v>
      </c>
      <c r="NK102" s="15">
        <v>129.39945791951885</v>
      </c>
    </row>
    <row r="103" spans="1:375" x14ac:dyDescent="0.25">
      <c r="A103" s="2">
        <v>1891</v>
      </c>
      <c r="B103" s="6">
        <v>14865.053600000001</v>
      </c>
      <c r="C103" s="6">
        <v>4094.4394000000002</v>
      </c>
      <c r="D103" s="6">
        <v>16880.551299999999</v>
      </c>
      <c r="E103" s="6">
        <v>1064.9884000000002</v>
      </c>
      <c r="F103" s="15">
        <v>200.47060000000002</v>
      </c>
      <c r="G103" s="15">
        <v>843.30760000000009</v>
      </c>
      <c r="H103" s="15">
        <v>722.63959999999997</v>
      </c>
      <c r="I103" s="6">
        <v>38671.450500000006</v>
      </c>
      <c r="J103" s="15">
        <v>273.16581830405312</v>
      </c>
      <c r="K103" s="6">
        <v>31628.490533391399</v>
      </c>
      <c r="T103" s="6">
        <v>597120</v>
      </c>
      <c r="U103" s="5">
        <v>11.88616226807461</v>
      </c>
      <c r="V103" s="6">
        <v>525811.89433496923</v>
      </c>
      <c r="AN103" s="6">
        <v>275948.64799999999</v>
      </c>
      <c r="AO103" s="6">
        <v>4102535.8640000001</v>
      </c>
      <c r="AP103" s="6">
        <v>23199.344000000001</v>
      </c>
      <c r="AQ103" s="6">
        <v>43948.095999999998</v>
      </c>
      <c r="AT103" s="6">
        <v>4445631.9519999996</v>
      </c>
      <c r="AU103" s="4">
        <v>0.85996931906723895</v>
      </c>
      <c r="AW103" s="6">
        <v>6423.152</v>
      </c>
      <c r="AX103" s="4">
        <v>0.52092804280515237</v>
      </c>
      <c r="BA103" s="4">
        <v>1.1683999999999999</v>
      </c>
      <c r="BE103" s="4">
        <v>1.1683999999999999</v>
      </c>
      <c r="BF103" s="4">
        <v>804.51900034234859</v>
      </c>
      <c r="BH103" s="5">
        <v>99.567999999999998</v>
      </c>
      <c r="BI103" s="6">
        <v>2736.0880000000002</v>
      </c>
      <c r="BL103" s="6">
        <v>4693.92</v>
      </c>
      <c r="BN103" s="5">
        <v>68.072000000000003</v>
      </c>
      <c r="BO103" s="6">
        <v>7597.6480000000001</v>
      </c>
      <c r="BP103" s="4">
        <v>227.48487426635191</v>
      </c>
      <c r="BQ103" s="6">
        <v>5631.0632915945325</v>
      </c>
      <c r="BS103" s="6">
        <v>1200</v>
      </c>
      <c r="BV103" s="6">
        <v>1200</v>
      </c>
      <c r="BW103" s="4">
        <v>1.75</v>
      </c>
      <c r="CA103" s="15">
        <v>232.41</v>
      </c>
      <c r="CD103" s="6">
        <v>6907.7839999999997</v>
      </c>
      <c r="CG103" s="6">
        <v>7140.1939999999995</v>
      </c>
      <c r="CH103" s="4">
        <v>17.224528728954688</v>
      </c>
      <c r="CK103" s="15">
        <v>140.208</v>
      </c>
      <c r="CN103" s="15">
        <v>861.56799999999998</v>
      </c>
      <c r="CR103" s="6">
        <v>1001.776</v>
      </c>
      <c r="CS103" s="4">
        <v>6</v>
      </c>
      <c r="DE103" s="6">
        <v>70379.420085282676</v>
      </c>
      <c r="DI103" s="2">
        <v>12.7</v>
      </c>
      <c r="DK103" s="6">
        <v>70392.120085282673</v>
      </c>
      <c r="DL103" s="5">
        <v>20.908578402522657</v>
      </c>
      <c r="DM103" s="6">
        <v>70849.32008528267</v>
      </c>
      <c r="DP103" s="5">
        <v>78.231999999999999</v>
      </c>
      <c r="DS103" s="5">
        <v>24.384</v>
      </c>
      <c r="DV103" s="5">
        <v>102.616</v>
      </c>
      <c r="DW103" s="5">
        <v>80</v>
      </c>
      <c r="DZ103" s="6">
        <v>1590.2431999999999</v>
      </c>
      <c r="EA103" s="6">
        <v>1673.7837999999997</v>
      </c>
      <c r="EB103" s="6">
        <v>1174.48838</v>
      </c>
      <c r="EC103" s="6">
        <v>1988.4079999999999</v>
      </c>
      <c r="ED103" s="15">
        <v>145.0848</v>
      </c>
      <c r="EE103" s="5">
        <v>21.186943620178042</v>
      </c>
      <c r="EF103" s="6">
        <v>6593.1951236201776</v>
      </c>
      <c r="EG103" s="15">
        <v>169.90688262475072</v>
      </c>
      <c r="EY103" s="15">
        <v>110.744</v>
      </c>
      <c r="EZ103" s="15">
        <v>530.35199999999998</v>
      </c>
      <c r="FA103" s="5">
        <v>28.617333333333335</v>
      </c>
      <c r="FF103" s="15">
        <v>669.71333333333337</v>
      </c>
      <c r="FG103" s="5">
        <v>47.46055783853383</v>
      </c>
      <c r="FI103" s="200"/>
      <c r="FJ103" s="200"/>
      <c r="FK103" s="200"/>
      <c r="FL103" s="200"/>
      <c r="GR103" s="6">
        <v>6324.6</v>
      </c>
      <c r="GT103" s="6">
        <v>6324.6</v>
      </c>
      <c r="GU103" s="4">
        <v>4.9419726148689245</v>
      </c>
      <c r="MY103" s="5">
        <v>59.436</v>
      </c>
      <c r="MZ103" s="15">
        <v>186.25075711689885</v>
      </c>
      <c r="NA103" s="3">
        <v>8.1280000000000019E-2</v>
      </c>
      <c r="NB103" s="6">
        <v>12303.14960629921</v>
      </c>
      <c r="NJ103" s="5">
        <v>59.51728</v>
      </c>
      <c r="NK103" s="15">
        <v>202.79824615641039</v>
      </c>
    </row>
    <row r="104" spans="1:375" x14ac:dyDescent="0.25">
      <c r="A104" s="2">
        <v>1892</v>
      </c>
      <c r="B104" s="6">
        <v>15846.725100000001</v>
      </c>
      <c r="C104" s="6">
        <v>4212.0906999999997</v>
      </c>
      <c r="D104" s="6">
        <v>19166.556800000002</v>
      </c>
      <c r="E104" s="6">
        <v>1163.5131999999999</v>
      </c>
      <c r="F104" s="15">
        <v>191.07840000000002</v>
      </c>
      <c r="G104" s="6">
        <v>1656.7592000000002</v>
      </c>
      <c r="H104" s="15">
        <v>799.45660000000009</v>
      </c>
      <c r="I104" s="6">
        <v>43036.18</v>
      </c>
      <c r="J104" s="15">
        <v>273.16641634852056</v>
      </c>
      <c r="K104" s="6">
        <v>36037.5137834505</v>
      </c>
      <c r="T104" s="6">
        <v>415496</v>
      </c>
      <c r="U104" s="5">
        <v>10.432112633659036</v>
      </c>
      <c r="V104" s="6">
        <v>589995.78395644273</v>
      </c>
      <c r="AN104" s="6">
        <v>269327.37599999999</v>
      </c>
      <c r="AO104" s="6">
        <v>3841463.4879999999</v>
      </c>
      <c r="AP104" s="6">
        <v>23736.808000000001</v>
      </c>
      <c r="AQ104" s="6">
        <v>36584.127999999997</v>
      </c>
      <c r="AT104" s="6">
        <v>4171111.8000000003</v>
      </c>
      <c r="AU104" s="4">
        <v>0.76438251878131425</v>
      </c>
      <c r="AW104" s="6">
        <v>6705.6</v>
      </c>
      <c r="AX104" s="4">
        <v>1.111011691720353</v>
      </c>
      <c r="BA104" s="4">
        <v>7.7215999999999996</v>
      </c>
      <c r="BE104" s="4">
        <v>7.7215999999999996</v>
      </c>
      <c r="BF104" s="4">
        <v>28.750518027351841</v>
      </c>
      <c r="BH104" s="5">
        <v>82.296000000000006</v>
      </c>
      <c r="BI104" s="6">
        <v>2755.3919999999998</v>
      </c>
      <c r="BL104" s="6">
        <v>3881.12</v>
      </c>
      <c r="BN104" s="5">
        <v>42.671999999999997</v>
      </c>
      <c r="BO104" s="6">
        <v>6761.48</v>
      </c>
      <c r="BP104" s="4">
        <v>89.742482415092553</v>
      </c>
      <c r="BQ104" s="6">
        <v>6436.9199773584905</v>
      </c>
      <c r="BS104" s="15">
        <v>457.5</v>
      </c>
      <c r="BV104" s="15">
        <v>457.5</v>
      </c>
      <c r="BW104" s="4">
        <v>2.0502732240437158</v>
      </c>
      <c r="CA104" s="15">
        <v>460.40039999999999</v>
      </c>
      <c r="CD104" s="6">
        <v>4250.9440000000004</v>
      </c>
      <c r="CG104" s="6">
        <v>4711.3444</v>
      </c>
      <c r="CH104" s="4">
        <v>15.994978970547445</v>
      </c>
      <c r="CK104" s="5">
        <v>16.256</v>
      </c>
      <c r="CN104" s="15">
        <v>715.26400000000001</v>
      </c>
      <c r="CR104" s="15">
        <v>731.52</v>
      </c>
      <c r="CS104" s="4">
        <v>6.4158646835812183</v>
      </c>
      <c r="DE104" s="6">
        <v>70329.076741655139</v>
      </c>
      <c r="DI104" s="2">
        <v>7.62</v>
      </c>
      <c r="DK104" s="6">
        <v>70336.696741655134</v>
      </c>
      <c r="DL104" s="5">
        <v>20.157036082760456</v>
      </c>
      <c r="DM104" s="6">
        <v>70336.696741655134</v>
      </c>
      <c r="DP104" s="15">
        <v>159.512</v>
      </c>
      <c r="DS104" s="5">
        <v>52.832000000000001</v>
      </c>
      <c r="DV104" s="5">
        <v>212.34399999999999</v>
      </c>
      <c r="DW104" s="5">
        <v>80</v>
      </c>
      <c r="DZ104" s="6">
        <v>1699.0568000000003</v>
      </c>
      <c r="EA104" s="6">
        <v>1834.0450999999998</v>
      </c>
      <c r="EB104" s="15">
        <v>268.9479</v>
      </c>
      <c r="EC104" s="6">
        <v>1872.5839999999998</v>
      </c>
      <c r="ED104" s="15">
        <v>188.81648799999999</v>
      </c>
      <c r="EE104" s="5">
        <v>22.433234421364983</v>
      </c>
      <c r="EF104" s="6">
        <v>5885.8835224213653</v>
      </c>
      <c r="EG104" s="15">
        <v>177.07177711033543</v>
      </c>
      <c r="EY104" s="5">
        <v>13.208</v>
      </c>
      <c r="EZ104" s="15">
        <v>421.64</v>
      </c>
      <c r="FA104" s="5">
        <v>28.617333333333335</v>
      </c>
      <c r="FF104" s="15">
        <v>463.46533333333332</v>
      </c>
      <c r="FG104" s="5">
        <v>39.694557411092845</v>
      </c>
      <c r="FI104" s="200"/>
      <c r="FJ104" s="200"/>
      <c r="FK104" s="200"/>
      <c r="FL104" s="200"/>
      <c r="GR104" s="6">
        <v>2610.1039999999998</v>
      </c>
      <c r="GT104" s="6">
        <v>2610.1039999999998</v>
      </c>
      <c r="GU104" s="4">
        <v>3.3630843828445154</v>
      </c>
      <c r="MY104" s="5">
        <v>66.040000000000006</v>
      </c>
      <c r="MZ104" s="15">
        <v>242.27740763173833</v>
      </c>
      <c r="NA104" s="5">
        <v>2.8956</v>
      </c>
      <c r="NB104" s="15">
        <v>745.95938665561539</v>
      </c>
      <c r="NJ104" s="5">
        <v>68.935600000000008</v>
      </c>
      <c r="NK104" s="15">
        <v>263.43427778970516</v>
      </c>
    </row>
    <row r="105" spans="1:375" x14ac:dyDescent="0.25">
      <c r="A105" s="2">
        <v>1893</v>
      </c>
      <c r="B105" s="6">
        <v>15871.636200000001</v>
      </c>
      <c r="C105" s="6">
        <v>4768.4386000000004</v>
      </c>
      <c r="D105" s="6">
        <v>19654.764600000002</v>
      </c>
      <c r="E105" s="6">
        <v>1034.7281</v>
      </c>
      <c r="F105" s="5">
        <v>91.993800000000007</v>
      </c>
      <c r="G105" s="6">
        <v>3085.2133000000003</v>
      </c>
      <c r="H105" s="15">
        <v>791.68160000000012</v>
      </c>
      <c r="I105" s="6">
        <v>45298.456200000008</v>
      </c>
      <c r="J105" s="15">
        <v>273.16563419638175</v>
      </c>
      <c r="K105" s="6">
        <v>36762.21014089966</v>
      </c>
      <c r="T105" s="6">
        <v>526834</v>
      </c>
      <c r="U105" s="4">
        <v>9.4450490020471793</v>
      </c>
      <c r="V105" s="6">
        <v>10166.201872</v>
      </c>
      <c r="AN105" s="6">
        <v>268633.44799999997</v>
      </c>
      <c r="AO105" s="6">
        <v>3330781.2480000001</v>
      </c>
      <c r="AP105" s="6">
        <v>93193.615999999995</v>
      </c>
      <c r="AQ105" s="6">
        <v>35248.088000000003</v>
      </c>
      <c r="AT105" s="6">
        <v>3727856.4</v>
      </c>
      <c r="AU105" s="4">
        <v>0.71184335781907337</v>
      </c>
      <c r="AW105" s="6">
        <v>4572</v>
      </c>
      <c r="AX105" s="4">
        <v>0.96544181977252841</v>
      </c>
      <c r="BA105" s="4">
        <v>2.6415999999999999</v>
      </c>
      <c r="BE105" s="4">
        <v>2.6415999999999999</v>
      </c>
      <c r="BF105" s="4">
        <v>23.092065414900059</v>
      </c>
      <c r="BH105" s="15">
        <v>301.75200000000001</v>
      </c>
      <c r="BI105" s="15">
        <v>846.32799999999997</v>
      </c>
      <c r="BL105" s="6">
        <v>4958.08</v>
      </c>
      <c r="BN105" s="5">
        <v>34.543999999999997</v>
      </c>
      <c r="BO105" s="6">
        <v>6140.7039999999997</v>
      </c>
      <c r="BP105" s="4">
        <v>110.62119261895705</v>
      </c>
      <c r="BQ105" s="6">
        <v>5237.6492301886783</v>
      </c>
      <c r="BS105" s="6">
        <v>15000</v>
      </c>
      <c r="BV105" s="6">
        <v>15000</v>
      </c>
      <c r="BW105" s="4">
        <v>2.0499999999999998</v>
      </c>
      <c r="CA105" s="6">
        <v>1280.1092000000001</v>
      </c>
      <c r="CD105" s="6">
        <v>3098.8</v>
      </c>
      <c r="CG105" s="6">
        <v>4378.9092000000001</v>
      </c>
      <c r="CH105" s="4">
        <v>13.284481612322422</v>
      </c>
      <c r="CN105" s="6">
        <v>2466.848</v>
      </c>
      <c r="CR105" s="6">
        <v>2466.848</v>
      </c>
      <c r="CS105" s="4">
        <v>5.8761311552473856</v>
      </c>
      <c r="DE105" s="6">
        <v>86362.54</v>
      </c>
      <c r="DG105" s="15">
        <v>224.71786400000002</v>
      </c>
      <c r="DK105" s="6">
        <v>86587.257863999999</v>
      </c>
      <c r="DL105" s="5">
        <v>19.440016569089032</v>
      </c>
      <c r="DM105" s="6">
        <v>224.71786400000002</v>
      </c>
      <c r="DS105" s="5">
        <v>74.168000000000006</v>
      </c>
      <c r="DV105" s="5">
        <v>74.168000000000006</v>
      </c>
      <c r="DW105" s="5">
        <v>80</v>
      </c>
      <c r="DZ105" s="6">
        <v>1731.0608</v>
      </c>
      <c r="EA105" s="6">
        <v>1721.1992499999997</v>
      </c>
      <c r="EB105" s="15">
        <v>34.836100000000002</v>
      </c>
      <c r="EC105" s="6">
        <v>1866.4879999999998</v>
      </c>
      <c r="ED105" s="15">
        <v>162.11803999999998</v>
      </c>
      <c r="EE105" s="5">
        <v>20.35608308605341</v>
      </c>
      <c r="EF105" s="6">
        <v>5536.0582730860533</v>
      </c>
      <c r="EG105" s="15">
        <v>162.38779174147217</v>
      </c>
      <c r="EY105" s="5">
        <v>15.24</v>
      </c>
      <c r="EZ105" s="6">
        <v>1027.1759999999999</v>
      </c>
      <c r="FA105" s="5">
        <v>28.617333333333335</v>
      </c>
      <c r="FF105" s="6">
        <v>1071.0333333333333</v>
      </c>
      <c r="FG105" s="5">
        <v>27.843123329989613</v>
      </c>
      <c r="FI105" s="200"/>
      <c r="FJ105" s="200"/>
      <c r="FK105" s="200"/>
      <c r="FL105" s="200"/>
      <c r="GR105" s="6">
        <v>3349.752</v>
      </c>
      <c r="GT105" s="6">
        <v>3349.752</v>
      </c>
      <c r="GU105" s="4">
        <v>4.2104609535273063</v>
      </c>
      <c r="MY105" s="5">
        <v>37.591999999999999</v>
      </c>
      <c r="MZ105" s="15">
        <v>283.99659502021706</v>
      </c>
      <c r="NA105" s="4">
        <v>0.60960000000000003</v>
      </c>
      <c r="NB105" s="6">
        <v>1318.8976377952756</v>
      </c>
      <c r="NJ105" s="5">
        <v>38.201599999999999</v>
      </c>
      <c r="NK105" s="15">
        <v>300.51097336237228</v>
      </c>
    </row>
    <row r="106" spans="1:375" x14ac:dyDescent="0.25">
      <c r="A106" s="2">
        <v>1894</v>
      </c>
      <c r="B106" s="6">
        <v>17061.304499999998</v>
      </c>
      <c r="C106" s="6">
        <v>8468.965400000001</v>
      </c>
      <c r="D106" s="6">
        <v>20996.885100000003</v>
      </c>
      <c r="E106" s="6">
        <v>1588.9612000000002</v>
      </c>
      <c r="F106" s="15">
        <v>245.1302</v>
      </c>
      <c r="G106" s="6">
        <v>5762.7989000000007</v>
      </c>
      <c r="H106" s="15">
        <v>802.59770000000003</v>
      </c>
      <c r="I106" s="6">
        <v>54926.642999999996</v>
      </c>
      <c r="J106" s="15">
        <v>273.16592528923309</v>
      </c>
      <c r="K106" s="6">
        <v>41742.561095073048</v>
      </c>
      <c r="T106" s="6">
        <v>442242</v>
      </c>
      <c r="U106" s="4">
        <v>7.1498642919305606</v>
      </c>
      <c r="V106" s="6">
        <v>513103.31889999995</v>
      </c>
      <c r="AN106" s="6">
        <v>275036.28000000003</v>
      </c>
      <c r="AO106" s="6">
        <v>3730829.216</v>
      </c>
      <c r="AP106" s="6">
        <v>174406.56</v>
      </c>
      <c r="AQ106" s="6">
        <v>30986.984</v>
      </c>
      <c r="AT106" s="6">
        <v>4211259.04</v>
      </c>
      <c r="AU106" s="4">
        <v>0.63135045157025393</v>
      </c>
      <c r="AW106" s="6">
        <v>3570.7828000000004</v>
      </c>
      <c r="AX106" s="4">
        <v>1.1246833607465567</v>
      </c>
      <c r="BA106" s="4">
        <v>0.254</v>
      </c>
      <c r="BE106" s="4">
        <v>0.254</v>
      </c>
      <c r="BF106" s="4">
        <v>7.8740157480314963</v>
      </c>
      <c r="BH106" s="15">
        <v>421.64</v>
      </c>
      <c r="BI106" s="6">
        <v>2737.1039999999998</v>
      </c>
      <c r="BK106" s="15">
        <v>113.792</v>
      </c>
      <c r="BL106" s="6">
        <v>5425.44</v>
      </c>
      <c r="BN106" s="5">
        <v>40.64</v>
      </c>
      <c r="BO106" s="6">
        <v>8738.616</v>
      </c>
      <c r="BP106" s="4">
        <v>94.591866721229081</v>
      </c>
      <c r="BQ106" s="6">
        <v>7003.8461811320758</v>
      </c>
      <c r="BS106" s="6">
        <v>1772.25</v>
      </c>
      <c r="BV106" s="6">
        <v>1772.25</v>
      </c>
      <c r="BW106" s="4">
        <v>0.96938919452673156</v>
      </c>
      <c r="CA106" s="15">
        <v>439.82639999999998</v>
      </c>
      <c r="CD106" s="6">
        <v>1589.0240000000001</v>
      </c>
      <c r="CG106" s="6">
        <v>2028.8504</v>
      </c>
      <c r="CH106" s="4">
        <v>14.273316131091722</v>
      </c>
      <c r="CJ106" s="15">
        <v>142.24</v>
      </c>
      <c r="CK106" s="2">
        <v>14.224</v>
      </c>
      <c r="CN106" s="15">
        <v>176.78399999999999</v>
      </c>
      <c r="CR106" s="15">
        <v>333.24799999999999</v>
      </c>
      <c r="CS106" s="4">
        <v>7.5</v>
      </c>
      <c r="DE106" s="6">
        <v>55402.776356185139</v>
      </c>
      <c r="DG106" s="15">
        <v>191.61252000000002</v>
      </c>
      <c r="DK106" s="6">
        <v>55594.388876185141</v>
      </c>
      <c r="DL106" s="5">
        <v>16.430530453356251</v>
      </c>
      <c r="DM106" s="6">
        <v>55915.444876185138</v>
      </c>
      <c r="DS106" s="5">
        <v>45.72</v>
      </c>
      <c r="DV106" s="5">
        <v>45.72</v>
      </c>
      <c r="DW106" s="5">
        <v>80</v>
      </c>
      <c r="DZ106" s="6">
        <v>2041.8552000000002</v>
      </c>
      <c r="EA106" s="6">
        <v>1847.6288247162022</v>
      </c>
      <c r="EB106" s="15">
        <v>39.624000000000002</v>
      </c>
      <c r="EC106" s="6">
        <v>1815.6879999999999</v>
      </c>
      <c r="ED106" s="15">
        <v>277.54579999999999</v>
      </c>
      <c r="EE106" s="5">
        <v>22.848664688427299</v>
      </c>
      <c r="EF106" s="6">
        <v>6045.1904894046293</v>
      </c>
      <c r="EG106" s="15">
        <v>131.53127908911443</v>
      </c>
      <c r="EY106" s="5">
        <v>14.224</v>
      </c>
      <c r="EZ106" s="15">
        <v>724.40800000000002</v>
      </c>
      <c r="FA106" s="5">
        <v>28.617333333333335</v>
      </c>
      <c r="FF106" s="15">
        <v>767.24933333333342</v>
      </c>
      <c r="FG106" s="5">
        <v>29.518110236220473</v>
      </c>
      <c r="FI106" s="200"/>
      <c r="FJ106" s="6">
        <v>3082.5439999999999</v>
      </c>
      <c r="FK106" s="200"/>
      <c r="FL106" s="200"/>
      <c r="FM106" s="6">
        <f>SUM(FI106:FL106)</f>
        <v>3082.5439999999999</v>
      </c>
      <c r="FN106" s="5">
        <v>44.645000000000003</v>
      </c>
      <c r="FQ106" s="5">
        <v>17.271999999999998</v>
      </c>
      <c r="FV106" s="5">
        <v>17.271999999999998</v>
      </c>
      <c r="FW106" s="15">
        <f>(2*382)/(1.02^14)</f>
        <v>579.01651878545317</v>
      </c>
      <c r="GR106" s="6">
        <v>2779.7759999999998</v>
      </c>
      <c r="GT106" s="6">
        <v>2779.7759999999998</v>
      </c>
      <c r="GU106" s="4">
        <v>2.8196516553851825</v>
      </c>
      <c r="GW106" s="5">
        <v>32.966000000000001</v>
      </c>
      <c r="GX106" s="84">
        <v>25.021194000000001</v>
      </c>
      <c r="GY106" s="86">
        <v>4.2855799999999999E-2</v>
      </c>
      <c r="GZ106" s="87">
        <v>0.38570220000000005</v>
      </c>
      <c r="HA106" s="87">
        <v>0.42855799999999999</v>
      </c>
      <c r="HO106" s="5">
        <v>25.021194000000001</v>
      </c>
      <c r="HP106" s="17"/>
      <c r="HQ106" s="3">
        <v>4.2855799999999999E-2</v>
      </c>
      <c r="HR106" s="4">
        <v>0.38570220000000005</v>
      </c>
      <c r="HT106" s="4">
        <v>0.42855799999999999</v>
      </c>
      <c r="IC106" s="5">
        <v>54.98618977988847</v>
      </c>
      <c r="IJ106" s="5">
        <v>54.98618977988847</v>
      </c>
      <c r="IK106" s="2">
        <v>300</v>
      </c>
      <c r="MY106" s="5">
        <v>33.020000000000003</v>
      </c>
      <c r="MZ106" s="15">
        <v>189.88491823137491</v>
      </c>
      <c r="NA106" s="5">
        <v>1.8288000000000002</v>
      </c>
      <c r="NB106" s="15">
        <v>524.93438320209964</v>
      </c>
      <c r="NJ106" s="5">
        <v>34.848800000000004</v>
      </c>
      <c r="NK106" s="15">
        <v>207.46768898785609</v>
      </c>
    </row>
    <row r="107" spans="1:375" x14ac:dyDescent="0.25">
      <c r="A107" s="2">
        <v>1895</v>
      </c>
      <c r="B107" s="6">
        <v>15745.4635</v>
      </c>
      <c r="C107" s="6">
        <v>9634.6556</v>
      </c>
      <c r="D107" s="6">
        <v>21674.336400000004</v>
      </c>
      <c r="E107" s="6">
        <v>1509.0964000000001</v>
      </c>
      <c r="F107" s="15">
        <v>191.04730000000001</v>
      </c>
      <c r="G107" s="6">
        <v>6441.1210000000001</v>
      </c>
      <c r="H107" s="15">
        <v>752.52670000000012</v>
      </c>
      <c r="I107" s="6">
        <v>55948.246900000006</v>
      </c>
      <c r="J107" s="15">
        <v>273.16616174521079</v>
      </c>
      <c r="K107" s="6">
        <v>43781.564250203148</v>
      </c>
      <c r="T107" s="6">
        <v>302914</v>
      </c>
      <c r="U107" s="4">
        <v>9.5687659991578204</v>
      </c>
      <c r="V107" s="6">
        <v>272454.59531200002</v>
      </c>
      <c r="AN107" s="6">
        <v>328237.08799999999</v>
      </c>
      <c r="AO107" s="6">
        <v>3798406.4240000001</v>
      </c>
      <c r="AP107" s="6">
        <v>197334.63200000001</v>
      </c>
      <c r="AQ107" s="6">
        <v>33221.167999999998</v>
      </c>
      <c r="AT107" s="6">
        <v>4357199.3119999999</v>
      </c>
      <c r="AU107" s="4">
        <v>0.58537641326392398</v>
      </c>
      <c r="BA107" s="4">
        <v>0.55880000000000007</v>
      </c>
      <c r="BE107" s="4">
        <v>0.55880000000000007</v>
      </c>
      <c r="BF107" s="4">
        <v>9.3056549749463127</v>
      </c>
      <c r="BH107" s="15">
        <v>440.94400000000002</v>
      </c>
      <c r="BI107" s="6">
        <v>3717.5439999999999</v>
      </c>
      <c r="BK107" s="15">
        <v>148.33600000000001</v>
      </c>
      <c r="BL107" s="6">
        <v>5384.8</v>
      </c>
      <c r="BN107" s="5">
        <v>13.208</v>
      </c>
      <c r="BO107" s="6">
        <v>9704.8320000000003</v>
      </c>
      <c r="BP107" s="4">
        <v>82.724976588981647</v>
      </c>
      <c r="BQ107" s="6">
        <v>8665.1742490566048</v>
      </c>
      <c r="BS107" s="6">
        <v>1313</v>
      </c>
      <c r="BV107" s="6">
        <v>1313</v>
      </c>
      <c r="BW107" s="4">
        <v>0.74942878903274945</v>
      </c>
      <c r="CA107" s="15">
        <v>154.7876</v>
      </c>
      <c r="CD107" s="6">
        <v>1636.7760000000001</v>
      </c>
      <c r="CG107" s="6">
        <v>1791.5636</v>
      </c>
      <c r="CH107" s="4">
        <v>12.795214155436735</v>
      </c>
      <c r="CJ107" s="15">
        <v>360.68</v>
      </c>
      <c r="CK107" s="2">
        <v>4.0640000000000001</v>
      </c>
      <c r="CN107" s="5">
        <v>48.768000000000001</v>
      </c>
      <c r="CR107" s="15">
        <v>413.51200000000006</v>
      </c>
      <c r="CS107" s="4">
        <v>7.5</v>
      </c>
      <c r="DE107" s="6">
        <v>57061.221920000004</v>
      </c>
      <c r="DG107" s="15">
        <v>269.86463680000003</v>
      </c>
      <c r="DK107" s="6">
        <v>57331.086556800001</v>
      </c>
      <c r="DL107" s="5">
        <v>19.585619979320764</v>
      </c>
      <c r="DM107" s="6">
        <v>57613.534556800005</v>
      </c>
      <c r="DS107" s="5">
        <v>26.416</v>
      </c>
      <c r="DV107" s="5">
        <v>26.416</v>
      </c>
      <c r="DW107" s="5">
        <v>80</v>
      </c>
      <c r="DZ107" s="6">
        <v>1503.4767999999999</v>
      </c>
      <c r="EA107" s="6">
        <v>1353.4936099999998</v>
      </c>
      <c r="EB107" s="15">
        <v>39</v>
      </c>
      <c r="EC107" s="6">
        <v>1911.1919999999998</v>
      </c>
      <c r="ED107" s="15">
        <v>197.10907999999995</v>
      </c>
      <c r="EE107" s="5">
        <v>49.020771513353068</v>
      </c>
      <c r="EF107" s="6">
        <v>5053.292261513353</v>
      </c>
      <c r="EG107" s="15">
        <v>119.88661611046834</v>
      </c>
      <c r="EZ107" s="15">
        <v>276.35199999999998</v>
      </c>
      <c r="FA107" s="5">
        <v>28.617333333333335</v>
      </c>
      <c r="FF107" s="15">
        <v>304.96933333333334</v>
      </c>
      <c r="FG107" s="5">
        <v>29.85613714701325</v>
      </c>
      <c r="FI107" s="200"/>
      <c r="FJ107" s="6">
        <v>4367.7839999999997</v>
      </c>
      <c r="FK107" s="200"/>
      <c r="FL107" s="200"/>
      <c r="FM107" s="6">
        <f t="shared" ref="FM107:FM170" si="354">SUM(FI107:FL107)</f>
        <v>4367.7839999999997</v>
      </c>
      <c r="FN107" s="5">
        <v>44.645000000000003</v>
      </c>
      <c r="FQ107" s="5">
        <v>20.32</v>
      </c>
      <c r="FV107" s="5">
        <v>20.32</v>
      </c>
      <c r="FW107" s="15">
        <f>(2*382)/(1.02^13)</f>
        <v>590.59684916116225</v>
      </c>
      <c r="GR107" s="6">
        <v>1482.3440000000001</v>
      </c>
      <c r="GT107" s="6">
        <v>1482.3440000000001</v>
      </c>
      <c r="GU107" s="4">
        <v>0.26984289746509582</v>
      </c>
      <c r="GW107" s="5">
        <v>12.8443</v>
      </c>
      <c r="GX107" s="87">
        <v>9.7488237000000009</v>
      </c>
      <c r="GY107" s="86">
        <v>1.6697589999999998E-2</v>
      </c>
      <c r="GZ107" s="87">
        <v>0.15027831</v>
      </c>
      <c r="HA107" s="87">
        <v>0.16697590000000001</v>
      </c>
      <c r="HO107" s="4">
        <v>9.7488237000000009</v>
      </c>
      <c r="HP107" s="17"/>
      <c r="HQ107" s="3">
        <v>1.6697589999999998E-2</v>
      </c>
      <c r="HR107" s="4">
        <v>0.15027831</v>
      </c>
      <c r="HT107" s="4">
        <v>0.16697590000000001</v>
      </c>
      <c r="IC107" s="5">
        <v>13.091949947592491</v>
      </c>
      <c r="ID107" s="5">
        <v>1.7523071468316103</v>
      </c>
      <c r="IJ107" s="5">
        <v>14.844257094424101</v>
      </c>
      <c r="IK107" s="2">
        <v>300</v>
      </c>
      <c r="MY107" s="5">
        <v>29.692600000000002</v>
      </c>
      <c r="MZ107" s="15">
        <v>109.72430841354411</v>
      </c>
      <c r="NA107" s="4">
        <v>0.49784000000000006</v>
      </c>
      <c r="NB107" s="15">
        <v>658.8462156516149</v>
      </c>
      <c r="NJ107" s="5">
        <v>30.190440000000002</v>
      </c>
      <c r="NK107" s="15">
        <v>118.77932219603291</v>
      </c>
    </row>
    <row r="108" spans="1:375" x14ac:dyDescent="0.25">
      <c r="A108" s="2">
        <v>1896</v>
      </c>
      <c r="B108" s="6">
        <v>15616.740600000001</v>
      </c>
      <c r="C108" s="6">
        <v>7858.6589999999997</v>
      </c>
      <c r="D108" s="6">
        <v>23577.967400000001</v>
      </c>
      <c r="E108" s="6">
        <v>1739.423</v>
      </c>
      <c r="F108" s="15">
        <v>105.11799999999999</v>
      </c>
      <c r="G108" s="6">
        <v>7825.3509000000004</v>
      </c>
      <c r="H108" s="15">
        <v>594.50760000000002</v>
      </c>
      <c r="I108" s="6">
        <v>57317.766499999998</v>
      </c>
      <c r="J108" s="15">
        <v>273.16585044026129</v>
      </c>
      <c r="K108" s="6">
        <v>44665.070802769413</v>
      </c>
      <c r="T108" s="6">
        <v>329038</v>
      </c>
      <c r="U108" s="4">
        <v>8.4094187583092683</v>
      </c>
      <c r="V108" s="6">
        <v>612040.2760040001</v>
      </c>
      <c r="AN108" s="6">
        <v>377332.24</v>
      </c>
      <c r="AO108" s="6">
        <v>3972069.2719999999</v>
      </c>
      <c r="AP108" s="6">
        <v>230186.992</v>
      </c>
      <c r="AQ108" s="6">
        <v>42574.464</v>
      </c>
      <c r="AT108" s="6">
        <v>4622162.9679999994</v>
      </c>
      <c r="AU108" s="4">
        <v>0.57373195809929822</v>
      </c>
      <c r="BH108" s="15">
        <v>589.28</v>
      </c>
      <c r="BI108" s="6">
        <v>4625.848</v>
      </c>
      <c r="BK108" s="15">
        <v>148.33600000000001</v>
      </c>
      <c r="BL108" s="6">
        <v>4805.68</v>
      </c>
      <c r="BO108" s="6">
        <v>10169.144</v>
      </c>
      <c r="BP108" s="4">
        <v>87.090319499851702</v>
      </c>
      <c r="BQ108" s="6">
        <v>9724.0569228152053</v>
      </c>
      <c r="BS108" s="6">
        <v>8000</v>
      </c>
      <c r="BV108" s="6">
        <v>8000</v>
      </c>
      <c r="BW108" s="4">
        <v>0.65625</v>
      </c>
      <c r="CA108" s="15">
        <v>381.40639999999996</v>
      </c>
      <c r="CD108" s="15">
        <v>110.744</v>
      </c>
      <c r="CG108" s="6">
        <v>492.15039999999999</v>
      </c>
      <c r="CH108" s="4">
        <v>13.877931907526598</v>
      </c>
      <c r="CJ108" s="15">
        <v>304.8</v>
      </c>
      <c r="CR108" s="15">
        <v>304.8</v>
      </c>
      <c r="CS108" s="4">
        <v>9.8425196850393704</v>
      </c>
      <c r="DE108" s="6">
        <v>90491.868799999997</v>
      </c>
      <c r="DG108" s="15">
        <v>536.91180399999996</v>
      </c>
      <c r="DK108" s="6">
        <v>91028.780604</v>
      </c>
      <c r="DL108" s="5">
        <v>21.37704485052576</v>
      </c>
      <c r="DM108" s="6">
        <v>91096.852604</v>
      </c>
      <c r="DS108" s="5">
        <v>35.56</v>
      </c>
      <c r="DV108" s="5">
        <v>35.56</v>
      </c>
      <c r="DW108" s="5">
        <v>80</v>
      </c>
      <c r="DZ108" s="6">
        <v>1105.2048</v>
      </c>
      <c r="EA108" s="6">
        <v>1465.04152</v>
      </c>
      <c r="EB108" s="15">
        <v>39</v>
      </c>
      <c r="EC108" s="6">
        <v>2076.8000000000002</v>
      </c>
      <c r="ED108" s="5">
        <v>97.612199999999987</v>
      </c>
      <c r="EE108" s="5">
        <v>9.9703264094955486</v>
      </c>
      <c r="EF108" s="6">
        <v>4793.6288464094951</v>
      </c>
      <c r="EG108" s="15">
        <v>111.2346603964436</v>
      </c>
      <c r="EZ108" s="2">
        <v>76.2</v>
      </c>
      <c r="FA108" s="4">
        <v>7.8377142857142861</v>
      </c>
      <c r="FF108" s="5">
        <v>84.037714285714287</v>
      </c>
      <c r="FG108" s="5">
        <v>27.195753073238727</v>
      </c>
      <c r="FI108" s="200"/>
      <c r="FJ108" s="6">
        <v>3913.6320000000001</v>
      </c>
      <c r="FK108" s="200"/>
      <c r="FL108" s="200"/>
      <c r="FM108" s="6">
        <f t="shared" si="354"/>
        <v>3913.6320000000001</v>
      </c>
      <c r="FN108" s="5">
        <v>44.645000000000003</v>
      </c>
      <c r="FQ108" s="5">
        <v>81.28</v>
      </c>
      <c r="FV108" s="5">
        <v>81.28</v>
      </c>
      <c r="FW108" s="15">
        <f>(2*382)/(1.02^12)</f>
        <v>602.40878614438543</v>
      </c>
      <c r="GR108" s="6">
        <v>1643.8879999999999</v>
      </c>
      <c r="GT108" s="6">
        <v>1643.8879999999999</v>
      </c>
      <c r="GU108" s="4">
        <v>5.4821253029403465</v>
      </c>
      <c r="GW108" s="5">
        <v>90.19</v>
      </c>
      <c r="GX108" s="84">
        <v>68.454210000000003</v>
      </c>
      <c r="GY108" s="87">
        <v>0.11724699999999999</v>
      </c>
      <c r="GZ108" s="87">
        <v>1.055223</v>
      </c>
      <c r="HA108" s="87">
        <v>1.1724699999999999</v>
      </c>
      <c r="HO108" s="5">
        <v>68.454210000000003</v>
      </c>
      <c r="HP108" s="17"/>
      <c r="HQ108" s="4">
        <v>0.11724699999999999</v>
      </c>
      <c r="HR108" s="4">
        <v>1.055223</v>
      </c>
      <c r="HT108" s="4">
        <v>1.1724699999999999</v>
      </c>
      <c r="IC108" s="4">
        <v>1.5710339937110989</v>
      </c>
      <c r="IJ108" s="4">
        <v>1.5710339937110989</v>
      </c>
      <c r="IK108" s="2">
        <v>300</v>
      </c>
      <c r="NA108" s="5">
        <v>8.3312000000000008</v>
      </c>
      <c r="NB108" s="15">
        <v>117.6301133090071</v>
      </c>
      <c r="NJ108" s="4">
        <v>8.3312000000000008</v>
      </c>
      <c r="NK108" s="15">
        <v>117.6301133090071</v>
      </c>
    </row>
    <row r="109" spans="1:375" x14ac:dyDescent="0.25">
      <c r="A109" s="2">
        <v>1897</v>
      </c>
      <c r="B109" s="6">
        <v>18689.513900000002</v>
      </c>
      <c r="C109" s="6">
        <v>8085.3158000000003</v>
      </c>
      <c r="D109" s="6">
        <v>23802.882600000001</v>
      </c>
      <c r="E109" s="6">
        <v>2172.0239999999999</v>
      </c>
      <c r="F109" s="15">
        <v>286.30660000000006</v>
      </c>
      <c r="G109" s="6">
        <v>18779.6106</v>
      </c>
      <c r="H109" s="15">
        <v>593.97890000000007</v>
      </c>
      <c r="I109" s="6">
        <v>72409.632400000002</v>
      </c>
      <c r="J109" s="15">
        <v>273.14465520858772</v>
      </c>
      <c r="K109" s="6">
        <v>64987.302344057563</v>
      </c>
      <c r="T109" s="6">
        <v>315665</v>
      </c>
      <c r="U109" s="4">
        <v>7.1641770569062491</v>
      </c>
      <c r="V109" s="6">
        <v>420649.01498000004</v>
      </c>
      <c r="AN109" s="6">
        <v>364141.51199999999</v>
      </c>
      <c r="AO109" s="6">
        <v>4453728.4560000002</v>
      </c>
      <c r="AP109" s="6">
        <v>240057.432</v>
      </c>
      <c r="AQ109" s="6">
        <v>42871.135999999999</v>
      </c>
      <c r="AT109" s="6">
        <v>5100798.5360000003</v>
      </c>
      <c r="AU109" s="4">
        <v>0.56448090849880905</v>
      </c>
      <c r="BH109" s="15">
        <v>292.608</v>
      </c>
      <c r="BI109" s="6">
        <v>5715</v>
      </c>
      <c r="BK109" s="6">
        <v>4878.8320000000003</v>
      </c>
      <c r="BL109" s="6">
        <v>5039.3599999999997</v>
      </c>
      <c r="BO109" s="6">
        <v>15925.8</v>
      </c>
      <c r="BP109" s="4">
        <v>107.64997676725817</v>
      </c>
      <c r="BQ109" s="6">
        <v>14257.403427605634</v>
      </c>
      <c r="BS109" s="6">
        <v>9189</v>
      </c>
      <c r="BV109" s="6">
        <v>9189</v>
      </c>
      <c r="BW109" s="4">
        <v>0.70736750462509523</v>
      </c>
      <c r="CA109" s="15">
        <v>233.73080000000002</v>
      </c>
      <c r="CD109" s="15">
        <v>410.464</v>
      </c>
      <c r="CG109" s="6">
        <v>644.19479999999999</v>
      </c>
      <c r="CH109" s="4">
        <v>13.286641886652097</v>
      </c>
      <c r="CJ109" s="15">
        <v>403.35200000000003</v>
      </c>
      <c r="CR109" s="15">
        <v>403.35200000000003</v>
      </c>
      <c r="CS109" s="4">
        <v>6</v>
      </c>
      <c r="DE109" s="6">
        <v>106122.92720000001</v>
      </c>
      <c r="DG109" s="15">
        <v>641.9669151999999</v>
      </c>
      <c r="DK109" s="6">
        <v>106764.8941152</v>
      </c>
      <c r="DL109" s="5">
        <v>24.598573529957108</v>
      </c>
      <c r="DM109" s="6">
        <v>106764.8941152</v>
      </c>
      <c r="DP109" s="6">
        <v>10328.656000000001</v>
      </c>
      <c r="DS109" s="5">
        <v>11.176</v>
      </c>
      <c r="DV109" s="6">
        <v>10339.832</v>
      </c>
      <c r="DW109" s="5">
        <v>80</v>
      </c>
      <c r="DX109" s="6">
        <v>10328.656000000001</v>
      </c>
      <c r="DZ109" s="15">
        <v>855.57360000000006</v>
      </c>
      <c r="EA109" s="6">
        <v>1255.984788</v>
      </c>
      <c r="EB109" s="15">
        <v>31.038800000000002</v>
      </c>
      <c r="EC109" s="6">
        <v>2087.9759999999997</v>
      </c>
      <c r="ED109" s="5">
        <v>67.955159999999992</v>
      </c>
      <c r="EE109" s="4">
        <v>0.41543026706231451</v>
      </c>
      <c r="EF109" s="6">
        <v>4298.943778267062</v>
      </c>
      <c r="EG109" s="15">
        <v>123.49924884222582</v>
      </c>
      <c r="EZ109" s="5">
        <v>97.536000000000001</v>
      </c>
      <c r="FA109" s="4">
        <v>7.8377142857142861</v>
      </c>
      <c r="FF109" s="15">
        <v>105.37371428571429</v>
      </c>
      <c r="FG109" s="5">
        <v>42.047523480026264</v>
      </c>
      <c r="FI109" s="200"/>
      <c r="FJ109" s="6">
        <v>3434.08</v>
      </c>
      <c r="FK109" s="200"/>
      <c r="FL109" s="200"/>
      <c r="FM109" s="6">
        <f t="shared" si="354"/>
        <v>3434.08</v>
      </c>
      <c r="FN109" s="5">
        <v>44.645000000000003</v>
      </c>
      <c r="GR109" s="6">
        <v>1927.3520000000001</v>
      </c>
      <c r="GT109" s="6">
        <v>1927.3520000000001</v>
      </c>
      <c r="GU109" s="4">
        <v>3.3725027913946182</v>
      </c>
      <c r="GW109" s="5">
        <v>61.142600000000009</v>
      </c>
      <c r="GX109" s="84">
        <v>46.40723340000001</v>
      </c>
      <c r="GY109" s="86">
        <v>7.9485380000000008E-2</v>
      </c>
      <c r="GZ109" s="87">
        <v>0.71536842000000012</v>
      </c>
      <c r="HA109" s="87">
        <v>0.79485380000000005</v>
      </c>
      <c r="HO109" s="5">
        <v>46.40723340000001</v>
      </c>
      <c r="HP109" s="17"/>
      <c r="HQ109" s="3">
        <v>7.9485380000000008E-2</v>
      </c>
      <c r="HR109" s="4">
        <v>0.71536842000000012</v>
      </c>
      <c r="HT109" s="4">
        <v>0.79485380000000005</v>
      </c>
      <c r="IC109" s="4">
        <v>6.8078139727480957</v>
      </c>
      <c r="IJ109" s="4">
        <v>6.8078139727480957</v>
      </c>
      <c r="IK109" s="2">
        <v>300</v>
      </c>
      <c r="MY109" s="4">
        <v>0.40640000000000004</v>
      </c>
      <c r="MZ109" s="15">
        <v>329.72440944881885</v>
      </c>
      <c r="NA109" s="4">
        <v>0.62992000000000004</v>
      </c>
      <c r="NB109" s="6">
        <v>2540.0050800101599</v>
      </c>
      <c r="NJ109" s="4">
        <v>1.0363200000000001</v>
      </c>
      <c r="NK109" s="6">
        <v>1673.2283464566926</v>
      </c>
    </row>
    <row r="110" spans="1:375" x14ac:dyDescent="0.25">
      <c r="A110" s="2">
        <v>1898</v>
      </c>
      <c r="B110" s="6">
        <v>20136.845699999998</v>
      </c>
      <c r="C110" s="6">
        <v>8798.6254000000008</v>
      </c>
      <c r="D110" s="6">
        <v>24520.110800000002</v>
      </c>
      <c r="E110" s="6">
        <v>2134.2064</v>
      </c>
      <c r="F110" s="5">
        <v>78.496400000000008</v>
      </c>
      <c r="G110" s="6">
        <v>29218.138999999999</v>
      </c>
      <c r="H110" s="15">
        <v>620.47609999999997</v>
      </c>
      <c r="I110" s="6">
        <v>85506.899800000014</v>
      </c>
      <c r="J110" s="15">
        <v>273.16586907481849</v>
      </c>
      <c r="K110" s="6">
        <v>81167.567337516215</v>
      </c>
      <c r="T110" s="6">
        <v>316598</v>
      </c>
      <c r="U110" s="4">
        <v>7.1513472845488781</v>
      </c>
      <c r="V110" s="6">
        <v>384482.28197400004</v>
      </c>
      <c r="AN110" s="6">
        <v>414460.94400000002</v>
      </c>
      <c r="AO110" s="6">
        <v>4781551.0159999998</v>
      </c>
      <c r="AP110" s="6">
        <v>246745.76</v>
      </c>
      <c r="AQ110" s="6">
        <v>48440.847999999998</v>
      </c>
      <c r="AS110" s="6">
        <v>3564.1280000000002</v>
      </c>
      <c r="AT110" s="6">
        <v>5494762.6959999995</v>
      </c>
      <c r="AU110" s="4">
        <v>0.54917482241460303</v>
      </c>
      <c r="AW110" s="6">
        <v>2915.4120000000003</v>
      </c>
      <c r="AX110" s="4">
        <v>0.52644360385427513</v>
      </c>
      <c r="BA110" s="4">
        <v>5.8928000000000003</v>
      </c>
      <c r="BE110" s="4">
        <v>5.8928000000000003</v>
      </c>
      <c r="BF110" s="4">
        <v>9.4339940498451806</v>
      </c>
      <c r="BH110" s="5">
        <v>62.992000000000004</v>
      </c>
      <c r="BI110" s="6">
        <v>5877.56</v>
      </c>
      <c r="BK110" s="6">
        <v>5141.9759999999997</v>
      </c>
      <c r="BL110" s="6">
        <v>4866.6400000000003</v>
      </c>
      <c r="BN110" s="2">
        <v>25.4</v>
      </c>
      <c r="BO110" s="6">
        <v>15974.568000000001</v>
      </c>
      <c r="BP110" s="4">
        <v>113.55487046660666</v>
      </c>
      <c r="BQ110" s="6">
        <v>15911.541742731733</v>
      </c>
      <c r="BS110" s="6">
        <v>16493</v>
      </c>
      <c r="BV110" s="6">
        <v>16493</v>
      </c>
      <c r="BW110" s="4">
        <v>0.7348572121506094</v>
      </c>
      <c r="CA110" s="15">
        <v>398.22120000000001</v>
      </c>
      <c r="CE110" s="15">
        <v>101.6</v>
      </c>
      <c r="CG110" s="6">
        <v>499.82119999999998</v>
      </c>
      <c r="CH110" s="4">
        <v>15.994094488188978</v>
      </c>
      <c r="CJ110" s="5">
        <v>68.072000000000003</v>
      </c>
      <c r="CK110" s="2">
        <v>1.016</v>
      </c>
      <c r="CR110" s="5">
        <v>69.088000000000008</v>
      </c>
      <c r="CS110" s="4">
        <v>5.030621172353456</v>
      </c>
      <c r="DE110" s="6">
        <v>102685.5443872</v>
      </c>
      <c r="DG110" s="6">
        <v>1118.5135871999998</v>
      </c>
      <c r="DI110" s="4">
        <v>1.6763999999999999</v>
      </c>
      <c r="DK110" s="6">
        <v>103805.7343744</v>
      </c>
      <c r="DL110" s="5">
        <v>22.093534873914916</v>
      </c>
      <c r="DM110" s="6">
        <v>103805.7343744</v>
      </c>
      <c r="DP110" s="6">
        <v>13945.616</v>
      </c>
      <c r="DS110" s="5">
        <v>18.288</v>
      </c>
      <c r="DV110" s="6">
        <v>13963.904</v>
      </c>
      <c r="DW110" s="5">
        <v>80</v>
      </c>
      <c r="DX110" s="6">
        <v>6198.3776464000002</v>
      </c>
      <c r="DZ110" s="15">
        <v>728.98</v>
      </c>
      <c r="EA110" s="15">
        <v>978.22758742857127</v>
      </c>
      <c r="EB110" s="15">
        <v>57.784999999999997</v>
      </c>
      <c r="EC110" s="6">
        <v>1722.2160000000001</v>
      </c>
      <c r="ED110" s="5">
        <v>48.461168000000001</v>
      </c>
      <c r="EE110" s="4">
        <v>0.83086053412462901</v>
      </c>
      <c r="EF110" s="6">
        <v>3536.5006159626955</v>
      </c>
      <c r="EG110" s="15">
        <v>142.77484698110547</v>
      </c>
      <c r="EZ110" s="5">
        <v>47.752000000000002</v>
      </c>
      <c r="FA110" s="4">
        <v>7.8377142857142861</v>
      </c>
      <c r="FF110" s="5">
        <v>55.589714285714287</v>
      </c>
      <c r="FG110" s="5">
        <v>21.896170082564819</v>
      </c>
      <c r="FI110" s="200"/>
      <c r="FJ110" s="6">
        <v>2144.7759999999998</v>
      </c>
      <c r="FK110" s="200"/>
      <c r="FL110" s="200"/>
      <c r="FM110" s="6">
        <f t="shared" si="354"/>
        <v>2144.7759999999998</v>
      </c>
      <c r="FN110" s="5">
        <v>44.645000000000003</v>
      </c>
      <c r="GR110" s="6">
        <v>3661.6640000000002</v>
      </c>
      <c r="GT110" s="6">
        <v>3661.6640000000002</v>
      </c>
      <c r="GU110" s="4">
        <v>5.12663095248499</v>
      </c>
      <c r="GW110" s="5">
        <v>38.875</v>
      </c>
      <c r="GX110" s="84">
        <v>29.506125000000001</v>
      </c>
      <c r="GY110" s="86">
        <v>5.0537499999999999E-2</v>
      </c>
      <c r="GZ110" s="87">
        <v>0.45483750000000001</v>
      </c>
      <c r="HA110" s="87">
        <v>0.50537500000000002</v>
      </c>
      <c r="HO110" s="5">
        <v>29.506125000000001</v>
      </c>
      <c r="HP110" s="17"/>
      <c r="HQ110" s="3">
        <v>5.0537499999999999E-2</v>
      </c>
      <c r="HR110" s="4">
        <v>0.45483750000000001</v>
      </c>
      <c r="HT110" s="4">
        <v>0.50537500000000002</v>
      </c>
      <c r="IC110" s="5">
        <v>40.846883836488573</v>
      </c>
      <c r="ID110" s="5">
        <v>6.2438530519287267</v>
      </c>
      <c r="IJ110" s="5">
        <v>47.090736888417297</v>
      </c>
      <c r="IK110" s="2">
        <v>300</v>
      </c>
      <c r="MY110" s="5">
        <v>4.0640000000000001</v>
      </c>
      <c r="MZ110" s="15">
        <v>172.24409448818898</v>
      </c>
      <c r="NA110" s="5">
        <v>5.9639200000000008</v>
      </c>
      <c r="NB110" s="6">
        <v>1547.6398073750149</v>
      </c>
      <c r="NJ110" s="5">
        <v>10.027920000000002</v>
      </c>
      <c r="NK110" s="15">
        <v>990.23526314529818</v>
      </c>
    </row>
    <row r="111" spans="1:375" x14ac:dyDescent="0.25">
      <c r="A111" s="2">
        <v>1899</v>
      </c>
      <c r="B111" s="6">
        <v>20781.859700000001</v>
      </c>
      <c r="C111" s="6">
        <v>11885.238200000002</v>
      </c>
      <c r="D111" s="6">
        <v>25025.1126</v>
      </c>
      <c r="E111" s="6">
        <v>2398.1521000000002</v>
      </c>
      <c r="F111" s="15">
        <v>114.0748</v>
      </c>
      <c r="G111" s="6">
        <v>45735.846600000004</v>
      </c>
      <c r="H111" s="15">
        <v>465.38040000000001</v>
      </c>
      <c r="I111" s="6">
        <v>106405.66440000001</v>
      </c>
      <c r="J111" s="15">
        <v>273.16593684563503</v>
      </c>
      <c r="K111" s="6">
        <v>102073.7763895926</v>
      </c>
      <c r="T111" s="6">
        <v>372267</v>
      </c>
      <c r="U111" s="4">
        <v>7.1472779355994689</v>
      </c>
      <c r="V111" s="6">
        <v>379527.89834000001</v>
      </c>
      <c r="AN111" s="6">
        <v>501913.14400000003</v>
      </c>
      <c r="AO111" s="6">
        <v>4670580.4479999999</v>
      </c>
      <c r="AP111" s="6">
        <v>266578.08</v>
      </c>
      <c r="AQ111" s="6">
        <v>43290.743999999999</v>
      </c>
      <c r="AS111" s="6">
        <v>55205.376000000004</v>
      </c>
      <c r="AT111" s="6">
        <v>5537567.7920000004</v>
      </c>
      <c r="AU111" s="4">
        <v>0.58839526918270646</v>
      </c>
      <c r="BA111" s="4">
        <v>9.652000000000001</v>
      </c>
      <c r="BE111" s="4">
        <v>9.652000000000001</v>
      </c>
      <c r="BF111" s="4">
        <v>9.3165835186632222</v>
      </c>
      <c r="BH111" s="15">
        <v>163.57599999999999</v>
      </c>
      <c r="BI111" s="6">
        <v>6693.4080000000004</v>
      </c>
      <c r="BK111" s="6">
        <v>8925.56</v>
      </c>
      <c r="BL111" s="6">
        <v>5994.4</v>
      </c>
      <c r="BM111" s="15">
        <v>550.67200000000003</v>
      </c>
      <c r="BO111" s="6">
        <v>22327.616000000002</v>
      </c>
      <c r="BP111" s="4">
        <v>146.33510357756063</v>
      </c>
      <c r="BQ111" s="6">
        <v>16839.329422444607</v>
      </c>
      <c r="BS111" s="6">
        <v>25874</v>
      </c>
      <c r="BV111" s="6">
        <v>25874</v>
      </c>
      <c r="BW111" s="4">
        <v>0.80003091906933599</v>
      </c>
      <c r="CA111" s="6">
        <v>11092.027600000001</v>
      </c>
      <c r="CE111" s="6">
        <v>13057.632</v>
      </c>
      <c r="CG111" s="6">
        <v>24149.659599999999</v>
      </c>
      <c r="CH111" s="4">
        <v>16.807995154451849</v>
      </c>
      <c r="CJ111" s="15">
        <v>746.76</v>
      </c>
      <c r="CN111" s="15">
        <v>101.6</v>
      </c>
      <c r="CR111" s="15">
        <v>848.36</v>
      </c>
      <c r="CS111" s="4">
        <v>3.9370078740157481</v>
      </c>
      <c r="DE111" s="6">
        <v>191760.856</v>
      </c>
      <c r="DG111" s="6">
        <v>1001.272064</v>
      </c>
      <c r="DI111" s="5">
        <v>55.483760000000004</v>
      </c>
      <c r="DK111" s="6">
        <v>192817.61182399999</v>
      </c>
      <c r="DL111" s="5">
        <v>40.761768664289747</v>
      </c>
      <c r="DM111" s="6">
        <v>192817.61182399999</v>
      </c>
      <c r="DP111" s="6">
        <v>17863.312000000002</v>
      </c>
      <c r="DS111" s="5">
        <v>19.304000000000002</v>
      </c>
      <c r="DV111" s="6">
        <v>17882.616000000002</v>
      </c>
      <c r="DW111" s="5">
        <v>80</v>
      </c>
      <c r="DX111" s="6">
        <v>48042.576000000001</v>
      </c>
      <c r="DZ111" s="15">
        <v>930.2496000000001</v>
      </c>
      <c r="EA111" s="6">
        <v>1089.2802700000002</v>
      </c>
      <c r="EB111" s="15">
        <v>103.0224</v>
      </c>
      <c r="EC111" s="6">
        <v>1950.9423999999999</v>
      </c>
      <c r="ED111" s="15">
        <v>238.12398400000001</v>
      </c>
      <c r="EF111" s="6">
        <v>4311.6186539999999</v>
      </c>
      <c r="EG111" s="15">
        <v>239.77027729488356</v>
      </c>
      <c r="EY111" s="5">
        <v>20.32</v>
      </c>
      <c r="EZ111" s="15">
        <v>188.976</v>
      </c>
      <c r="FA111" s="4">
        <v>7.8377142857142861</v>
      </c>
      <c r="FF111" s="15">
        <v>217.13371428571429</v>
      </c>
      <c r="FG111" s="5">
        <v>16.242418396015964</v>
      </c>
      <c r="FI111" s="200"/>
      <c r="FJ111" s="6">
        <v>5326.8879999999999</v>
      </c>
      <c r="FK111" s="200"/>
      <c r="FL111" s="200"/>
      <c r="FM111" s="6">
        <f t="shared" si="354"/>
        <v>5326.8879999999999</v>
      </c>
      <c r="FN111" s="5">
        <v>44.645000000000003</v>
      </c>
      <c r="GR111" s="6">
        <v>3141.4720000000002</v>
      </c>
      <c r="GT111" s="6">
        <v>3141.4720000000002</v>
      </c>
      <c r="GU111" s="4">
        <v>3.2882674109462058</v>
      </c>
      <c r="GW111" s="5">
        <v>19.872900000000001</v>
      </c>
      <c r="GX111" s="84">
        <v>15.083531100000002</v>
      </c>
      <c r="GY111" s="86">
        <v>2.583477E-2</v>
      </c>
      <c r="GZ111" s="87">
        <v>0.23251293000000003</v>
      </c>
      <c r="HA111" s="87">
        <v>0.25834770000000001</v>
      </c>
      <c r="HO111" s="5">
        <v>15.083531100000002</v>
      </c>
      <c r="HP111" s="17"/>
      <c r="HQ111" s="3">
        <v>2.583477E-2</v>
      </c>
      <c r="HR111" s="4">
        <v>0.23251293000000003</v>
      </c>
      <c r="HT111" s="4">
        <v>0.25834770000000001</v>
      </c>
      <c r="IC111" s="15">
        <v>135.6326014570582</v>
      </c>
      <c r="ID111" s="5">
        <v>46.028220652802922</v>
      </c>
      <c r="IF111" s="4">
        <v>2.0443583379702122</v>
      </c>
      <c r="IJ111" s="15">
        <v>183.70518044783134</v>
      </c>
      <c r="IK111" s="2">
        <v>300</v>
      </c>
      <c r="MY111" s="5">
        <v>1.016</v>
      </c>
      <c r="MZ111" s="15">
        <v>486.22047244094489</v>
      </c>
      <c r="NA111" s="5">
        <v>3.1597600000000003</v>
      </c>
      <c r="NB111" s="6">
        <v>2123.5790060004556</v>
      </c>
      <c r="NJ111" s="4">
        <v>4.1757600000000004</v>
      </c>
      <c r="NK111" s="6">
        <v>1725.1949345747839</v>
      </c>
    </row>
    <row r="112" spans="1:375" x14ac:dyDescent="0.25">
      <c r="A112" s="2">
        <v>1900</v>
      </c>
      <c r="B112" s="6">
        <v>21024.439699999999</v>
      </c>
      <c r="C112" s="6">
        <v>7840.807600000001</v>
      </c>
      <c r="D112" s="6">
        <v>23645.920900000001</v>
      </c>
      <c r="E112" s="6">
        <v>2315.2395000000001</v>
      </c>
      <c r="F112" s="15">
        <v>106.54860000000001</v>
      </c>
      <c r="G112" s="6">
        <v>43985.103200000005</v>
      </c>
      <c r="H112" s="15">
        <v>497.28899999999999</v>
      </c>
      <c r="I112" s="6">
        <v>99415.348500000007</v>
      </c>
      <c r="J112" s="15">
        <v>273.16588596348498</v>
      </c>
      <c r="K112" s="6">
        <v>97660.936599706678</v>
      </c>
      <c r="T112" s="6">
        <v>455304</v>
      </c>
      <c r="U112" s="4">
        <v>7.4959776184393725</v>
      </c>
      <c r="V112" s="6">
        <v>321067.62358000001</v>
      </c>
      <c r="AN112" s="6">
        <v>505086.11200000002</v>
      </c>
      <c r="AO112" s="6">
        <v>5595616.9520000005</v>
      </c>
      <c r="AP112" s="6">
        <v>214981.53599999999</v>
      </c>
      <c r="AQ112" s="6">
        <v>51443.128000000004</v>
      </c>
      <c r="AS112" s="6">
        <v>120304.56</v>
      </c>
      <c r="AT112" s="6">
        <v>6487432.2879999997</v>
      </c>
      <c r="AU112" s="4">
        <v>0.62144577473646156</v>
      </c>
      <c r="BA112" s="4">
        <v>7.3151999999999999</v>
      </c>
      <c r="BE112" s="4">
        <v>7.3151999999999999</v>
      </c>
      <c r="BF112" s="4">
        <v>21.84936307045389</v>
      </c>
      <c r="BH112" s="15">
        <v>390.14400000000001</v>
      </c>
      <c r="BI112" s="6">
        <v>6251.4480000000003</v>
      </c>
      <c r="BK112" s="6">
        <v>10314.432000000001</v>
      </c>
      <c r="BL112" s="6">
        <v>5415.28</v>
      </c>
      <c r="BM112" s="15">
        <v>650.24</v>
      </c>
      <c r="BN112" s="15">
        <v>110.744</v>
      </c>
      <c r="BO112" s="6">
        <v>23132.288</v>
      </c>
      <c r="BP112" s="4">
        <v>155.81813610482456</v>
      </c>
      <c r="BQ112" s="6">
        <v>19775.675356428968</v>
      </c>
      <c r="BS112" s="6">
        <v>9828.5</v>
      </c>
      <c r="BV112" s="6">
        <v>9828.5</v>
      </c>
      <c r="BW112" s="4">
        <v>1.1523732003866307</v>
      </c>
      <c r="CA112" s="6">
        <v>13674.852000000001</v>
      </c>
      <c r="CE112" s="6">
        <v>12447.016</v>
      </c>
      <c r="CG112" s="6">
        <v>26121.868000000002</v>
      </c>
      <c r="CH112" s="4">
        <v>24.170592479739955</v>
      </c>
      <c r="CJ112" s="2">
        <v>76.2</v>
      </c>
      <c r="CK112" s="5">
        <v>18.288</v>
      </c>
      <c r="CR112" s="5">
        <v>94.488</v>
      </c>
      <c r="CS112" s="4">
        <v>5</v>
      </c>
      <c r="DE112" s="6">
        <v>168552.36800000002</v>
      </c>
      <c r="DG112" s="6">
        <v>1068.4743680000001</v>
      </c>
      <c r="DI112" s="5">
        <v>51.816000000000003</v>
      </c>
      <c r="DK112" s="6">
        <v>169672.658368</v>
      </c>
      <c r="DL112" s="5">
        <v>24.800258290847058</v>
      </c>
      <c r="DM112" s="6">
        <v>169672.658368</v>
      </c>
      <c r="DP112" s="6">
        <v>7258.3040000000001</v>
      </c>
      <c r="DV112" s="6">
        <v>7258.3040000000001</v>
      </c>
      <c r="DW112" s="5">
        <v>86.614876328243597</v>
      </c>
      <c r="DX112" s="6">
        <v>35519.360000000001</v>
      </c>
      <c r="DZ112" s="15">
        <v>798.6776000000001</v>
      </c>
      <c r="EA112" s="15">
        <v>981.52884155555557</v>
      </c>
      <c r="EB112" s="15">
        <v>46.888400000000004</v>
      </c>
      <c r="EC112" s="6">
        <v>1862.7783999999997</v>
      </c>
      <c r="ED112" s="15">
        <v>585.66608800000006</v>
      </c>
      <c r="EE112" s="5">
        <v>11.632047477744807</v>
      </c>
      <c r="EF112" s="6">
        <v>4287.1713770332999</v>
      </c>
      <c r="EG112" s="15">
        <v>260.80723281069152</v>
      </c>
      <c r="EZ112" s="15">
        <v>143.256</v>
      </c>
      <c r="FA112" s="4">
        <v>7.8377142857142861</v>
      </c>
      <c r="FF112" s="15">
        <v>151.0937142857143</v>
      </c>
      <c r="FG112" s="5">
        <v>19.249178997552843</v>
      </c>
      <c r="FI112" s="200"/>
      <c r="FJ112" s="6">
        <v>3337.56</v>
      </c>
      <c r="FK112" s="200"/>
      <c r="FL112" s="200"/>
      <c r="FM112" s="6">
        <f t="shared" si="354"/>
        <v>3337.56</v>
      </c>
      <c r="FN112" s="5">
        <v>50.002400000000002</v>
      </c>
      <c r="FQ112" s="2">
        <v>508</v>
      </c>
      <c r="FV112" s="2">
        <v>508</v>
      </c>
      <c r="FW112" s="15">
        <f>(2*382)/(1.02^8)</f>
        <v>652.06664358924525</v>
      </c>
      <c r="GE112" s="4">
        <v>5.5907673892671967</v>
      </c>
      <c r="GK112" s="4">
        <f>SUM(GE112:GJ112)</f>
        <v>5.5907673892671967</v>
      </c>
      <c r="GL112" s="2">
        <v>100</v>
      </c>
      <c r="GR112" s="6">
        <v>1120.6479999999999</v>
      </c>
      <c r="GS112" s="6">
        <v>36054.792000000001</v>
      </c>
      <c r="GT112" s="6">
        <v>37175.440000000002</v>
      </c>
      <c r="GU112" s="5">
        <v>13.433299305401876</v>
      </c>
      <c r="GW112" s="5">
        <v>16.483000000000001</v>
      </c>
      <c r="GX112" s="84">
        <v>12.510597000000001</v>
      </c>
      <c r="GY112" s="86">
        <v>2.14279E-2</v>
      </c>
      <c r="GZ112" s="87">
        <v>0.19285110000000003</v>
      </c>
      <c r="HA112" s="87">
        <v>0.214279</v>
      </c>
      <c r="HO112" s="5">
        <v>12.510597000000001</v>
      </c>
      <c r="HP112" s="17"/>
      <c r="HQ112" s="3">
        <v>2.14279E-2</v>
      </c>
      <c r="HR112" s="4">
        <v>0.19285110000000003</v>
      </c>
      <c r="HT112" s="4">
        <v>0.214279</v>
      </c>
      <c r="IC112" s="5">
        <v>99.236980602751075</v>
      </c>
      <c r="ID112" s="5">
        <v>44.780811074851322</v>
      </c>
      <c r="IF112" s="5">
        <v>31.395503047399686</v>
      </c>
      <c r="II112" s="5">
        <v>5.2324000000000002</v>
      </c>
      <c r="IJ112" s="15">
        <v>180.64569472500207</v>
      </c>
      <c r="IK112" s="15">
        <v>496.47289936601487</v>
      </c>
      <c r="MY112" s="5">
        <v>4.0640000000000001</v>
      </c>
      <c r="MZ112" s="15">
        <v>458.90748031496065</v>
      </c>
      <c r="NA112" s="5">
        <v>10.8712</v>
      </c>
      <c r="NB112" s="6">
        <v>1037.6039443667673</v>
      </c>
      <c r="NJ112" s="5">
        <v>14.9352</v>
      </c>
      <c r="NK112" s="15">
        <v>880.13551877443899</v>
      </c>
    </row>
    <row r="113" spans="1:375" x14ac:dyDescent="0.25">
      <c r="A113" s="2">
        <v>1901</v>
      </c>
      <c r="B113" s="6">
        <v>18609.680199999999</v>
      </c>
      <c r="C113" s="6">
        <v>5397.1872999999996</v>
      </c>
      <c r="D113" s="6">
        <v>22717.088299999999</v>
      </c>
      <c r="E113" s="6">
        <v>2161.1701000000003</v>
      </c>
      <c r="F113" s="15">
        <v>121.63210000000001</v>
      </c>
      <c r="G113" s="6">
        <v>52976.268700000001</v>
      </c>
      <c r="H113" s="15">
        <v>647.34649999999999</v>
      </c>
      <c r="I113" s="6">
        <v>102630.3732</v>
      </c>
      <c r="J113" s="15">
        <v>273.16593699286165</v>
      </c>
      <c r="K113" s="6">
        <v>97659.063754145493</v>
      </c>
      <c r="M113" s="6">
        <v>17775.5471</v>
      </c>
      <c r="N113" s="6">
        <v>367651.6667</v>
      </c>
      <c r="O113" s="6">
        <v>2586.3382000000001</v>
      </c>
      <c r="T113" s="6">
        <v>388013.55200000003</v>
      </c>
      <c r="U113" s="4">
        <v>7.2386895135808977</v>
      </c>
      <c r="V113" s="6">
        <v>257821.92340000003</v>
      </c>
      <c r="AN113" s="6">
        <v>548103.55200000003</v>
      </c>
      <c r="AO113" s="6">
        <v>6063920.8159999996</v>
      </c>
      <c r="AP113" s="6">
        <v>212678.264</v>
      </c>
      <c r="AQ113" s="6">
        <v>46165.008000000002</v>
      </c>
      <c r="AS113" s="6">
        <v>119721.376</v>
      </c>
      <c r="AT113" s="6">
        <v>6990589.0160000008</v>
      </c>
      <c r="AU113" s="4">
        <v>0.73757669507011403</v>
      </c>
      <c r="AW113" s="15">
        <v>152.4</v>
      </c>
      <c r="AX113" s="4">
        <v>0.48556430446194226</v>
      </c>
      <c r="BA113" s="4">
        <v>5.5880000000000001</v>
      </c>
      <c r="BE113" s="4">
        <v>5.5880000000000001</v>
      </c>
      <c r="BF113" s="4">
        <v>18.706126924007918</v>
      </c>
      <c r="BH113" s="6">
        <v>3109.9760000000001</v>
      </c>
      <c r="BI113" s="6">
        <v>6500.3680000000004</v>
      </c>
      <c r="BK113" s="6">
        <v>11697.208000000001</v>
      </c>
      <c r="BL113" s="6">
        <v>7457.44</v>
      </c>
      <c r="BM113" s="6">
        <v>1026.1600000000001</v>
      </c>
      <c r="BN113" s="15">
        <v>121.92</v>
      </c>
      <c r="BO113" s="6">
        <v>29913.072</v>
      </c>
      <c r="BP113" s="4">
        <v>147.66781559580375</v>
      </c>
      <c r="BQ113" s="6">
        <v>26701.313334482547</v>
      </c>
      <c r="BS113" s="6">
        <v>9322</v>
      </c>
      <c r="BV113" s="6">
        <v>9322</v>
      </c>
      <c r="BW113" s="4">
        <v>2.093113065865694</v>
      </c>
      <c r="BZ113" s="15">
        <v>436.88</v>
      </c>
      <c r="CA113" s="6">
        <v>4332.7828</v>
      </c>
      <c r="CC113" s="15">
        <v>621.79200000000003</v>
      </c>
      <c r="CE113" s="6">
        <v>20898.103999999999</v>
      </c>
      <c r="CG113" s="6">
        <v>26289.558799999999</v>
      </c>
      <c r="CH113" s="4">
        <v>23.369374731842328</v>
      </c>
      <c r="CJ113" s="15">
        <v>221.488</v>
      </c>
      <c r="CK113" s="5">
        <v>12.192</v>
      </c>
      <c r="CN113" s="15">
        <v>134.11199999999999</v>
      </c>
      <c r="CR113" s="15">
        <v>367.79200000000003</v>
      </c>
      <c r="CS113" s="4">
        <v>5</v>
      </c>
      <c r="DE113" s="6">
        <v>149389.592</v>
      </c>
      <c r="DG113" s="6">
        <v>1293.1749600000001</v>
      </c>
      <c r="DI113" s="4">
        <v>9.2354400000000005</v>
      </c>
      <c r="DK113" s="6">
        <v>150692.0024</v>
      </c>
      <c r="DL113" s="5">
        <v>31.405337522621679</v>
      </c>
      <c r="DM113" s="6">
        <v>150692.0024</v>
      </c>
      <c r="DP113" s="15">
        <v>226.56800000000001</v>
      </c>
      <c r="DV113" s="15">
        <v>226.56800000000001</v>
      </c>
      <c r="DW113" s="5">
        <v>80.36431824270025</v>
      </c>
      <c r="DX113" s="6">
        <v>37518.847999999998</v>
      </c>
      <c r="DZ113" s="6">
        <v>1181.3032000000001</v>
      </c>
      <c r="EA113" s="15">
        <v>747.66479288793107</v>
      </c>
      <c r="EB113" s="15">
        <v>46.888400000000004</v>
      </c>
      <c r="EC113" s="6">
        <v>1495.5608</v>
      </c>
      <c r="ED113" s="15">
        <v>522.24838399999999</v>
      </c>
      <c r="EE113" s="5">
        <v>56.498516320474636</v>
      </c>
      <c r="EF113" s="6">
        <v>4050.164093208406</v>
      </c>
      <c r="EG113" s="15">
        <v>230.93875023524913</v>
      </c>
      <c r="EZ113" s="2">
        <v>50.8</v>
      </c>
      <c r="FA113" s="4">
        <v>7.8377142857142861</v>
      </c>
      <c r="FF113" s="5">
        <v>58.637714285714281</v>
      </c>
      <c r="FG113" s="5">
        <v>26.417925779697278</v>
      </c>
      <c r="FI113" s="200"/>
      <c r="FJ113" s="6">
        <v>2522.7280000000001</v>
      </c>
      <c r="FK113" s="200"/>
      <c r="FL113" s="200"/>
      <c r="FM113" s="6">
        <f t="shared" si="354"/>
        <v>2522.7280000000001</v>
      </c>
      <c r="FN113" s="5">
        <v>52.681100000000001</v>
      </c>
      <c r="FQ113" s="15">
        <v>355.6</v>
      </c>
      <c r="FV113" s="15">
        <v>355.6</v>
      </c>
      <c r="FW113" s="15">
        <f>(2*382)/(1.02^7)</f>
        <v>665.10797646103026</v>
      </c>
      <c r="GE113" s="4">
        <v>4.7625055538202039</v>
      </c>
      <c r="GK113" s="4">
        <f>SUM(GE113:GJ113)</f>
        <v>4.7625055538202039</v>
      </c>
      <c r="GL113" s="2">
        <v>100</v>
      </c>
      <c r="GR113" s="6">
        <v>1719.0720000000001</v>
      </c>
      <c r="GS113" s="6">
        <v>42799</v>
      </c>
      <c r="GT113" s="6">
        <v>44518.072</v>
      </c>
      <c r="GU113" s="4">
        <v>3.1900932596191431</v>
      </c>
      <c r="GW113" s="5">
        <v>12.097900000000001</v>
      </c>
      <c r="GX113" s="87">
        <v>9.1823061000000017</v>
      </c>
      <c r="GY113" s="86">
        <v>1.5727270000000002E-2</v>
      </c>
      <c r="GZ113" s="87">
        <v>0.14154543000000003</v>
      </c>
      <c r="HA113" s="87">
        <v>0.15727270000000002</v>
      </c>
      <c r="HO113" s="4">
        <v>9.1823061000000017</v>
      </c>
      <c r="HP113" s="17"/>
      <c r="HQ113" s="3">
        <v>1.5727270000000002E-2</v>
      </c>
      <c r="HR113" s="4">
        <v>0.14154543000000003</v>
      </c>
      <c r="HT113" s="4">
        <v>0.15727270000000002</v>
      </c>
      <c r="IC113" s="5">
        <v>42.941595828103367</v>
      </c>
      <c r="ID113" s="5">
        <v>3.8156153712497467</v>
      </c>
      <c r="II113" s="5">
        <v>2.6162000000000001</v>
      </c>
      <c r="IJ113" s="5">
        <v>49.373411199353114</v>
      </c>
      <c r="IK113" s="15">
        <v>320.56433610143768</v>
      </c>
      <c r="MY113" s="5">
        <v>23.368000000000002</v>
      </c>
      <c r="MZ113" s="15">
        <v>362.59842519685037</v>
      </c>
      <c r="NA113" s="5">
        <v>4.2265600000000001</v>
      </c>
      <c r="NB113" s="6">
        <v>3153.8650817686248</v>
      </c>
      <c r="NJ113" s="5">
        <v>27.594560000000001</v>
      </c>
      <c r="NK113" s="15">
        <v>790.12674962021504</v>
      </c>
    </row>
    <row r="114" spans="1:375" x14ac:dyDescent="0.25">
      <c r="A114" s="2">
        <v>1902</v>
      </c>
      <c r="B114" s="6">
        <v>19918.399300000001</v>
      </c>
      <c r="C114" s="6">
        <v>5015.0616000000009</v>
      </c>
      <c r="D114" s="6">
        <v>22418.9326</v>
      </c>
      <c r="E114" s="6">
        <v>2207.9756000000002</v>
      </c>
      <c r="F114" s="15">
        <v>182.15270000000001</v>
      </c>
      <c r="G114" s="6">
        <v>58189.281800000004</v>
      </c>
      <c r="H114" s="15">
        <v>514.89160000000004</v>
      </c>
      <c r="I114" s="6">
        <v>108446.69520000002</v>
      </c>
      <c r="J114" s="15">
        <v>273.16589980749103</v>
      </c>
      <c r="K114" s="6">
        <v>108114.18241259622</v>
      </c>
      <c r="M114" s="6">
        <v>21810.803199999998</v>
      </c>
      <c r="N114" s="6">
        <v>321131.136</v>
      </c>
      <c r="O114" s="6">
        <v>1482.9413</v>
      </c>
      <c r="T114" s="6">
        <v>344424.88050000003</v>
      </c>
      <c r="U114" s="4">
        <v>6.348772798367194</v>
      </c>
      <c r="V114" s="6">
        <v>201638.16864000002</v>
      </c>
      <c r="AN114" s="6">
        <v>509555.49599999998</v>
      </c>
      <c r="AO114" s="6">
        <v>6037083.176</v>
      </c>
      <c r="AP114" s="6">
        <v>228766.62400000001</v>
      </c>
      <c r="AQ114" s="6">
        <v>49644.807999999997</v>
      </c>
      <c r="AS114" s="6">
        <v>143138.144</v>
      </c>
      <c r="AT114" s="6">
        <v>6968188.2480000006</v>
      </c>
      <c r="AU114" s="4">
        <v>0.74479647690775286</v>
      </c>
      <c r="BA114" s="4">
        <v>1.7272000000000001</v>
      </c>
      <c r="BE114" s="4">
        <v>1.7272000000000001</v>
      </c>
      <c r="BF114" s="4">
        <v>17.446798741993987</v>
      </c>
      <c r="BH114" s="6">
        <v>3844.5439999999999</v>
      </c>
      <c r="BI114" s="6">
        <v>6940.2960000000003</v>
      </c>
      <c r="BK114" s="6">
        <v>9730.232</v>
      </c>
      <c r="BL114" s="6">
        <v>8412.48</v>
      </c>
      <c r="BM114" s="15">
        <v>150.36799999999999</v>
      </c>
      <c r="BN114" s="5">
        <v>35.56</v>
      </c>
      <c r="BO114" s="6">
        <v>29113.48</v>
      </c>
      <c r="BP114" s="4">
        <v>113.19615518309732</v>
      </c>
      <c r="BQ114" s="6">
        <v>21651.014213774961</v>
      </c>
      <c r="BS114" s="6">
        <v>11995</v>
      </c>
      <c r="BV114" s="6">
        <v>11995</v>
      </c>
      <c r="BW114" s="4">
        <v>1.8884535223009586</v>
      </c>
      <c r="CA114" s="6">
        <v>13963.2436</v>
      </c>
      <c r="CC114" s="6">
        <v>2424.1759999999999</v>
      </c>
      <c r="CE114" s="2">
        <v>4876.8</v>
      </c>
      <c r="CG114" s="6">
        <v>21264.2196</v>
      </c>
      <c r="CH114" s="4">
        <v>26.978964585948496</v>
      </c>
      <c r="CJ114" s="6">
        <v>4673.6000000000004</v>
      </c>
      <c r="CN114" s="5">
        <v>18.288</v>
      </c>
      <c r="CR114" s="6">
        <v>4691.8879999999999</v>
      </c>
      <c r="CS114" s="4">
        <v>5</v>
      </c>
      <c r="DE114" s="6">
        <v>134896.35200000001</v>
      </c>
      <c r="DG114" s="6">
        <v>1385.1453119999999</v>
      </c>
      <c r="DI114" s="5">
        <v>19.060160000000003</v>
      </c>
      <c r="DK114" s="6">
        <v>136300.55747200001</v>
      </c>
      <c r="DL114" s="5">
        <v>20.345903411390427</v>
      </c>
      <c r="DM114" s="6">
        <v>136300.55747200001</v>
      </c>
      <c r="DS114" s="5">
        <v>19.304000000000002</v>
      </c>
      <c r="DV114" s="5">
        <v>19.304000000000002</v>
      </c>
      <c r="DW114" s="5">
        <v>94.651308152513622</v>
      </c>
      <c r="DX114" s="6">
        <v>29902.912</v>
      </c>
      <c r="DZ114" s="6">
        <v>1482.8520000000001</v>
      </c>
      <c r="EA114" s="15">
        <v>863.21314349532713</v>
      </c>
      <c r="EB114" s="15">
        <v>6.6040000000000001</v>
      </c>
      <c r="EC114" s="6">
        <v>1942.4399999999998</v>
      </c>
      <c r="ED114" s="15">
        <v>440.64173999999997</v>
      </c>
      <c r="EE114" s="5">
        <v>85.578635014836308</v>
      </c>
      <c r="EF114" s="6">
        <v>4821.3295185101633</v>
      </c>
      <c r="EG114" s="15">
        <v>233.31406359015247</v>
      </c>
      <c r="EZ114" s="5">
        <v>32.512</v>
      </c>
      <c r="FA114" s="4">
        <v>7.8377142857142861</v>
      </c>
      <c r="FF114" s="5">
        <v>40.349714285714285</v>
      </c>
      <c r="FG114" s="5">
        <v>18.91718322443737</v>
      </c>
      <c r="FI114" s="200"/>
      <c r="FJ114" s="6">
        <v>508</v>
      </c>
      <c r="FK114" s="200"/>
      <c r="FL114" s="200"/>
      <c r="FM114" s="15">
        <f t="shared" si="354"/>
        <v>508</v>
      </c>
      <c r="FN114" s="5">
        <v>41.966300000000004</v>
      </c>
      <c r="FT114" s="4">
        <v>1.016</v>
      </c>
      <c r="FV114" s="4">
        <v>1.016</v>
      </c>
      <c r="FW114" s="15">
        <f>(2*382)/(1.02^6)</f>
        <v>678.41013599025064</v>
      </c>
      <c r="GE114" s="5">
        <v>20.085349509589555</v>
      </c>
      <c r="GF114" s="4">
        <v>7.7649547073155505</v>
      </c>
      <c r="GK114" s="5">
        <f t="shared" ref="GK114:GK175" si="355">SUM(GE114:GJ114)</f>
        <v>27.850304216905105</v>
      </c>
      <c r="GL114" s="15">
        <v>123.09850455845516</v>
      </c>
      <c r="GR114" s="15">
        <v>944.88</v>
      </c>
      <c r="GS114" s="6">
        <v>62156.847999999998</v>
      </c>
      <c r="GT114" s="6">
        <v>63101.727999999996</v>
      </c>
      <c r="GU114" s="5">
        <v>10.16002032004064</v>
      </c>
      <c r="GW114" s="5">
        <v>11.6625</v>
      </c>
      <c r="GX114" s="87">
        <v>8.8518375000000002</v>
      </c>
      <c r="GY114" s="86">
        <v>1.5161249999999999E-2</v>
      </c>
      <c r="GZ114" s="87">
        <v>0.13645125</v>
      </c>
      <c r="HA114" s="87">
        <v>0.15161249999999998</v>
      </c>
      <c r="HO114" s="4">
        <v>8.8518375000000002</v>
      </c>
      <c r="HP114" s="17"/>
      <c r="HQ114" s="3">
        <v>1.5161249999999999E-2</v>
      </c>
      <c r="HR114" s="4">
        <v>0.13645125</v>
      </c>
      <c r="HT114" s="4">
        <v>0.15161249999999998</v>
      </c>
      <c r="IC114" s="5">
        <v>37.060289082415672</v>
      </c>
      <c r="IJ114" s="5">
        <v>37.060289082415672</v>
      </c>
      <c r="IK114" s="15">
        <v>382.17698008750784</v>
      </c>
      <c r="MY114" s="5">
        <v>21.335999999999999</v>
      </c>
      <c r="MZ114" s="15">
        <v>242.1259842519685</v>
      </c>
      <c r="NA114" s="5">
        <v>2.0624800000000003</v>
      </c>
      <c r="NB114" s="6">
        <v>3006.0897560218759</v>
      </c>
      <c r="NJ114" s="5">
        <v>23.398479999999999</v>
      </c>
      <c r="NK114" s="15">
        <v>485.75804924080541</v>
      </c>
    </row>
    <row r="115" spans="1:375" x14ac:dyDescent="0.25">
      <c r="A115" s="2">
        <v>1903</v>
      </c>
      <c r="B115" s="6">
        <v>20791.780600000002</v>
      </c>
      <c r="C115" s="6">
        <v>7907.4859999999999</v>
      </c>
      <c r="D115" s="6">
        <v>23862.936699999998</v>
      </c>
      <c r="E115" s="6">
        <v>1862.6412000000003</v>
      </c>
      <c r="F115" s="15">
        <v>209.86280000000002</v>
      </c>
      <c r="G115" s="6">
        <v>64215.373300000007</v>
      </c>
      <c r="H115" s="15">
        <v>511.06630000000007</v>
      </c>
      <c r="I115" s="6">
        <v>119361.14690000002</v>
      </c>
      <c r="J115" s="15">
        <v>273.16592104489456</v>
      </c>
      <c r="K115" s="6">
        <v>119044.34925206339</v>
      </c>
      <c r="M115" s="6">
        <v>19970.087500000001</v>
      </c>
      <c r="N115" s="6">
        <v>255834.85110000003</v>
      </c>
      <c r="O115" s="15">
        <v>895.68</v>
      </c>
      <c r="Q115" s="15">
        <v>220.37460000000002</v>
      </c>
      <c r="T115" s="6">
        <v>276920.99319999997</v>
      </c>
      <c r="U115" s="4">
        <v>6.6541875083354647</v>
      </c>
      <c r="V115" s="6">
        <v>248674.05588500001</v>
      </c>
      <c r="AN115" s="6">
        <v>515925.81599999999</v>
      </c>
      <c r="AO115" s="6">
        <v>6456523.5360000003</v>
      </c>
      <c r="AP115" s="6">
        <v>65227.199999999997</v>
      </c>
      <c r="AQ115" s="6">
        <v>49854.103999999999</v>
      </c>
      <c r="AS115" s="6">
        <v>135561.83199999999</v>
      </c>
      <c r="AT115" s="6">
        <v>7223092.4880000008</v>
      </c>
      <c r="AU115" s="4">
        <v>0.73369744846324558</v>
      </c>
      <c r="AW115" s="6">
        <v>5751.576</v>
      </c>
      <c r="AX115" s="4">
        <v>0.98303491077923688</v>
      </c>
      <c r="BA115" s="4">
        <v>7.7215999999999996</v>
      </c>
      <c r="BE115" s="4">
        <v>7.7215999999999996</v>
      </c>
      <c r="BF115" s="4">
        <v>20.199680922237661</v>
      </c>
      <c r="BH115" s="6">
        <v>4994.6559999999999</v>
      </c>
      <c r="BI115" s="6">
        <v>6565.3919999999998</v>
      </c>
      <c r="BJ115" s="4">
        <v>9.1440000000000001</v>
      </c>
      <c r="BK115" s="6">
        <v>7193.28</v>
      </c>
      <c r="BL115" s="6">
        <v>8270.24</v>
      </c>
      <c r="BM115" s="6">
        <v>1021.08</v>
      </c>
      <c r="BN115" s="4">
        <v>1.016</v>
      </c>
      <c r="BO115" s="6">
        <v>28054.808000000001</v>
      </c>
      <c r="BP115" s="4">
        <v>127.51447095984403</v>
      </c>
      <c r="BQ115" s="6">
        <v>21339.924341287624</v>
      </c>
      <c r="BS115" s="6">
        <v>12239</v>
      </c>
      <c r="BV115" s="6">
        <v>12239</v>
      </c>
      <c r="BW115" s="4">
        <v>1.6319960781109568</v>
      </c>
      <c r="BZ115" s="6">
        <v>9964.9279999999999</v>
      </c>
      <c r="CA115" s="6">
        <v>23686.516</v>
      </c>
      <c r="CC115" s="6">
        <v>6075.68</v>
      </c>
      <c r="CD115" s="6">
        <v>86290.911999999997</v>
      </c>
      <c r="CE115" s="2">
        <v>223.52</v>
      </c>
      <c r="CG115" s="6">
        <v>126241.556</v>
      </c>
      <c r="CH115" s="4">
        <v>27.748595589205635</v>
      </c>
      <c r="CJ115" s="6">
        <v>1341.12</v>
      </c>
      <c r="CR115" s="6">
        <v>1341.12</v>
      </c>
      <c r="CS115" s="4">
        <v>5</v>
      </c>
      <c r="DD115" s="6">
        <v>3855.72</v>
      </c>
      <c r="DE115" s="6">
        <v>123950.984</v>
      </c>
      <c r="DG115" s="6">
        <v>11669.776</v>
      </c>
      <c r="DH115" s="15">
        <v>566.928</v>
      </c>
      <c r="DK115" s="6">
        <v>140043.40800000002</v>
      </c>
      <c r="DL115" s="5">
        <v>21.670953755602234</v>
      </c>
      <c r="DM115" s="6">
        <v>139216.023828</v>
      </c>
      <c r="DP115" s="6">
        <v>7341.616</v>
      </c>
      <c r="DS115" s="5">
        <v>22.352</v>
      </c>
      <c r="DV115" s="6">
        <v>7363.9679999999998</v>
      </c>
      <c r="DW115" s="15">
        <v>106.25948745423699</v>
      </c>
      <c r="DX115" s="6">
        <v>36062.92</v>
      </c>
      <c r="DZ115" s="6">
        <v>2637.4852000000001</v>
      </c>
      <c r="EA115" s="6">
        <v>1028.7031644274552</v>
      </c>
      <c r="EB115" s="15">
        <v>21.793199999999999</v>
      </c>
      <c r="EC115" s="6">
        <v>2370.3247999999999</v>
      </c>
      <c r="ED115" s="15">
        <v>581.08596</v>
      </c>
      <c r="EE115" s="15">
        <v>121.72106824925802</v>
      </c>
      <c r="EF115" s="6">
        <v>6761.1133926767134</v>
      </c>
      <c r="EG115" s="15">
        <v>254.68877183067701</v>
      </c>
      <c r="EZ115" s="4">
        <v>7.1120000000000001</v>
      </c>
      <c r="FA115" s="4">
        <v>3.048</v>
      </c>
      <c r="FB115" s="2">
        <v>11.176</v>
      </c>
      <c r="FF115" s="5">
        <v>21.335999999999999</v>
      </c>
      <c r="FG115" s="5">
        <v>20.442156268927921</v>
      </c>
      <c r="FI115" s="200"/>
      <c r="FJ115" s="6">
        <v>1982.2160000000001</v>
      </c>
      <c r="FK115" s="200"/>
      <c r="FL115" s="200"/>
      <c r="FM115" s="15">
        <f t="shared" si="354"/>
        <v>1982.2160000000001</v>
      </c>
      <c r="FN115" s="5">
        <v>37.501800000000003</v>
      </c>
      <c r="FQ115" s="2">
        <v>40.64</v>
      </c>
      <c r="FV115" s="5">
        <v>40.64</v>
      </c>
      <c r="FW115" s="15">
        <f>(2*382)/(1.02^5)</f>
        <v>691.97833871005571</v>
      </c>
      <c r="GE115" s="4">
        <v>5.0731037421128269</v>
      </c>
      <c r="GF115" s="5">
        <v>15.012245767476729</v>
      </c>
      <c r="GK115" s="5">
        <f t="shared" si="355"/>
        <v>20.085349509589555</v>
      </c>
      <c r="GL115" s="15">
        <v>154.18151678855</v>
      </c>
      <c r="GQ115" s="6">
        <v>1016</v>
      </c>
      <c r="GR115" s="6">
        <v>2710.6880000000001</v>
      </c>
      <c r="GS115" s="6">
        <v>71217.536000000007</v>
      </c>
      <c r="GT115" s="6">
        <v>74944.224000000002</v>
      </c>
      <c r="GU115" s="4">
        <v>1.5007260149452832</v>
      </c>
      <c r="GW115" s="5">
        <v>16.483000000000001</v>
      </c>
      <c r="GX115" s="84">
        <v>12.510597000000001</v>
      </c>
      <c r="GY115" s="86">
        <v>2.14279E-2</v>
      </c>
      <c r="GZ115" s="87">
        <v>0.19285110000000003</v>
      </c>
      <c r="HA115" s="87">
        <v>0.214279</v>
      </c>
      <c r="HO115" s="5">
        <v>12.510597000000001</v>
      </c>
      <c r="HP115" s="17"/>
      <c r="HQ115" s="3">
        <v>2.14279E-2</v>
      </c>
      <c r="HR115" s="4">
        <v>0.19285110000000003</v>
      </c>
      <c r="HT115" s="4">
        <v>0.214279</v>
      </c>
      <c r="IC115" s="15">
        <v>107.99851633690915</v>
      </c>
      <c r="ID115" s="5">
        <v>6.7071066654589222</v>
      </c>
      <c r="IJ115" s="15">
        <v>114.70562300236807</v>
      </c>
      <c r="IK115" s="15">
        <v>308.95615679971428</v>
      </c>
      <c r="MY115" s="5">
        <v>17.78</v>
      </c>
      <c r="MZ115" s="15">
        <v>451.50322118826057</v>
      </c>
      <c r="NA115" s="5">
        <v>4.4196</v>
      </c>
      <c r="NB115" s="6">
        <v>4315.7751832745043</v>
      </c>
      <c r="NJ115" s="5">
        <v>22.1996</v>
      </c>
      <c r="NK115" s="6">
        <v>1220.8205225646982</v>
      </c>
    </row>
    <row r="116" spans="1:375" x14ac:dyDescent="0.25">
      <c r="A116" s="2">
        <v>1904</v>
      </c>
      <c r="B116" s="6">
        <v>19877.564999999999</v>
      </c>
      <c r="C116" s="6">
        <v>8391.3087000000014</v>
      </c>
      <c r="D116" s="6">
        <v>23810.16</v>
      </c>
      <c r="E116" s="6">
        <v>2050.1431000000002</v>
      </c>
      <c r="F116" s="15">
        <v>556.62780000000009</v>
      </c>
      <c r="G116" s="6">
        <v>61678.484100000001</v>
      </c>
      <c r="H116" s="15">
        <v>307.89</v>
      </c>
      <c r="I116" s="6">
        <v>116672.1787</v>
      </c>
      <c r="J116" s="15">
        <v>273.16592076843733</v>
      </c>
      <c r="K116" s="6">
        <v>104976.55097271183</v>
      </c>
      <c r="M116" s="6">
        <v>20368.291900000004</v>
      </c>
      <c r="N116" s="6">
        <v>332668.14750000002</v>
      </c>
      <c r="O116" s="15">
        <v>891.1083000000001</v>
      </c>
      <c r="T116" s="6">
        <v>353927.5477</v>
      </c>
      <c r="U116" s="4">
        <v>7.0683223930108934</v>
      </c>
      <c r="V116" s="6">
        <v>347044.06641115004</v>
      </c>
      <c r="AN116" s="6">
        <v>520207.24</v>
      </c>
      <c r="AO116" s="6">
        <v>6116125.9440000001</v>
      </c>
      <c r="AP116" s="6">
        <v>123688.856</v>
      </c>
      <c r="AQ116" s="6">
        <v>62086.743999999999</v>
      </c>
      <c r="AS116" s="6">
        <v>140766.79999999999</v>
      </c>
      <c r="AT116" s="6">
        <v>6962875.5839999998</v>
      </c>
      <c r="AU116" s="4">
        <v>0.66953487310363347</v>
      </c>
      <c r="BA116" s="4">
        <v>0.30480000000000002</v>
      </c>
      <c r="BE116" s="4">
        <v>0.30480000000000002</v>
      </c>
      <c r="BF116" s="4">
        <v>21.671602976233473</v>
      </c>
      <c r="BH116" s="6">
        <v>4439.92</v>
      </c>
      <c r="BI116" s="6">
        <v>6192.52</v>
      </c>
      <c r="BK116" s="6">
        <v>8426.7039999999997</v>
      </c>
      <c r="BL116" s="6">
        <v>7010.4</v>
      </c>
      <c r="BM116" s="15">
        <v>513.08000000000004</v>
      </c>
      <c r="BN116" s="15">
        <v>300.73599999999999</v>
      </c>
      <c r="BO116" s="6">
        <v>26883.360000000001</v>
      </c>
      <c r="BP116" s="4">
        <v>126.25646496568881</v>
      </c>
      <c r="BQ116" s="6">
        <v>22849.620027011493</v>
      </c>
      <c r="BS116" s="6">
        <v>14926</v>
      </c>
      <c r="BV116" s="6">
        <v>14926</v>
      </c>
      <c r="BW116" s="4">
        <v>1.6256295467263571</v>
      </c>
      <c r="BZ116" s="6">
        <v>4501.8959999999997</v>
      </c>
      <c r="CA116" s="6">
        <v>9221.2160000000003</v>
      </c>
      <c r="CC116" s="6">
        <v>6949.44</v>
      </c>
      <c r="CD116" s="6">
        <v>47433.991999999998</v>
      </c>
      <c r="CE116" s="2">
        <v>1464.056</v>
      </c>
      <c r="CG116" s="6">
        <v>69570.599999999991</v>
      </c>
      <c r="CH116" s="4">
        <v>25.142383142135792</v>
      </c>
      <c r="CJ116" s="15">
        <v>843.28</v>
      </c>
      <c r="CR116" s="15">
        <v>843.28</v>
      </c>
      <c r="CS116" s="4">
        <v>4.9212598425196852</v>
      </c>
      <c r="DD116" s="6">
        <v>2078.7359999999999</v>
      </c>
      <c r="DE116" s="6">
        <v>168193.72</v>
      </c>
      <c r="DG116" s="6">
        <v>14620.24</v>
      </c>
      <c r="DJ116" s="15">
        <v>169.672</v>
      </c>
      <c r="DK116" s="6">
        <v>185062.36799999999</v>
      </c>
      <c r="DL116" s="5">
        <v>22.072138993844536</v>
      </c>
      <c r="DM116" s="6">
        <v>170009.86498848003</v>
      </c>
      <c r="DP116" s="6">
        <v>22393.655999999999</v>
      </c>
      <c r="DV116" s="6">
        <v>22393.655999999999</v>
      </c>
      <c r="DW116" s="15">
        <v>100.00892936869364</v>
      </c>
      <c r="DX116" s="6">
        <v>22393.655999999999</v>
      </c>
      <c r="DZ116" s="6">
        <v>2790.0376000000001</v>
      </c>
      <c r="EA116" s="6">
        <v>1152.5557912263462</v>
      </c>
      <c r="EB116" s="15">
        <v>46.888400000000004</v>
      </c>
      <c r="EC116" s="6">
        <v>2493.16</v>
      </c>
      <c r="ED116" s="15">
        <v>607.72039999999981</v>
      </c>
      <c r="EE116" s="15">
        <v>191.92878338278933</v>
      </c>
      <c r="EF116" s="6">
        <v>7282.2909746091354</v>
      </c>
      <c r="EG116" s="15">
        <v>254.62214331339342</v>
      </c>
      <c r="EZ116" s="5">
        <v>62.992000000000004</v>
      </c>
      <c r="FA116" s="4">
        <v>9.1440000000000001</v>
      </c>
      <c r="FF116" s="5">
        <v>72.13600000000001</v>
      </c>
      <c r="FG116" s="4">
        <v>9.0965317438214122</v>
      </c>
      <c r="FI116" s="200"/>
      <c r="FJ116" s="6">
        <v>403.35200000000003</v>
      </c>
      <c r="FK116" s="200"/>
      <c r="FL116" s="200"/>
      <c r="FM116" s="15">
        <f t="shared" si="354"/>
        <v>403.35200000000003</v>
      </c>
      <c r="FN116" s="5">
        <v>41.073399999999999</v>
      </c>
      <c r="FQ116" s="2">
        <v>50.8</v>
      </c>
      <c r="FV116" s="5">
        <v>50.8</v>
      </c>
      <c r="FW116" s="15">
        <f>(2*382)/(1.02^4)</f>
        <v>705.81790548425693</v>
      </c>
      <c r="GE116" s="5">
        <v>14.944949493346662</v>
      </c>
      <c r="GF116" s="5">
        <v>13.071007090647841</v>
      </c>
      <c r="GK116" s="5">
        <f t="shared" si="355"/>
        <v>28.015956583994502</v>
      </c>
      <c r="GL116" s="15">
        <v>108.28161301477849</v>
      </c>
      <c r="GQ116" s="6">
        <v>3048</v>
      </c>
      <c r="GR116" s="6">
        <v>2893.5680000000002</v>
      </c>
      <c r="GS116" s="6">
        <v>72905.111999999994</v>
      </c>
      <c r="GT116" s="6">
        <v>78846.679999999993</v>
      </c>
      <c r="GU116" s="4">
        <v>3.2043484030788285</v>
      </c>
      <c r="GW116" s="5">
        <v>16.638500000000001</v>
      </c>
      <c r="GX116" s="84">
        <v>12.628621500000001</v>
      </c>
      <c r="GY116" s="86">
        <v>2.1630050000000001E-2</v>
      </c>
      <c r="GZ116" s="87">
        <v>0.19467045000000002</v>
      </c>
      <c r="HA116" s="87">
        <v>0.21630050000000001</v>
      </c>
      <c r="HO116" s="5">
        <v>12.628621500000001</v>
      </c>
      <c r="HP116" s="17"/>
      <c r="HQ116" s="3">
        <v>2.1630050000000001E-2</v>
      </c>
      <c r="HR116" s="4">
        <v>0.19467045000000002</v>
      </c>
      <c r="HT116" s="4">
        <v>0.21630050000000001</v>
      </c>
      <c r="IC116" s="15">
        <v>806.60107870961065</v>
      </c>
      <c r="ID116" s="5">
        <v>59.506940804099436</v>
      </c>
      <c r="IF116" s="4">
        <v>9.0535869252966545</v>
      </c>
      <c r="II116" s="5">
        <v>14.650720000000002</v>
      </c>
      <c r="IJ116" s="15">
        <v>889.81232643900671</v>
      </c>
      <c r="IK116" s="15">
        <v>511.65282614519157</v>
      </c>
      <c r="MY116" s="5">
        <v>10.668000000000001</v>
      </c>
      <c r="MZ116" s="15">
        <v>340.75813872899141</v>
      </c>
      <c r="NA116" s="5">
        <v>8.1889599999999998</v>
      </c>
      <c r="NB116" s="6">
        <v>3011.1271761005059</v>
      </c>
      <c r="NC116" s="5">
        <v>0.30480000000000002</v>
      </c>
      <c r="ND116" s="5">
        <v>98.425196850393689</v>
      </c>
      <c r="NJ116" s="5">
        <v>19.161760000000001</v>
      </c>
      <c r="NK116" s="6">
        <v>1478.1109785302019</v>
      </c>
    </row>
    <row r="117" spans="1:375" x14ac:dyDescent="0.25">
      <c r="A117" s="2">
        <v>1905</v>
      </c>
      <c r="B117" s="6">
        <v>18430.5442</v>
      </c>
      <c r="C117" s="6">
        <v>8529.7037000000018</v>
      </c>
      <c r="D117" s="6">
        <v>23236.8626</v>
      </c>
      <c r="E117" s="6">
        <v>2287.0940000000001</v>
      </c>
      <c r="F117" s="15">
        <v>335.72449999999998</v>
      </c>
      <c r="G117" s="6">
        <v>60810.358700000004</v>
      </c>
      <c r="H117" s="15">
        <v>378.20710000000003</v>
      </c>
      <c r="I117" s="6">
        <v>114008.4948</v>
      </c>
      <c r="J117" s="15">
        <v>273.16591893274409</v>
      </c>
      <c r="K117" s="6">
        <v>100751.29932133321</v>
      </c>
      <c r="M117" s="6">
        <v>18713.243200000001</v>
      </c>
      <c r="N117" s="6">
        <v>319878.89449999999</v>
      </c>
      <c r="O117" s="6">
        <v>1013.86</v>
      </c>
      <c r="T117" s="6">
        <v>339605.99770000001</v>
      </c>
      <c r="U117" s="4">
        <v>8.0395093613552753</v>
      </c>
      <c r="V117" s="6">
        <v>344641.42977679876</v>
      </c>
      <c r="AN117" s="6">
        <v>537795.21600000001</v>
      </c>
      <c r="AO117" s="6">
        <v>6738252.2079999996</v>
      </c>
      <c r="AP117" s="6">
        <v>157617.16</v>
      </c>
      <c r="AQ117" s="6">
        <v>52824.887999999999</v>
      </c>
      <c r="AS117" s="6">
        <v>129401.82400000001</v>
      </c>
      <c r="AT117" s="6">
        <v>7615891.2960000001</v>
      </c>
      <c r="AU117" s="4">
        <v>0.60945007895355818</v>
      </c>
      <c r="AW117" s="15">
        <v>50.8</v>
      </c>
      <c r="AX117" s="4">
        <v>0.98425196850393704</v>
      </c>
      <c r="BH117" s="6">
        <v>7336.5360000000001</v>
      </c>
      <c r="BI117" s="6">
        <v>7122.16</v>
      </c>
      <c r="BK117" s="6">
        <v>9553.4480000000003</v>
      </c>
      <c r="BL117" s="6">
        <v>6695.44</v>
      </c>
      <c r="BM117" s="15">
        <v>328.16800000000001</v>
      </c>
      <c r="BN117" s="15">
        <v>223.52</v>
      </c>
      <c r="BO117" s="6">
        <v>31259.272000000001</v>
      </c>
      <c r="BP117" s="4">
        <v>133.97125819180945</v>
      </c>
      <c r="BQ117" s="6">
        <v>31698.224072000001</v>
      </c>
      <c r="BS117" s="6">
        <v>6354</v>
      </c>
      <c r="BV117" s="6">
        <v>6354</v>
      </c>
      <c r="BW117" s="4">
        <v>1.1787850173119294</v>
      </c>
      <c r="BZ117" s="6">
        <v>4411.4719999999998</v>
      </c>
      <c r="CA117" s="6">
        <v>7460.4880000000003</v>
      </c>
      <c r="CC117" s="6">
        <v>6400.8</v>
      </c>
      <c r="CD117" s="6">
        <v>85834.728000000003</v>
      </c>
      <c r="CE117" s="2">
        <v>3264.4079999999999</v>
      </c>
      <c r="CG117" s="6">
        <v>107371.89599999999</v>
      </c>
      <c r="CH117" s="4">
        <v>37.932765431530413</v>
      </c>
      <c r="CJ117" s="6">
        <v>1541.2719999999999</v>
      </c>
      <c r="CR117" s="6">
        <v>1541.2719999999999</v>
      </c>
      <c r="CS117" s="4">
        <v>4.9212598425196852</v>
      </c>
      <c r="DD117" s="6">
        <v>2460.752</v>
      </c>
      <c r="DE117" s="6">
        <v>164821.61600000001</v>
      </c>
      <c r="DG117" s="6">
        <v>24645.112000000001</v>
      </c>
      <c r="DH117" s="5">
        <v>31.496000000000002</v>
      </c>
      <c r="DJ117" s="5">
        <v>98.552000000000007</v>
      </c>
      <c r="DK117" s="6">
        <v>192057.52800000002</v>
      </c>
      <c r="DL117" s="5">
        <v>24.788222562227116</v>
      </c>
      <c r="DM117" s="6">
        <v>168695.55317045501</v>
      </c>
      <c r="DP117" s="6">
        <v>42075.608</v>
      </c>
      <c r="DV117" s="6">
        <v>42075.608</v>
      </c>
      <c r="DW117" s="15">
        <v>116.08179301723369</v>
      </c>
      <c r="DX117" s="6">
        <v>42075.608</v>
      </c>
      <c r="DZ117" s="6">
        <v>2805.6839999999997</v>
      </c>
      <c r="EA117" s="6">
        <v>1355.6977524013628</v>
      </c>
      <c r="EB117" s="15">
        <v>81.889600000000016</v>
      </c>
      <c r="EC117" s="6">
        <v>2806.5407599999999</v>
      </c>
      <c r="ED117" s="15">
        <v>767.56971199999998</v>
      </c>
      <c r="EE117" s="15">
        <v>204.80712166172063</v>
      </c>
      <c r="EF117" s="6">
        <v>8022.1889460630846</v>
      </c>
      <c r="EG117" s="15">
        <v>275.22211911358272</v>
      </c>
      <c r="EY117" s="5">
        <v>12.192</v>
      </c>
      <c r="EZ117" s="15">
        <v>224.536</v>
      </c>
      <c r="FA117" s="5">
        <v>10.16</v>
      </c>
      <c r="FF117" s="15">
        <v>246.88800000000001</v>
      </c>
      <c r="FG117" s="5">
        <v>26.485141232104393</v>
      </c>
      <c r="FI117" s="200"/>
      <c r="FJ117" s="6">
        <v>52.832000000000001</v>
      </c>
      <c r="FK117" s="200"/>
      <c r="FL117" s="200"/>
      <c r="FM117" s="5">
        <f t="shared" si="354"/>
        <v>52.832000000000001</v>
      </c>
      <c r="FN117" s="5">
        <v>38.3947</v>
      </c>
      <c r="FP117" s="5">
        <v>32.512</v>
      </c>
      <c r="FQ117" s="5">
        <v>20.32</v>
      </c>
      <c r="FV117" s="5">
        <v>52.832000000000001</v>
      </c>
      <c r="FW117" s="15">
        <f>(2*382)/(1.02^3)</f>
        <v>719.93426359394209</v>
      </c>
      <c r="GA117" s="4">
        <v>0.7552402677376171</v>
      </c>
      <c r="GB117" s="4">
        <v>0.7552402677376171</v>
      </c>
      <c r="GE117" s="5">
        <v>33.026940688448803</v>
      </c>
      <c r="GF117" s="5">
        <v>10.042674754794778</v>
      </c>
      <c r="GK117" s="5">
        <f t="shared" si="355"/>
        <v>43.069615443243578</v>
      </c>
      <c r="GL117" s="15">
        <v>129.61129551735962</v>
      </c>
      <c r="GQ117" s="6">
        <v>5080</v>
      </c>
      <c r="GS117" s="6">
        <v>51555.904000000002</v>
      </c>
      <c r="GT117" s="6">
        <v>56635.904000000002</v>
      </c>
      <c r="GU117" s="4">
        <v>4.5001956947162425</v>
      </c>
      <c r="GW117" s="5">
        <v>12.377800000000001</v>
      </c>
      <c r="GX117" s="87">
        <v>9.3947502000000007</v>
      </c>
      <c r="GY117" s="86">
        <v>1.609114E-2</v>
      </c>
      <c r="GZ117" s="87">
        <v>0.14482026000000001</v>
      </c>
      <c r="HA117" s="87">
        <v>0.16091140000000001</v>
      </c>
      <c r="HO117" s="4">
        <v>9.3947502000000007</v>
      </c>
      <c r="HP117" s="17"/>
      <c r="HQ117" s="3">
        <v>1.609114E-2</v>
      </c>
      <c r="HR117" s="4">
        <v>0.14482026000000001</v>
      </c>
      <c r="HT117" s="4">
        <v>0.16091140000000001</v>
      </c>
      <c r="IC117" s="15">
        <v>744.28742525136204</v>
      </c>
      <c r="ID117" s="15">
        <v>117.37839493782273</v>
      </c>
      <c r="IF117" s="5">
        <v>18.837301828439809</v>
      </c>
      <c r="II117" s="5">
        <v>31.917640000000002</v>
      </c>
      <c r="IJ117" s="15">
        <v>912.4207620176245</v>
      </c>
      <c r="IK117" s="15">
        <v>692.02607375658545</v>
      </c>
      <c r="IN117" s="5">
        <v>52.340357600000004</v>
      </c>
      <c r="IP117" s="5">
        <v>52.340357600000004</v>
      </c>
      <c r="IQ117" s="6">
        <v>1081.9042443193023</v>
      </c>
      <c r="MY117" s="5">
        <v>18.694400000000002</v>
      </c>
      <c r="MZ117" s="15">
        <v>690.64896299727241</v>
      </c>
      <c r="NA117" s="5">
        <v>11.257280000000002</v>
      </c>
      <c r="NB117" s="6">
        <v>3688.8129281673719</v>
      </c>
      <c r="NC117" s="5">
        <v>3.556</v>
      </c>
      <c r="ND117" s="15">
        <v>449.94375703037122</v>
      </c>
      <c r="NJ117" s="5">
        <v>33.507680000000001</v>
      </c>
      <c r="NK117" s="6">
        <v>1672.3708706140269</v>
      </c>
    </row>
    <row r="118" spans="1:375" x14ac:dyDescent="0.25">
      <c r="A118" s="2">
        <v>1906</v>
      </c>
      <c r="B118" s="6">
        <v>16938.179600000003</v>
      </c>
      <c r="C118" s="6">
        <v>7898.9957000000004</v>
      </c>
      <c r="D118" s="6">
        <v>24018.219000000001</v>
      </c>
      <c r="E118" s="6">
        <v>1866.7153000000001</v>
      </c>
      <c r="F118" s="15">
        <v>197.67160000000001</v>
      </c>
      <c r="G118" s="6">
        <v>55810.442800000004</v>
      </c>
      <c r="H118" s="15">
        <v>359.60929999999996</v>
      </c>
      <c r="I118" s="6">
        <v>107089.83330000001</v>
      </c>
      <c r="J118" s="15">
        <v>273.16590101742264</v>
      </c>
      <c r="K118" s="6">
        <v>94588.944789521178</v>
      </c>
      <c r="M118" s="6">
        <v>24354.005699999998</v>
      </c>
      <c r="N118" s="6">
        <v>270147.75530000002</v>
      </c>
      <c r="O118" s="6">
        <v>1092.3875</v>
      </c>
      <c r="Q118" s="5">
        <v>24.911100000000001</v>
      </c>
      <c r="T118" s="6">
        <v>295619.05960000004</v>
      </c>
      <c r="U118" s="4">
        <v>8.2206277395087923</v>
      </c>
      <c r="V118" s="6">
        <v>296896.79821856588</v>
      </c>
      <c r="AN118" s="6">
        <v>616480.35199999996</v>
      </c>
      <c r="AO118" s="6">
        <v>7748383.7920000004</v>
      </c>
      <c r="AP118" s="6">
        <v>163201.09599999999</v>
      </c>
      <c r="AQ118" s="6">
        <v>53742.336000000003</v>
      </c>
      <c r="AS118" s="6">
        <v>152151.07999999999</v>
      </c>
      <c r="AT118" s="6">
        <v>8733958.6559999995</v>
      </c>
      <c r="AU118" s="4">
        <v>0.61678556706412846</v>
      </c>
      <c r="BH118" s="6">
        <v>10238.232</v>
      </c>
      <c r="BI118" s="6">
        <v>8092.44</v>
      </c>
      <c r="BK118" s="6">
        <v>9597.1360000000004</v>
      </c>
      <c r="BL118" s="6">
        <v>8339.3279999999995</v>
      </c>
      <c r="BM118" s="15">
        <v>919.48</v>
      </c>
      <c r="BN118" s="15">
        <v>329.18400000000003</v>
      </c>
      <c r="BO118" s="6">
        <v>37515.800000000003</v>
      </c>
      <c r="BP118" s="4">
        <v>178.31121820672888</v>
      </c>
      <c r="BQ118" s="6">
        <v>35441.469800000006</v>
      </c>
      <c r="BS118" s="6">
        <v>2827</v>
      </c>
      <c r="BV118" s="6">
        <v>2827</v>
      </c>
      <c r="BW118" s="4">
        <v>1.4998231340643793</v>
      </c>
      <c r="BZ118" s="6">
        <v>31903.416000000001</v>
      </c>
      <c r="CA118" s="6">
        <v>1543.3040000000001</v>
      </c>
      <c r="CC118" s="6">
        <v>2641.6</v>
      </c>
      <c r="CD118" s="6">
        <v>76429.615999999995</v>
      </c>
      <c r="CE118" s="2">
        <v>1300.48</v>
      </c>
      <c r="CG118" s="6">
        <v>113818.41599999998</v>
      </c>
      <c r="CH118" s="4">
        <v>27.76771653543307</v>
      </c>
      <c r="CJ118" s="6">
        <v>1130.808</v>
      </c>
      <c r="CK118" s="5">
        <v>60.96</v>
      </c>
      <c r="CR118" s="6">
        <v>1191.768</v>
      </c>
      <c r="CS118" s="4">
        <v>5</v>
      </c>
      <c r="DD118" s="6">
        <v>2853.944</v>
      </c>
      <c r="DE118" s="6">
        <v>140825.728</v>
      </c>
      <c r="DG118" s="6">
        <v>23384.256000000001</v>
      </c>
      <c r="DH118" s="5">
        <v>30.48</v>
      </c>
      <c r="DJ118" s="15">
        <v>237.744</v>
      </c>
      <c r="DK118" s="6">
        <v>167332.152</v>
      </c>
      <c r="DL118" s="5">
        <v>36.167089283331109</v>
      </c>
      <c r="DM118" s="6">
        <v>144596.72416538399</v>
      </c>
      <c r="DP118" s="6">
        <v>41723.056000000004</v>
      </c>
      <c r="DV118" s="6">
        <v>41723.056000000004</v>
      </c>
      <c r="DW118" s="15">
        <v>120.54647736405038</v>
      </c>
      <c r="DX118" s="6">
        <v>41723.056000000004</v>
      </c>
      <c r="DZ118" s="6">
        <v>3430.1175999999996</v>
      </c>
      <c r="EA118" s="6">
        <v>1771.2188450725619</v>
      </c>
      <c r="EB118" s="15">
        <v>70.002399999999994</v>
      </c>
      <c r="EC118" s="6">
        <v>3206.0271999999995</v>
      </c>
      <c r="ED118" s="6">
        <v>1063.1942160000001</v>
      </c>
      <c r="EE118" s="15">
        <v>284.56973293768527</v>
      </c>
      <c r="EF118" s="6">
        <v>9825.1299940102472</v>
      </c>
      <c r="EG118" s="15">
        <v>348.21495181319386</v>
      </c>
      <c r="EY118" s="15">
        <v>269.24</v>
      </c>
      <c r="EZ118" s="6">
        <v>1419.3520000000001</v>
      </c>
      <c r="FA118" s="5">
        <v>73.152000000000001</v>
      </c>
      <c r="FF118" s="6">
        <v>1761.7440000000001</v>
      </c>
      <c r="FG118" s="5">
        <v>42.283197912513579</v>
      </c>
      <c r="FI118" s="200"/>
      <c r="FJ118" s="6">
        <v>15.24</v>
      </c>
      <c r="FK118" s="200"/>
      <c r="FL118" s="200"/>
      <c r="FM118" s="5">
        <f t="shared" si="354"/>
        <v>15.24</v>
      </c>
      <c r="FN118" s="5">
        <v>36.608899999999998</v>
      </c>
      <c r="FP118" s="5">
        <v>31.496000000000002</v>
      </c>
      <c r="FV118" s="5">
        <v>31.496000000000002</v>
      </c>
      <c r="FW118" s="15">
        <f>(2*382)/(1.02^2)</f>
        <v>734.33294886582087</v>
      </c>
      <c r="GE118" s="5">
        <v>55.131178421940405</v>
      </c>
      <c r="GF118" s="5">
        <v>16.901718079590179</v>
      </c>
      <c r="GK118" s="5">
        <f t="shared" si="355"/>
        <v>72.032896501530587</v>
      </c>
      <c r="GL118" s="15">
        <v>147.38975793121321</v>
      </c>
      <c r="GQ118" s="6">
        <v>5943.6</v>
      </c>
      <c r="GR118" s="15">
        <v>540.51200000000006</v>
      </c>
      <c r="GS118" s="6">
        <v>45773.847999999998</v>
      </c>
      <c r="GT118" s="6">
        <v>52257.96</v>
      </c>
      <c r="GU118" s="4">
        <v>4.6577465818527459</v>
      </c>
      <c r="GW118" s="4">
        <v>6.3754999999999997</v>
      </c>
      <c r="GX118" s="87">
        <v>4.8390044999999997</v>
      </c>
      <c r="GY118" s="85">
        <v>8.2881499999999993E-3</v>
      </c>
      <c r="GZ118" s="86">
        <v>7.4593350000000003E-2</v>
      </c>
      <c r="HA118" s="86">
        <v>8.2881499999999997E-2</v>
      </c>
      <c r="HO118" s="4">
        <v>4.8390044999999997</v>
      </c>
      <c r="HP118" s="17"/>
      <c r="HQ118" s="7">
        <v>8.2881499999999993E-3</v>
      </c>
      <c r="HR118" s="3">
        <v>7.4593350000000003E-2</v>
      </c>
      <c r="HT118" s="3">
        <v>8.2881499999999997E-2</v>
      </c>
      <c r="IC118" s="15">
        <v>409.1737895159099</v>
      </c>
      <c r="ID118" s="15">
        <v>130.09672077537238</v>
      </c>
      <c r="IF118" s="5">
        <v>11.536022049974767</v>
      </c>
      <c r="II118" s="5">
        <v>53.893719999999995</v>
      </c>
      <c r="IJ118" s="15">
        <v>604.70025234125717</v>
      </c>
      <c r="IK118" s="15">
        <v>777.74801321546579</v>
      </c>
      <c r="IN118" s="5">
        <v>10.754868</v>
      </c>
      <c r="IO118" s="4">
        <v>0.5591738879999999</v>
      </c>
      <c r="IP118" s="5">
        <v>11.314041888</v>
      </c>
      <c r="IQ118" s="6">
        <v>1323.9530956066392</v>
      </c>
      <c r="IT118" s="4">
        <v>0.23862182399999998</v>
      </c>
      <c r="IU118" s="4">
        <f>IS118+IT118</f>
        <v>0.23862182399999998</v>
      </c>
      <c r="KV118" s="15">
        <v>6.0960000000000001</v>
      </c>
      <c r="KX118" s="5">
        <v>12.467191601049869</v>
      </c>
      <c r="MY118" s="5">
        <v>14.986000000000001</v>
      </c>
      <c r="MZ118" s="15">
        <v>569.95760145366444</v>
      </c>
      <c r="NA118" s="5">
        <v>5.0596800000000002</v>
      </c>
      <c r="NB118" s="6">
        <v>2253.106915852386</v>
      </c>
      <c r="NC118" s="5">
        <v>0.30480000000000002</v>
      </c>
      <c r="ND118" s="15">
        <v>157.48031496062993</v>
      </c>
      <c r="NJ118" s="5">
        <v>20.350480000000001</v>
      </c>
      <c r="NK118" s="15">
        <v>982.25617358335603</v>
      </c>
    </row>
    <row r="119" spans="1:375" x14ac:dyDescent="0.25">
      <c r="A119" s="2">
        <v>1907</v>
      </c>
      <c r="B119" s="6">
        <v>14488.899100000002</v>
      </c>
      <c r="C119" s="6">
        <v>7692.9893000000011</v>
      </c>
      <c r="D119" s="6">
        <v>21632.4136</v>
      </c>
      <c r="E119" s="6">
        <v>2032.5094000000001</v>
      </c>
      <c r="F119" s="15">
        <v>150.39959999999999</v>
      </c>
      <c r="G119" s="6">
        <v>52793.960500000001</v>
      </c>
      <c r="H119" s="15">
        <v>158.73439999999999</v>
      </c>
      <c r="I119" s="6">
        <v>98949.905899999998</v>
      </c>
      <c r="J119" s="15">
        <v>273.16594250586189</v>
      </c>
      <c r="K119" s="6">
        <v>87726.403540125029</v>
      </c>
      <c r="M119" s="6">
        <v>28658.556700000005</v>
      </c>
      <c r="N119" s="6">
        <v>377855.1102</v>
      </c>
      <c r="O119" s="15">
        <v>985.27910000000008</v>
      </c>
      <c r="Q119" s="15">
        <v>181.77950000000001</v>
      </c>
      <c r="T119" s="6">
        <v>407680.7255</v>
      </c>
      <c r="U119" s="4">
        <v>8.0961051739923118</v>
      </c>
      <c r="V119" s="6">
        <v>418332.5758545167</v>
      </c>
      <c r="AN119" s="6">
        <v>694204.35199999996</v>
      </c>
      <c r="AO119" s="6">
        <v>8796450.784</v>
      </c>
      <c r="AP119" s="6">
        <v>140801.34400000001</v>
      </c>
      <c r="AQ119" s="6">
        <v>59833.256000000001</v>
      </c>
      <c r="AR119" s="6">
        <v>12654.28</v>
      </c>
      <c r="AS119" s="6">
        <v>144650.96799999999</v>
      </c>
      <c r="AT119" s="6">
        <v>9848594.9839999992</v>
      </c>
      <c r="AU119" s="4">
        <v>0.67823097042241642</v>
      </c>
      <c r="AW119" s="15">
        <v>50.8</v>
      </c>
      <c r="AX119" s="4">
        <v>1.9685039370078741</v>
      </c>
      <c r="BH119" s="6">
        <v>12960.096</v>
      </c>
      <c r="BI119" s="6">
        <v>8611.616</v>
      </c>
      <c r="BJ119" s="5">
        <v>38.608000000000004</v>
      </c>
      <c r="BK119" s="6">
        <v>8706.1039999999994</v>
      </c>
      <c r="BL119" s="6">
        <v>8057.8959999999997</v>
      </c>
      <c r="BM119" s="6">
        <v>2650.7440000000001</v>
      </c>
      <c r="BN119" s="15">
        <v>229.61600000000001</v>
      </c>
      <c r="BO119" s="6">
        <v>41254.68</v>
      </c>
      <c r="BP119" s="4">
        <v>157.41860017693037</v>
      </c>
      <c r="BQ119" s="6">
        <v>40302.123740000003</v>
      </c>
      <c r="BS119" s="6">
        <v>2539</v>
      </c>
      <c r="BV119" s="6">
        <v>2539</v>
      </c>
      <c r="BW119" s="4">
        <v>1.6195352500984639</v>
      </c>
      <c r="BZ119" s="6">
        <v>36429.696000000004</v>
      </c>
      <c r="CA119" s="6">
        <v>47502.063999999998</v>
      </c>
      <c r="CC119" s="6">
        <v>3048</v>
      </c>
      <c r="CD119" s="6">
        <v>85953.600000000006</v>
      </c>
      <c r="CE119" s="2">
        <v>1111.5039999999999</v>
      </c>
      <c r="CG119" s="6">
        <v>174044.864</v>
      </c>
      <c r="CH119" s="4">
        <v>11.759674780134791</v>
      </c>
      <c r="CJ119" s="6">
        <v>1133.856</v>
      </c>
      <c r="CK119" s="2">
        <v>508</v>
      </c>
      <c r="CR119" s="6">
        <v>1641.856</v>
      </c>
      <c r="CS119" s="4">
        <v>4.5</v>
      </c>
      <c r="DD119" s="6">
        <v>5240.5280000000002</v>
      </c>
      <c r="DE119" s="6">
        <v>194767.2</v>
      </c>
      <c r="DG119" s="6">
        <v>22374.351999999999</v>
      </c>
      <c r="DH119" s="15">
        <v>609.6</v>
      </c>
      <c r="DI119" s="4">
        <v>6.6040000000000001</v>
      </c>
      <c r="DJ119" s="15">
        <v>440.94400000000002</v>
      </c>
      <c r="DK119" s="6">
        <v>223439.228</v>
      </c>
      <c r="DL119" s="5">
        <v>37.261166539734937</v>
      </c>
      <c r="DM119" s="6">
        <v>200764.99560408</v>
      </c>
      <c r="DP119" s="6">
        <v>96012</v>
      </c>
      <c r="DV119" s="6">
        <v>96012</v>
      </c>
      <c r="DW119" s="15">
        <v>114.29591927850701</v>
      </c>
      <c r="DX119" s="6">
        <v>96012</v>
      </c>
      <c r="DZ119" s="6">
        <v>3655.7457999999997</v>
      </c>
      <c r="EA119" s="6">
        <v>2044.8677866626897</v>
      </c>
      <c r="EB119" s="15">
        <v>68.021199999999993</v>
      </c>
      <c r="EC119" s="6">
        <v>3107.9431999999997</v>
      </c>
      <c r="ED119" s="6">
        <v>1154.7683279999999</v>
      </c>
      <c r="EE119" s="15">
        <v>301.18694362017732</v>
      </c>
      <c r="EF119" s="6">
        <v>10332.533258282867</v>
      </c>
      <c r="EG119" s="15">
        <v>339.58097931222159</v>
      </c>
      <c r="EY119" s="15">
        <v>260.096</v>
      </c>
      <c r="EZ119" s="6">
        <v>1013.968</v>
      </c>
      <c r="FA119" s="15">
        <v>429.76800000000003</v>
      </c>
      <c r="FB119" s="2">
        <v>13.208</v>
      </c>
      <c r="FF119" s="6">
        <v>1717.04</v>
      </c>
      <c r="FG119" s="5">
        <v>51.993850349209751</v>
      </c>
      <c r="FI119" s="6">
        <v>85.343999999999994</v>
      </c>
      <c r="FJ119" s="6">
        <v>30.48</v>
      </c>
      <c r="FK119" s="200"/>
      <c r="FL119" s="200"/>
      <c r="FM119" s="5">
        <f t="shared" si="354"/>
        <v>115.824</v>
      </c>
      <c r="FN119" s="5">
        <v>33.037300000000002</v>
      </c>
      <c r="FP119" s="5">
        <v>66.040000000000006</v>
      </c>
      <c r="FQ119" s="5">
        <v>26.416</v>
      </c>
      <c r="FV119" s="5">
        <v>92.456000000000003</v>
      </c>
      <c r="FW119" s="15">
        <f>(2*382)/1.02</f>
        <v>749.01960784313724</v>
      </c>
      <c r="GE119" s="5">
        <v>34.528165265196478</v>
      </c>
      <c r="GF119" s="5">
        <v>11.20741796089211</v>
      </c>
      <c r="GK119" s="5">
        <f t="shared" si="355"/>
        <v>45.735583226088586</v>
      </c>
      <c r="GL119" s="15">
        <v>165.1087320425317</v>
      </c>
      <c r="GQ119" s="6">
        <v>8128</v>
      </c>
      <c r="GR119" s="6">
        <v>2047.24</v>
      </c>
      <c r="GS119" s="115">
        <v>75000</v>
      </c>
      <c r="GT119" s="6">
        <v>85175.24</v>
      </c>
      <c r="GU119" s="4">
        <v>4.7943454082428145</v>
      </c>
      <c r="GW119" s="4">
        <v>8.5836000000000006</v>
      </c>
      <c r="GX119" s="87">
        <v>6.5149524000000003</v>
      </c>
      <c r="GY119" s="86">
        <v>1.1158680000000001E-2</v>
      </c>
      <c r="GZ119" s="87">
        <v>0.10042812000000001</v>
      </c>
      <c r="HA119" s="87">
        <v>0.1115868</v>
      </c>
      <c r="HO119" s="4">
        <v>6.5149524000000003</v>
      </c>
      <c r="HP119" s="17"/>
      <c r="HQ119" s="3">
        <v>1.1158680000000001E-2</v>
      </c>
      <c r="HR119" s="4">
        <v>0.10042812000000001</v>
      </c>
      <c r="HT119" s="4">
        <v>0.1115868</v>
      </c>
      <c r="IC119" s="15">
        <v>325.45983325871202</v>
      </c>
      <c r="ID119" s="15">
        <v>215.50860223346575</v>
      </c>
      <c r="IF119" s="5">
        <v>23.80217207779604</v>
      </c>
      <c r="IH119" s="4">
        <v>2.0947119916147989</v>
      </c>
      <c r="II119" s="5">
        <v>39.243000000000002</v>
      </c>
      <c r="IJ119" s="15">
        <v>606.1083195615887</v>
      </c>
      <c r="IK119" s="6">
        <v>1125.1004553978034</v>
      </c>
      <c r="MY119" s="5">
        <v>8.5090000000000003</v>
      </c>
      <c r="MZ119" s="15">
        <v>568.81889763779532</v>
      </c>
      <c r="NA119" s="5">
        <v>3.3223200000000008</v>
      </c>
      <c r="NB119" s="6">
        <v>3183.3176816200721</v>
      </c>
      <c r="NC119" s="4">
        <v>0.17779999999999999</v>
      </c>
      <c r="ND119" s="15">
        <v>303.71203599550057</v>
      </c>
      <c r="NJ119" s="5">
        <v>12.009120000000001</v>
      </c>
      <c r="NK119" s="6">
        <v>1288.194305661031</v>
      </c>
    </row>
    <row r="120" spans="1:375" x14ac:dyDescent="0.25">
      <c r="A120" s="2">
        <v>1908</v>
      </c>
      <c r="B120" s="6">
        <v>14464.1435</v>
      </c>
      <c r="C120" s="6">
        <v>6991.0312000000004</v>
      </c>
      <c r="D120" s="6">
        <v>20874.599900000001</v>
      </c>
      <c r="E120" s="6">
        <v>1775.3434999999999</v>
      </c>
      <c r="F120" s="5">
        <v>90.065600000000003</v>
      </c>
      <c r="G120" s="6">
        <v>51250.063200000004</v>
      </c>
      <c r="H120" s="15">
        <v>177.11449999999999</v>
      </c>
      <c r="I120" s="6">
        <v>95622.361400000009</v>
      </c>
      <c r="J120" s="15">
        <v>276.52192473864415</v>
      </c>
      <c r="K120" s="6">
        <v>85854.424273041674</v>
      </c>
      <c r="M120" s="6">
        <v>36146.783600000002</v>
      </c>
      <c r="N120" s="6">
        <v>372692.10590000002</v>
      </c>
      <c r="O120" s="15">
        <v>798.18150000000003</v>
      </c>
      <c r="T120" s="6">
        <v>409637.071</v>
      </c>
      <c r="U120" s="4">
        <v>6.5575066572592924</v>
      </c>
      <c r="V120" s="6">
        <v>421638.70866280003</v>
      </c>
      <c r="AN120" s="6">
        <v>707473.31200000003</v>
      </c>
      <c r="AO120" s="6">
        <v>9293377.4000000004</v>
      </c>
      <c r="AP120" s="6">
        <v>115277.39200000001</v>
      </c>
      <c r="AQ120" s="6">
        <v>62045.088000000003</v>
      </c>
      <c r="AS120" s="6">
        <v>178051.96799999999</v>
      </c>
      <c r="AT120" s="6">
        <v>10356225.160000002</v>
      </c>
      <c r="AU120" s="4">
        <v>0.74162032812690137</v>
      </c>
      <c r="AW120" s="15">
        <v>508</v>
      </c>
      <c r="AX120" s="4">
        <v>0.49212598425196852</v>
      </c>
      <c r="BH120" s="6">
        <v>14933.168</v>
      </c>
      <c r="BI120" s="6">
        <v>9313.6720000000005</v>
      </c>
      <c r="BJ120" s="5">
        <v>34.543999999999997</v>
      </c>
      <c r="BK120" s="6">
        <v>8938.768</v>
      </c>
      <c r="BL120" s="6">
        <v>5718.0479999999998</v>
      </c>
      <c r="BM120" s="6">
        <v>1241.5519999999999</v>
      </c>
      <c r="BN120" s="15">
        <v>160.52799999999999</v>
      </c>
      <c r="BO120" s="6">
        <v>40340.28</v>
      </c>
      <c r="BP120" s="4">
        <v>112.62682209659846</v>
      </c>
      <c r="BQ120" s="6">
        <v>37370.398688000001</v>
      </c>
      <c r="BS120" s="6">
        <v>2205</v>
      </c>
      <c r="BV120" s="6">
        <v>2205</v>
      </c>
      <c r="BW120" s="4">
        <v>1.2317460317460318</v>
      </c>
      <c r="BZ120" s="6">
        <v>52419.504000000001</v>
      </c>
      <c r="CA120" s="6">
        <v>62097.919999999998</v>
      </c>
      <c r="CC120" s="6">
        <v>3657.6</v>
      </c>
      <c r="CD120" s="6">
        <v>89408</v>
      </c>
      <c r="CG120" s="6">
        <v>207583.024</v>
      </c>
      <c r="CH120" s="4">
        <v>5.7881565261974011</v>
      </c>
      <c r="CJ120" s="6">
        <v>1403.096</v>
      </c>
      <c r="CR120" s="6">
        <v>1403.096</v>
      </c>
      <c r="CS120" s="4">
        <v>4</v>
      </c>
      <c r="DD120" s="6">
        <v>7222.7439999999997</v>
      </c>
      <c r="DE120" s="6">
        <v>175637.95199999999</v>
      </c>
      <c r="DG120" s="6">
        <v>15275.56</v>
      </c>
      <c r="DH120" s="15">
        <v>548.64</v>
      </c>
      <c r="DI120" s="15">
        <v>485.60736000000003</v>
      </c>
      <c r="DJ120" s="2">
        <v>10.16</v>
      </c>
      <c r="DK120" s="6">
        <v>199180.66336000001</v>
      </c>
      <c r="DL120" s="5">
        <v>24.610714080502941</v>
      </c>
      <c r="DM120" s="6">
        <v>182491.70293898668</v>
      </c>
      <c r="DP120" s="6">
        <v>112138.96800000001</v>
      </c>
      <c r="DV120" s="6">
        <v>112138.96800000001</v>
      </c>
      <c r="DW120" s="5">
        <v>90.186623805696939</v>
      </c>
      <c r="DX120" s="6">
        <v>112138.96800000001</v>
      </c>
      <c r="DZ120" s="6">
        <v>3431.8955999999998</v>
      </c>
      <c r="EA120" s="6">
        <v>1812.5443429505397</v>
      </c>
      <c r="EB120" s="15">
        <v>52.171599999999998</v>
      </c>
      <c r="EC120" s="6">
        <v>3244.6724319999998</v>
      </c>
      <c r="ED120" s="15">
        <v>696.52083199999993</v>
      </c>
      <c r="EE120" s="15">
        <v>318.21958456973158</v>
      </c>
      <c r="EF120" s="6">
        <v>9556.02439152027</v>
      </c>
      <c r="EG120" s="15">
        <v>260.59360504465241</v>
      </c>
      <c r="EY120" s="5">
        <v>21.335999999999999</v>
      </c>
      <c r="EZ120" s="5">
        <v>68.072000000000003</v>
      </c>
      <c r="FA120" s="15">
        <v>414.52800000000002</v>
      </c>
      <c r="FF120" s="15">
        <v>503.93600000000004</v>
      </c>
      <c r="FG120" s="5">
        <v>19.16436000107495</v>
      </c>
      <c r="FI120" s="6">
        <v>186.94400000000002</v>
      </c>
      <c r="FJ120" s="200"/>
      <c r="FK120" s="200"/>
      <c r="FL120" s="200"/>
      <c r="FM120" s="5">
        <f t="shared" si="354"/>
        <v>186.94400000000002</v>
      </c>
      <c r="FN120" s="5">
        <v>35.716000000000001</v>
      </c>
      <c r="FP120" s="5">
        <v>20.32</v>
      </c>
      <c r="FV120" s="5">
        <v>20.32</v>
      </c>
      <c r="FW120" s="2">
        <f>2*382</f>
        <v>764</v>
      </c>
      <c r="GE120" s="5">
        <v>45.994415049665768</v>
      </c>
      <c r="GF120" s="4">
        <v>4.3742578184544261</v>
      </c>
      <c r="GK120" s="5">
        <f t="shared" si="355"/>
        <v>50.368672868120193</v>
      </c>
      <c r="GL120" s="15">
        <v>110.26793780213822</v>
      </c>
      <c r="GQ120" s="6">
        <v>11176</v>
      </c>
      <c r="GR120" s="6">
        <v>2041.144</v>
      </c>
      <c r="GS120" s="6">
        <v>103494.84</v>
      </c>
      <c r="GT120" s="6">
        <v>116711.984</v>
      </c>
      <c r="GU120" s="4">
        <v>5.22016944606598</v>
      </c>
      <c r="GW120" s="5">
        <v>16.483000000000001</v>
      </c>
      <c r="GX120" s="84">
        <v>12.510597000000001</v>
      </c>
      <c r="GY120" s="86">
        <v>2.14279E-2</v>
      </c>
      <c r="GZ120" s="87">
        <v>0.19285110000000003</v>
      </c>
      <c r="HA120" s="87">
        <v>0.214279</v>
      </c>
      <c r="HO120" s="5">
        <v>12.510597000000001</v>
      </c>
      <c r="HP120" s="17"/>
      <c r="HQ120" s="3">
        <v>2.14279E-2</v>
      </c>
      <c r="HR120" s="4">
        <v>0.19285110000000003</v>
      </c>
      <c r="HT120" s="4">
        <v>0.214279</v>
      </c>
      <c r="IC120" s="15">
        <v>236.27609418143209</v>
      </c>
      <c r="ID120" s="15">
        <v>124.61824325884136</v>
      </c>
      <c r="IE120" s="4">
        <v>1.4501852249640912</v>
      </c>
      <c r="IF120" s="4">
        <v>2.6284607202474155</v>
      </c>
      <c r="II120" s="5">
        <v>4.1859199999999994</v>
      </c>
      <c r="IJ120" s="15">
        <v>369.15890338548496</v>
      </c>
      <c r="IK120" s="15">
        <v>708.99187427448885</v>
      </c>
      <c r="MY120" s="5">
        <v>52.07</v>
      </c>
      <c r="MZ120" s="15">
        <v>926.94663167104113</v>
      </c>
      <c r="NA120" s="5">
        <v>1.7780000000000002</v>
      </c>
      <c r="NB120" s="6">
        <v>2268.8413948256466</v>
      </c>
      <c r="NC120" s="4">
        <v>3.81</v>
      </c>
      <c r="ND120" s="15">
        <v>242.51968503937007</v>
      </c>
      <c r="NI120" s="5">
        <v>1.2192000000000001</v>
      </c>
      <c r="NJ120" s="5">
        <v>58.877200000000002</v>
      </c>
      <c r="NK120" s="15">
        <v>923.10019617591854</v>
      </c>
    </row>
    <row r="121" spans="1:375" x14ac:dyDescent="0.25">
      <c r="A121" s="2">
        <v>1909</v>
      </c>
      <c r="B121" s="6">
        <v>14168.538</v>
      </c>
      <c r="C121" s="6">
        <v>6366.4499000000005</v>
      </c>
      <c r="D121" s="6">
        <v>20346.304199999999</v>
      </c>
      <c r="E121" s="6">
        <v>1392.5646999999999</v>
      </c>
      <c r="F121" s="15">
        <v>221.15210000000002</v>
      </c>
      <c r="G121" s="6">
        <v>49612.896999999997</v>
      </c>
      <c r="H121" s="15">
        <v>227.74530000000001</v>
      </c>
      <c r="I121" s="6">
        <v>92335.651199999993</v>
      </c>
      <c r="J121" s="15">
        <v>273.16592724511935</v>
      </c>
      <c r="K121" s="6">
        <v>84833.864383125008</v>
      </c>
      <c r="M121" s="6">
        <v>31143.011300000002</v>
      </c>
      <c r="N121" s="6">
        <v>329187.0001</v>
      </c>
      <c r="O121" s="15">
        <v>673.47050000000002</v>
      </c>
      <c r="Q121" s="5">
        <v>51.625999999999998</v>
      </c>
      <c r="R121" s="6">
        <v>4111.5444000000007</v>
      </c>
      <c r="T121" s="6">
        <v>365166.65230000002</v>
      </c>
      <c r="U121" s="4">
        <v>6.325066095179511</v>
      </c>
      <c r="V121" s="6">
        <v>373494.16525900003</v>
      </c>
      <c r="AN121" s="6">
        <v>768682.23199999996</v>
      </c>
      <c r="AO121" s="6">
        <v>7132197.0640000002</v>
      </c>
      <c r="AP121" s="6">
        <v>130223.768</v>
      </c>
      <c r="AQ121" s="6">
        <v>67220.592000000004</v>
      </c>
      <c r="AS121" s="6">
        <v>217730.83199999999</v>
      </c>
      <c r="AT121" s="6">
        <v>8316054.4880000008</v>
      </c>
      <c r="AU121" s="4">
        <v>0.75092311369470288</v>
      </c>
      <c r="AW121" s="15">
        <v>508</v>
      </c>
      <c r="AX121" s="4">
        <v>0.29527559055118108</v>
      </c>
      <c r="BA121" s="4">
        <v>0.30480000000000002</v>
      </c>
      <c r="BE121" s="4">
        <v>0.30480000000000002</v>
      </c>
      <c r="BF121" s="4">
        <v>11.641689950046567</v>
      </c>
      <c r="BH121" s="6">
        <v>14725.904</v>
      </c>
      <c r="BI121" s="6">
        <v>7714.4880000000003</v>
      </c>
      <c r="BJ121" s="2">
        <v>1.016</v>
      </c>
      <c r="BK121" s="6">
        <v>9036.3040000000001</v>
      </c>
      <c r="BL121" s="6">
        <v>5851.1440000000002</v>
      </c>
      <c r="BM121" s="6">
        <v>1648.9680000000001</v>
      </c>
      <c r="BN121" s="5">
        <v>43.688000000000002</v>
      </c>
      <c r="BO121" s="6">
        <v>39021.512000000002</v>
      </c>
      <c r="BP121" s="4">
        <v>121.61892152280731</v>
      </c>
      <c r="BQ121" s="6">
        <v>37034.000959999998</v>
      </c>
      <c r="BS121" s="6">
        <v>5474</v>
      </c>
      <c r="BV121" s="6">
        <v>5474</v>
      </c>
      <c r="BW121" s="4">
        <v>1.4464742418706613</v>
      </c>
      <c r="BZ121" s="6">
        <v>49414.175999999999</v>
      </c>
      <c r="CA121" s="6">
        <v>56874.664000000004</v>
      </c>
      <c r="CD121" s="6">
        <v>16377.92</v>
      </c>
      <c r="CG121" s="6">
        <v>122666.76</v>
      </c>
      <c r="CH121" s="4">
        <v>7.0346137097085704</v>
      </c>
      <c r="CJ121" s="15">
        <v>612.64800000000002</v>
      </c>
      <c r="CR121" s="2">
        <v>612.64800000000002</v>
      </c>
      <c r="CS121" s="4">
        <v>3.5</v>
      </c>
      <c r="DD121" s="6">
        <v>5323.84</v>
      </c>
      <c r="DE121" s="6">
        <v>157610.04800000001</v>
      </c>
      <c r="DG121" s="6">
        <v>25498.552</v>
      </c>
      <c r="DH121" s="5">
        <v>46.736000000000004</v>
      </c>
      <c r="DI121" s="15">
        <v>268.22399999999999</v>
      </c>
      <c r="DK121" s="6">
        <v>188747.4</v>
      </c>
      <c r="DL121" s="5">
        <v>23.667965434922859</v>
      </c>
      <c r="DM121" s="6">
        <v>162000.75295999998</v>
      </c>
      <c r="DP121" s="6">
        <v>151958.04</v>
      </c>
      <c r="DV121" s="6">
        <v>151958.04</v>
      </c>
      <c r="DW121" s="15">
        <v>106.25948745423699</v>
      </c>
      <c r="DX121" s="6">
        <v>151954.992</v>
      </c>
      <c r="DZ121" s="6">
        <v>2365.2734</v>
      </c>
      <c r="EA121" s="6">
        <v>1895.7812918036695</v>
      </c>
      <c r="EB121" s="15">
        <v>58.775600000000004</v>
      </c>
      <c r="EC121" s="6">
        <v>3295.4185839999996</v>
      </c>
      <c r="ED121" s="15">
        <v>536.40837599999998</v>
      </c>
      <c r="EE121" s="15">
        <v>296.20178041542965</v>
      </c>
      <c r="EF121" s="6">
        <v>8447.8590322190994</v>
      </c>
      <c r="EG121" s="15">
        <v>263.0654015251248</v>
      </c>
      <c r="EZ121" s="5">
        <v>54.864000000000004</v>
      </c>
      <c r="FA121" s="15">
        <v>238.76</v>
      </c>
      <c r="FF121" s="15">
        <v>293.62400000000002</v>
      </c>
      <c r="FG121" s="5">
        <v>14.663240431771589</v>
      </c>
      <c r="FI121" s="6">
        <v>264.16000000000003</v>
      </c>
      <c r="FJ121" s="200"/>
      <c r="FK121" s="200"/>
      <c r="FL121" s="200"/>
      <c r="FM121" s="15">
        <f t="shared" si="354"/>
        <v>264.16000000000003</v>
      </c>
      <c r="FN121" s="5">
        <v>33.930199999999999</v>
      </c>
      <c r="GE121" s="5">
        <v>48.505083738364469</v>
      </c>
      <c r="GF121" s="5">
        <v>14.572231667395515</v>
      </c>
      <c r="GK121" s="5">
        <f t="shared" si="355"/>
        <v>63.077315405759983</v>
      </c>
      <c r="GL121" s="15">
        <v>115.76081073507839</v>
      </c>
      <c r="GQ121" s="6">
        <v>3832.3519999999999</v>
      </c>
      <c r="GR121" s="6">
        <v>1727.2</v>
      </c>
      <c r="GS121" s="6">
        <v>107168.696</v>
      </c>
      <c r="GT121" s="6">
        <v>112728.24799999999</v>
      </c>
      <c r="GU121" s="4">
        <v>5.1258796866923779</v>
      </c>
      <c r="GW121" s="5">
        <v>13.683999999999999</v>
      </c>
      <c r="GX121" s="84">
        <v>10.386156</v>
      </c>
      <c r="GY121" s="86">
        <v>1.7789199999999998E-2</v>
      </c>
      <c r="GZ121" s="87">
        <v>0.16010279999999999</v>
      </c>
      <c r="HA121" s="87">
        <v>0.17789199999999999</v>
      </c>
      <c r="HO121" s="5">
        <v>10.386156</v>
      </c>
      <c r="HP121" s="17"/>
      <c r="HQ121" s="3">
        <v>1.7789199999999998E-2</v>
      </c>
      <c r="HR121" s="4">
        <v>0.16010279999999999</v>
      </c>
      <c r="HT121" s="4">
        <v>0.17789199999999999</v>
      </c>
      <c r="IC121" s="15">
        <v>330.37032156213206</v>
      </c>
      <c r="ID121" s="15">
        <v>167.62127054439114</v>
      </c>
      <c r="IE121" s="4">
        <v>6.7675310498324261</v>
      </c>
      <c r="IF121" s="5">
        <v>16.559302537558722</v>
      </c>
      <c r="IH121" s="4">
        <v>0.80565845831338401</v>
      </c>
      <c r="II121" s="5">
        <v>21.452840000000002</v>
      </c>
      <c r="IJ121" s="15">
        <v>543.57692415222778</v>
      </c>
      <c r="IK121" s="15">
        <v>784.89150817037239</v>
      </c>
      <c r="IN121" s="4">
        <v>0.93208855999999995</v>
      </c>
      <c r="IP121" s="4">
        <v>0.93208855999999995</v>
      </c>
      <c r="IQ121" s="6">
        <v>1889.3255946556976</v>
      </c>
      <c r="MY121" s="5">
        <v>37.846000000000004</v>
      </c>
      <c r="MZ121" s="15">
        <v>519.49756280464942</v>
      </c>
      <c r="NA121" s="5">
        <v>1.7475200000000002</v>
      </c>
      <c r="NB121" s="6">
        <v>1858.633949826039</v>
      </c>
      <c r="NC121" s="5">
        <v>2.9464000000000001</v>
      </c>
      <c r="ND121" s="15">
        <v>665.21857181645396</v>
      </c>
      <c r="NJ121" s="5">
        <v>42.539920000000002</v>
      </c>
      <c r="NK121" s="15">
        <v>584.6015874478552</v>
      </c>
    </row>
    <row r="122" spans="1:375" x14ac:dyDescent="0.25">
      <c r="A122" s="2">
        <v>1910</v>
      </c>
      <c r="B122" s="6">
        <v>13727.602200000001</v>
      </c>
      <c r="C122" s="6">
        <v>5873.4526999999998</v>
      </c>
      <c r="D122" s="6">
        <v>17738.9113</v>
      </c>
      <c r="E122" s="6">
        <v>1152.1928</v>
      </c>
      <c r="F122" s="15">
        <v>205.0112</v>
      </c>
      <c r="G122" s="6">
        <v>45736.686300000001</v>
      </c>
      <c r="H122" s="15">
        <v>186.84880000000001</v>
      </c>
      <c r="I122" s="6">
        <v>84620.705300000001</v>
      </c>
      <c r="J122" s="15">
        <v>273.16592731710716</v>
      </c>
      <c r="K122" s="6">
        <v>76223.066552000004</v>
      </c>
      <c r="M122" s="6">
        <v>26783.382200000004</v>
      </c>
      <c r="N122" s="6">
        <v>398224.89490000001</v>
      </c>
      <c r="O122" s="15">
        <v>584.67999999999995</v>
      </c>
      <c r="Q122" s="15">
        <v>194.375</v>
      </c>
      <c r="R122" s="6">
        <v>3871.5146</v>
      </c>
      <c r="T122" s="6">
        <v>429658.84670000005</v>
      </c>
      <c r="U122" s="4">
        <v>6.3722733419848216</v>
      </c>
      <c r="V122" s="6">
        <v>373025.02238100005</v>
      </c>
      <c r="AN122" s="6">
        <v>885104.65599999996</v>
      </c>
      <c r="AO122" s="6">
        <v>8304284.1280000005</v>
      </c>
      <c r="AP122" s="6">
        <v>374963.94400000002</v>
      </c>
      <c r="AQ122" s="6">
        <v>83764.12</v>
      </c>
      <c r="AS122" s="6">
        <v>266360.65600000002</v>
      </c>
      <c r="AT122" s="6">
        <v>9914477.5039999988</v>
      </c>
      <c r="AU122" s="4">
        <v>0.74465683274770433</v>
      </c>
      <c r="AW122" s="15">
        <v>660.4</v>
      </c>
      <c r="AX122" s="4">
        <v>2.6226529376135677</v>
      </c>
      <c r="BA122" s="4">
        <v>0.30480000000000002</v>
      </c>
      <c r="BE122" s="4">
        <v>0.30480000000000002</v>
      </c>
      <c r="BF122" s="4">
        <v>11.641689950046567</v>
      </c>
      <c r="BH122" s="6">
        <v>16649.191999999999</v>
      </c>
      <c r="BI122" s="6">
        <v>9567.6720000000005</v>
      </c>
      <c r="BJ122" s="4">
        <v>8.1280000000000001</v>
      </c>
      <c r="BK122" s="6">
        <v>8450.0720000000001</v>
      </c>
      <c r="BL122" s="6">
        <v>5183.6320000000005</v>
      </c>
      <c r="BM122" s="6">
        <v>2810.2559999999999</v>
      </c>
      <c r="BN122" s="15">
        <v>119.88800000000001</v>
      </c>
      <c r="BO122" s="6">
        <v>42788.84</v>
      </c>
      <c r="BP122" s="4">
        <v>105.13257938193409</v>
      </c>
      <c r="BQ122" s="6">
        <v>36851.522559999998</v>
      </c>
      <c r="BS122" s="6">
        <v>3606</v>
      </c>
      <c r="BV122" s="6">
        <v>3606</v>
      </c>
      <c r="BW122" s="4">
        <v>1.5978924015529672</v>
      </c>
      <c r="BZ122" s="6">
        <v>37732.207999999999</v>
      </c>
      <c r="CA122" s="6">
        <v>77037.183999999994</v>
      </c>
      <c r="CD122" s="6">
        <v>46939.199999999997</v>
      </c>
      <c r="CE122" s="2">
        <v>10.16</v>
      </c>
      <c r="CG122" s="6">
        <v>161718.75200000001</v>
      </c>
      <c r="CH122" s="4">
        <v>7.8740157480314954</v>
      </c>
      <c r="CJ122" s="15">
        <v>804.67200000000003</v>
      </c>
      <c r="CL122" s="5">
        <v>23.368000000000002</v>
      </c>
      <c r="CR122" s="2">
        <v>828.04000000000008</v>
      </c>
      <c r="CS122" s="4">
        <v>3</v>
      </c>
      <c r="DD122" s="6">
        <v>2430.2719999999999</v>
      </c>
      <c r="DE122" s="6">
        <v>191649.09599999999</v>
      </c>
      <c r="DG122" s="6">
        <v>8313.9279999999999</v>
      </c>
      <c r="DH122" s="5">
        <v>27.432000000000002</v>
      </c>
      <c r="DI122" s="15">
        <v>138.85672</v>
      </c>
      <c r="DK122" s="6">
        <v>202559.58471999998</v>
      </c>
      <c r="DL122" s="5">
        <v>23.085317626167217</v>
      </c>
      <c r="DM122" s="6">
        <v>190035.42384000003</v>
      </c>
      <c r="DP122" s="6">
        <v>209223.864</v>
      </c>
      <c r="DV122" s="6">
        <v>209223.864</v>
      </c>
      <c r="DW122" s="15">
        <v>106.25948745423699</v>
      </c>
      <c r="DX122" s="6">
        <v>209183.22400000002</v>
      </c>
      <c r="DZ122" s="6">
        <v>2099.9958000000001</v>
      </c>
      <c r="EA122" s="6">
        <v>1664.9326860508083</v>
      </c>
      <c r="EB122" s="15">
        <v>27.0764</v>
      </c>
      <c r="EC122" s="6">
        <v>2669.5080239999998</v>
      </c>
      <c r="ED122" s="15">
        <v>335.12455200000005</v>
      </c>
      <c r="EE122" s="15">
        <v>259.22848664688189</v>
      </c>
      <c r="EF122" s="6">
        <v>7055.8659486976903</v>
      </c>
      <c r="EG122" s="15">
        <v>296.78624882633471</v>
      </c>
      <c r="EZ122" s="5">
        <v>55.88</v>
      </c>
      <c r="FA122" s="15">
        <v>329.18400000000003</v>
      </c>
      <c r="FF122" s="15">
        <v>385.06400000000002</v>
      </c>
      <c r="FG122" s="5">
        <v>29.471664518961461</v>
      </c>
      <c r="FI122" s="6">
        <v>886.96799999999996</v>
      </c>
      <c r="FJ122" s="200"/>
      <c r="FK122" s="200"/>
      <c r="FL122" s="200"/>
      <c r="FM122" s="15">
        <f t="shared" si="354"/>
        <v>886.96799999999996</v>
      </c>
      <c r="FN122" s="5">
        <v>31.2515</v>
      </c>
      <c r="FZ122" s="3">
        <v>4.7202516733601069E-2</v>
      </c>
      <c r="GB122" s="3">
        <v>4.7202516733601069E-2</v>
      </c>
      <c r="GE122" s="5">
        <v>54.846463416005498</v>
      </c>
      <c r="GF122" s="5">
        <v>24.589023239832571</v>
      </c>
      <c r="GK122" s="5">
        <f t="shared" si="355"/>
        <v>79.435486655838076</v>
      </c>
      <c r="GL122" s="15">
        <v>124.92002530864711</v>
      </c>
      <c r="GQ122" s="6">
        <v>5283.2</v>
      </c>
      <c r="GR122" s="15">
        <v>965.2</v>
      </c>
      <c r="GS122" s="115">
        <v>125000</v>
      </c>
      <c r="GT122" s="6">
        <v>131248.4</v>
      </c>
      <c r="GU122" s="4">
        <v>5.0146486501841734</v>
      </c>
      <c r="GW122" s="5">
        <v>10.325200000000001</v>
      </c>
      <c r="GX122" s="87">
        <v>7.8368268000000008</v>
      </c>
      <c r="GY122" s="86">
        <v>1.3422760000000001E-2</v>
      </c>
      <c r="GZ122" s="87">
        <v>0.12080484000000001</v>
      </c>
      <c r="HA122" s="87">
        <v>0.1342276</v>
      </c>
      <c r="HG122" s="4">
        <v>3.7320000000000002</v>
      </c>
      <c r="HH122" s="86">
        <v>1.1196000000000001E-2</v>
      </c>
      <c r="HI122" s="87">
        <v>0.10076400000000001</v>
      </c>
      <c r="HJ122" s="87">
        <v>1.2502200000000001</v>
      </c>
      <c r="HK122" s="87">
        <v>2.1682920000000001</v>
      </c>
      <c r="HO122" s="4">
        <v>7.8368268000000008</v>
      </c>
      <c r="HP122" s="17"/>
      <c r="HQ122" s="3">
        <v>2.4618760000000003E-2</v>
      </c>
      <c r="HR122" s="4">
        <v>0.22156884000000002</v>
      </c>
      <c r="HS122" s="4">
        <v>1.2502200000000001</v>
      </c>
      <c r="HT122" s="4">
        <v>2.3025196000000001</v>
      </c>
      <c r="IC122" s="15">
        <v>454.47193633457994</v>
      </c>
      <c r="ID122" s="15">
        <v>169.56753996506168</v>
      </c>
      <c r="IE122" s="4">
        <v>9.0902443851499122</v>
      </c>
      <c r="IF122" s="5">
        <v>39.339295446369654</v>
      </c>
      <c r="IH122" s="4">
        <v>1.4904681478797603</v>
      </c>
      <c r="II122" s="5">
        <v>32.964120000000001</v>
      </c>
      <c r="IJ122" s="15">
        <v>706.92360427904089</v>
      </c>
      <c r="IK122" s="15">
        <v>955.44245021876964</v>
      </c>
      <c r="MY122" s="5">
        <v>27.939999999999998</v>
      </c>
      <c r="MZ122" s="15">
        <v>910.01124859392587</v>
      </c>
      <c r="NA122" s="5">
        <v>1.3004800000000003</v>
      </c>
      <c r="NB122" s="6">
        <v>3081.9389763779523</v>
      </c>
      <c r="NC122" s="5">
        <v>10.8712</v>
      </c>
      <c r="ND122" s="15">
        <v>781.69843255574358</v>
      </c>
      <c r="NJ122" s="5">
        <v>40.11168</v>
      </c>
      <c r="NK122" s="15">
        <v>945.65259509734551</v>
      </c>
    </row>
    <row r="123" spans="1:375" x14ac:dyDescent="0.25">
      <c r="A123" s="2">
        <v>1911</v>
      </c>
      <c r="B123" s="6">
        <v>12009.7315</v>
      </c>
      <c r="C123" s="6">
        <v>5632.8631000000005</v>
      </c>
      <c r="D123" s="6">
        <v>15674.4</v>
      </c>
      <c r="E123" s="15">
        <v>967.24110000000007</v>
      </c>
      <c r="F123" s="15">
        <v>109.81410000000001</v>
      </c>
      <c r="G123" s="6">
        <v>42633.994800000008</v>
      </c>
      <c r="H123" s="15">
        <v>226.31470000000002</v>
      </c>
      <c r="I123" s="6">
        <v>77254.359300000011</v>
      </c>
      <c r="J123" s="15">
        <v>273.16591214250315</v>
      </c>
      <c r="K123" s="6">
        <v>70184.115008124994</v>
      </c>
      <c r="M123" s="6">
        <v>17074.3665</v>
      </c>
      <c r="N123" s="6">
        <v>451856.40950000001</v>
      </c>
      <c r="O123" s="15">
        <v>595.47170000000006</v>
      </c>
      <c r="Q123" s="5">
        <v>43.54</v>
      </c>
      <c r="R123" s="6">
        <v>3677.4817000000003</v>
      </c>
      <c r="T123" s="6">
        <v>473247.26940000005</v>
      </c>
      <c r="U123" s="4">
        <v>6.4434352217529183</v>
      </c>
      <c r="V123" s="6">
        <v>422478.63388900005</v>
      </c>
      <c r="AN123" s="6">
        <v>905833.08799999999</v>
      </c>
      <c r="AO123" s="6">
        <v>8830669.6640000008</v>
      </c>
      <c r="AP123" s="6">
        <v>664325.82400000002</v>
      </c>
      <c r="AQ123" s="6">
        <v>57980.072</v>
      </c>
      <c r="AS123" s="6">
        <v>253897.38399999999</v>
      </c>
      <c r="AT123" s="6">
        <v>10712706.032000002</v>
      </c>
      <c r="AU123" s="4">
        <v>0.73661209664942406</v>
      </c>
      <c r="AW123" s="6">
        <v>6232.1440000000002</v>
      </c>
      <c r="AX123" s="4">
        <v>0.74195974932543274</v>
      </c>
      <c r="BH123" s="6">
        <v>20710.144</v>
      </c>
      <c r="BI123" s="6">
        <v>10702.544</v>
      </c>
      <c r="BJ123" s="5">
        <v>36.576000000000001</v>
      </c>
      <c r="BK123" s="6">
        <v>6460.7439999999997</v>
      </c>
      <c r="BL123" s="6">
        <v>6016.7520000000004</v>
      </c>
      <c r="BM123" s="6">
        <v>2089.9119999999998</v>
      </c>
      <c r="BN123" s="5">
        <v>41.655999999999999</v>
      </c>
      <c r="BO123" s="6">
        <v>46058.328000000001</v>
      </c>
      <c r="BP123" s="4">
        <v>107.19391969957418</v>
      </c>
      <c r="BQ123" s="6">
        <v>40891.594995957632</v>
      </c>
      <c r="BS123" s="6">
        <v>5771</v>
      </c>
      <c r="BV123" s="6">
        <v>5771</v>
      </c>
      <c r="BW123" s="4">
        <v>1.4084214174319876</v>
      </c>
      <c r="BZ123" s="6">
        <v>20969.224000000002</v>
      </c>
      <c r="CA123" s="6">
        <v>61984.128000000004</v>
      </c>
      <c r="CD123" s="6">
        <v>42976.800000000003</v>
      </c>
      <c r="CG123" s="6">
        <v>125930.15200000002</v>
      </c>
      <c r="CH123" s="4">
        <v>7.8740157480314963</v>
      </c>
      <c r="CJ123" s="6">
        <v>1167.384</v>
      </c>
      <c r="CL123" s="4">
        <v>2.032</v>
      </c>
      <c r="CR123" s="6">
        <v>1169.4159999999999</v>
      </c>
      <c r="CS123" s="4">
        <v>2.5</v>
      </c>
      <c r="DD123" s="6">
        <v>1799.336</v>
      </c>
      <c r="DE123" s="6">
        <v>209826.35200000001</v>
      </c>
      <c r="DG123" s="6">
        <v>12359.64</v>
      </c>
      <c r="DI123" s="6">
        <v>1283.9192</v>
      </c>
      <c r="DJ123" s="2">
        <v>2.032</v>
      </c>
      <c r="DK123" s="6">
        <v>225271.27920000005</v>
      </c>
      <c r="DL123" s="5">
        <v>23.90371786995021</v>
      </c>
      <c r="DM123" s="6">
        <v>211207.62432</v>
      </c>
      <c r="DP123" s="6">
        <v>241880.136</v>
      </c>
      <c r="DV123" s="6">
        <v>241880.136</v>
      </c>
      <c r="DW123" s="15">
        <v>112.51004553978035</v>
      </c>
      <c r="DX123" s="6">
        <v>241396.52</v>
      </c>
      <c r="DZ123" s="6">
        <v>2198.3191999999999</v>
      </c>
      <c r="EA123" s="6">
        <v>1756.7313052083316</v>
      </c>
      <c r="EB123" s="15">
        <v>21.793199999999999</v>
      </c>
      <c r="EC123" s="6">
        <v>2857.3847679999999</v>
      </c>
      <c r="ED123" s="15">
        <v>398.10842400000001</v>
      </c>
      <c r="EE123" s="15">
        <v>170.32640949554934</v>
      </c>
      <c r="EF123" s="6">
        <v>7402.6633067038811</v>
      </c>
      <c r="EG123" s="15">
        <v>392.46790393372021</v>
      </c>
      <c r="EJ123" s="4">
        <v>1</v>
      </c>
      <c r="EM123" s="4">
        <v>1</v>
      </c>
      <c r="EN123" s="15">
        <f t="shared" ref="EN123:EN126" si="356">2*3620/SUM(EM$123:EM$127)</f>
        <v>264.75535727345869</v>
      </c>
      <c r="EZ123" s="5">
        <v>95.504000000000005</v>
      </c>
      <c r="FA123" s="15">
        <v>339.34399999999999</v>
      </c>
      <c r="FF123" s="15">
        <v>434.84800000000001</v>
      </c>
      <c r="FG123" s="5">
        <v>23.90751005066965</v>
      </c>
      <c r="FI123" s="6">
        <v>357.63200000000001</v>
      </c>
      <c r="FJ123" s="6">
        <v>152.4</v>
      </c>
      <c r="FK123" s="200"/>
      <c r="FL123" s="200"/>
      <c r="FM123" s="15">
        <f t="shared" si="354"/>
        <v>510.03200000000004</v>
      </c>
      <c r="FN123" s="5">
        <v>31.2515</v>
      </c>
      <c r="FQ123" s="5">
        <v>60.96</v>
      </c>
      <c r="FV123" s="5">
        <v>60.96</v>
      </c>
      <c r="FW123" s="2">
        <f>2*174</f>
        <v>348</v>
      </c>
      <c r="GE123" s="5">
        <v>51.50753289185981</v>
      </c>
      <c r="GF123" s="5">
        <v>10.68975431373774</v>
      </c>
      <c r="GK123" s="5">
        <f t="shared" si="355"/>
        <v>62.197287205597547</v>
      </c>
      <c r="GL123" s="15">
        <v>125.8454750659082</v>
      </c>
      <c r="GQ123" s="6">
        <v>5892.8</v>
      </c>
      <c r="GR123" s="6">
        <v>1882.6480000000001</v>
      </c>
      <c r="GS123" s="115">
        <v>125000</v>
      </c>
      <c r="GT123" s="6">
        <v>132775.448</v>
      </c>
      <c r="GU123" s="4">
        <v>4.7564521189444209</v>
      </c>
      <c r="GW123" s="5">
        <v>14.617000000000001</v>
      </c>
      <c r="GX123" s="84">
        <v>11.094303</v>
      </c>
      <c r="GY123" s="86">
        <v>1.9002100000000001E-2</v>
      </c>
      <c r="GZ123" s="87">
        <v>0.1710189</v>
      </c>
      <c r="HA123" s="87">
        <v>0.190021</v>
      </c>
      <c r="HB123" s="4">
        <v>5.7224000000000004</v>
      </c>
      <c r="HC123" s="86">
        <v>1.7167200000000001E-2</v>
      </c>
      <c r="HD123" s="87">
        <v>0.1545048</v>
      </c>
      <c r="HE123" s="87">
        <v>1.9170040000000002</v>
      </c>
      <c r="HF123" s="87">
        <v>3.3247144</v>
      </c>
      <c r="HG123" s="4">
        <v>8.4554680000000015</v>
      </c>
      <c r="HH123" s="86">
        <v>2.5366404000000006E-2</v>
      </c>
      <c r="HI123" s="87">
        <v>0.22829763600000003</v>
      </c>
      <c r="HJ123" s="87">
        <v>2.8325817800000008</v>
      </c>
      <c r="HK123" s="87">
        <v>4.9126269080000009</v>
      </c>
      <c r="HO123" s="5">
        <v>11.094303</v>
      </c>
      <c r="HP123" s="17"/>
      <c r="HQ123" s="3">
        <v>6.1535704000000011E-2</v>
      </c>
      <c r="HR123" s="4">
        <v>0.55382133599999994</v>
      </c>
      <c r="HS123" s="4">
        <v>4.7495857800000012</v>
      </c>
      <c r="HT123" s="4">
        <v>8.4273623080000011</v>
      </c>
      <c r="IC123" s="15">
        <v>311.07278733938074</v>
      </c>
      <c r="ID123" s="15">
        <v>217.30018523014022</v>
      </c>
      <c r="IE123" s="4">
        <v>8.761535734158052</v>
      </c>
      <c r="IF123" s="5">
        <v>40.863802664113152</v>
      </c>
      <c r="IG123" s="4">
        <v>1.0312428266411315</v>
      </c>
      <c r="IH123" s="4">
        <v>4.9225731802947772</v>
      </c>
      <c r="II123" s="5">
        <v>10.923747469879517</v>
      </c>
      <c r="IJ123" s="15">
        <v>594.87587444460758</v>
      </c>
      <c r="IK123" s="15">
        <v>741.13760157156901</v>
      </c>
      <c r="MY123" s="5">
        <v>70.484999999999999</v>
      </c>
      <c r="MZ123" s="6">
        <v>1115.4855643044618</v>
      </c>
      <c r="NA123" s="5">
        <v>1.6052800000000003</v>
      </c>
      <c r="NB123" s="6">
        <v>2242.5994219077043</v>
      </c>
      <c r="NC123" s="4">
        <v>14.62532</v>
      </c>
      <c r="ND123" s="15">
        <v>787.40157480314963</v>
      </c>
      <c r="NI123" s="4">
        <v>5.0800000000000005E-2</v>
      </c>
      <c r="NJ123" s="5">
        <v>86.76639999999999</v>
      </c>
      <c r="NK123" s="6">
        <v>1081.0165644935857</v>
      </c>
    </row>
    <row r="124" spans="1:375" x14ac:dyDescent="0.25">
      <c r="A124" s="2">
        <v>1912</v>
      </c>
      <c r="B124" s="6">
        <v>10821.1206</v>
      </c>
      <c r="C124" s="6">
        <v>5140.6745000000001</v>
      </c>
      <c r="D124" s="6">
        <v>14932.074100000002</v>
      </c>
      <c r="E124" s="6">
        <v>1180.9603</v>
      </c>
      <c r="F124" s="15">
        <v>205.0112</v>
      </c>
      <c r="G124" s="6">
        <v>39890.694899999995</v>
      </c>
      <c r="H124" s="15">
        <v>165.98070000000001</v>
      </c>
      <c r="I124" s="6">
        <v>72336.516300000003</v>
      </c>
      <c r="J124" s="15">
        <v>273.16592522971763</v>
      </c>
      <c r="K124" s="6">
        <v>66974.521120717429</v>
      </c>
      <c r="M124" s="6">
        <v>17701.5291</v>
      </c>
      <c r="N124" s="6">
        <v>420293.14390000002</v>
      </c>
      <c r="O124" s="15">
        <v>541.88639999999998</v>
      </c>
      <c r="Q124" s="5">
        <v>83.97</v>
      </c>
      <c r="R124" s="6">
        <v>3431.9472000000001</v>
      </c>
      <c r="T124" s="6">
        <v>442052.47660000005</v>
      </c>
      <c r="U124" s="4">
        <v>6.7735820475635586</v>
      </c>
      <c r="V124" s="6">
        <v>441160.48589970003</v>
      </c>
      <c r="AN124" s="6">
        <v>916600.65599999996</v>
      </c>
      <c r="AO124" s="6">
        <v>10043988.040000001</v>
      </c>
      <c r="AP124" s="6">
        <v>598569.28800000006</v>
      </c>
      <c r="AQ124" s="6">
        <v>54416.959999999999</v>
      </c>
      <c r="AS124" s="6">
        <v>299800.26400000002</v>
      </c>
      <c r="AT124" s="6">
        <v>11913375.208000002</v>
      </c>
      <c r="AU124" s="4">
        <v>0.74301990970714582</v>
      </c>
      <c r="AW124" s="6">
        <v>4076.192</v>
      </c>
      <c r="AX124" s="4">
        <v>0.42490638321256702</v>
      </c>
      <c r="BH124" s="6">
        <v>23489.919999999998</v>
      </c>
      <c r="BI124" s="6">
        <v>9849.1039999999994</v>
      </c>
      <c r="BK124" s="6">
        <v>5286.2480000000005</v>
      </c>
      <c r="BL124" s="6">
        <v>6395.72</v>
      </c>
      <c r="BM124" s="6">
        <v>1730.248</v>
      </c>
      <c r="BN124" s="5">
        <v>95.504000000000005</v>
      </c>
      <c r="BO124" s="6">
        <v>46846.743999999999</v>
      </c>
      <c r="BP124" s="4">
        <v>122.62640904592153</v>
      </c>
      <c r="BQ124" s="6">
        <v>42593.464870430318</v>
      </c>
      <c r="BS124" s="6">
        <v>2239</v>
      </c>
      <c r="BV124" s="6">
        <v>2239</v>
      </c>
      <c r="BW124" s="4">
        <v>1.7874050915587316</v>
      </c>
      <c r="BZ124" s="6">
        <v>15774.416000000001</v>
      </c>
      <c r="CA124" s="6">
        <v>60980.32</v>
      </c>
      <c r="CD124" s="6">
        <v>42875.199999999997</v>
      </c>
      <c r="CG124" s="6">
        <v>119629.936</v>
      </c>
      <c r="CH124" s="4">
        <v>7.8740157480314954</v>
      </c>
      <c r="CJ124" s="15">
        <v>312.928</v>
      </c>
      <c r="CL124" s="5">
        <v>20.32</v>
      </c>
      <c r="CR124" s="15">
        <v>333.24799999999999</v>
      </c>
      <c r="CS124" s="4">
        <v>2</v>
      </c>
      <c r="DD124" s="6">
        <v>3157.7280000000001</v>
      </c>
      <c r="DE124" s="6">
        <v>233414.82399999999</v>
      </c>
      <c r="DG124" s="6">
        <v>18357.088</v>
      </c>
      <c r="DI124" s="6">
        <v>1352.11312</v>
      </c>
      <c r="DJ124" s="2">
        <v>45.72</v>
      </c>
      <c r="DK124" s="6">
        <v>256327.47311999998</v>
      </c>
      <c r="DL124" s="5">
        <v>30.185400640930549</v>
      </c>
      <c r="DM124" s="6">
        <v>233614.11240000001</v>
      </c>
      <c r="DP124" s="6">
        <v>232722.92800000001</v>
      </c>
      <c r="DV124" s="6">
        <v>232722.92800000001</v>
      </c>
      <c r="DW124" s="15">
        <v>135.72640414322709</v>
      </c>
      <c r="DX124" s="6">
        <v>232280.96799999999</v>
      </c>
      <c r="DZ124" s="6">
        <v>2297.3182400000001</v>
      </c>
      <c r="EA124" s="6">
        <v>2537.0271537409235</v>
      </c>
      <c r="EB124" s="15">
        <v>31.699200000000001</v>
      </c>
      <c r="EC124" s="6">
        <v>2722.272872</v>
      </c>
      <c r="ED124" s="15">
        <v>393.88389599999994</v>
      </c>
      <c r="EE124" s="15">
        <v>269.19881305637705</v>
      </c>
      <c r="EF124" s="6">
        <v>8251.4001747973016</v>
      </c>
      <c r="EG124" s="15">
        <v>400.26246719160105</v>
      </c>
      <c r="EJ124" s="4">
        <v>2.0249999999999999</v>
      </c>
      <c r="EM124" s="4">
        <v>2.0249999999999999</v>
      </c>
      <c r="EN124" s="15">
        <f t="shared" si="356"/>
        <v>264.75535727345869</v>
      </c>
      <c r="EZ124" s="5">
        <v>36.576000000000001</v>
      </c>
      <c r="FA124" s="15">
        <v>719.32799999999997</v>
      </c>
      <c r="FF124" s="15">
        <v>755.904</v>
      </c>
      <c r="FG124" s="5">
        <v>11.172164630500324</v>
      </c>
      <c r="FI124" s="6">
        <v>457.2</v>
      </c>
      <c r="FJ124" s="6">
        <v>23.368000000000002</v>
      </c>
      <c r="FK124" s="200"/>
      <c r="FL124" s="200"/>
      <c r="FM124" s="15">
        <f t="shared" si="354"/>
        <v>480.56799999999998</v>
      </c>
      <c r="FN124" s="5">
        <v>26.786999999999999</v>
      </c>
      <c r="GE124" s="5">
        <v>52.956991103892058</v>
      </c>
      <c r="GF124" s="4">
        <v>9.576777472355845</v>
      </c>
      <c r="GK124" s="5">
        <f t="shared" si="355"/>
        <v>62.533768576247901</v>
      </c>
      <c r="GL124" s="5">
        <v>65.729912369392551</v>
      </c>
      <c r="GQ124" s="6">
        <v>6197.6</v>
      </c>
      <c r="GR124" s="6">
        <v>1302.5119999999999</v>
      </c>
      <c r="GS124" s="6">
        <v>159459.16800000001</v>
      </c>
      <c r="GT124" s="6">
        <v>166959.28</v>
      </c>
      <c r="GU124" s="4">
        <v>4.7665559878592818</v>
      </c>
      <c r="GW124" s="5">
        <v>18.971</v>
      </c>
      <c r="GX124" s="84">
        <v>14.398989</v>
      </c>
      <c r="GY124" s="86">
        <v>2.4662299999999998E-2</v>
      </c>
      <c r="GZ124" s="87">
        <v>0.22196070000000001</v>
      </c>
      <c r="HA124" s="87">
        <v>0.24662299999999998</v>
      </c>
      <c r="HG124" s="5">
        <v>24.219746999999998</v>
      </c>
      <c r="HH124" s="86">
        <v>7.2659240999999999E-2</v>
      </c>
      <c r="HI124" s="87">
        <v>0.65393316899999998</v>
      </c>
      <c r="HJ124" s="87">
        <v>8.1136152450000001</v>
      </c>
      <c r="HK124" s="84">
        <v>14.071673006999998</v>
      </c>
      <c r="HO124" s="5">
        <v>14.398989</v>
      </c>
      <c r="HP124" s="17"/>
      <c r="HQ124" s="3">
        <v>9.7321540999999998E-2</v>
      </c>
      <c r="HR124" s="4">
        <v>0.87589386899999999</v>
      </c>
      <c r="HS124" s="4">
        <v>8.1136152450000001</v>
      </c>
      <c r="HT124" s="5">
        <v>14.318296006999997</v>
      </c>
      <c r="IC124" s="15">
        <v>366.65516437842103</v>
      </c>
      <c r="ID124" s="15">
        <v>127.37057396705447</v>
      </c>
      <c r="IE124" s="4">
        <v>4.8581205036297064</v>
      </c>
      <c r="IF124" s="5">
        <v>38.836967397611254</v>
      </c>
      <c r="IG124" s="4">
        <v>0.12890535333014144</v>
      </c>
      <c r="II124" s="5">
        <v>8.5533646788990811</v>
      </c>
      <c r="IJ124" s="15">
        <v>546.40309627894578</v>
      </c>
      <c r="IK124" s="15">
        <v>778.64095008482911</v>
      </c>
      <c r="MY124" s="15">
        <v>100.30459999999999</v>
      </c>
      <c r="MZ124" s="15">
        <v>937.93422880963408</v>
      </c>
      <c r="NA124" s="5">
        <v>1.1785600000000001</v>
      </c>
      <c r="NB124" s="6">
        <v>2053.3532446375239</v>
      </c>
      <c r="NC124" s="4">
        <v>7.7114399999999996</v>
      </c>
      <c r="ND124" s="15">
        <v>686.25315116242882</v>
      </c>
      <c r="NJ124" s="15">
        <v>109.19459999999999</v>
      </c>
      <c r="NK124" s="15">
        <v>932.1991897681645</v>
      </c>
    </row>
    <row r="125" spans="1:375" x14ac:dyDescent="0.25">
      <c r="A125" s="2">
        <v>1913</v>
      </c>
      <c r="B125" s="6">
        <v>8264.3585000000003</v>
      </c>
      <c r="C125" s="6">
        <v>4654.3326999999999</v>
      </c>
      <c r="D125" s="6">
        <v>13526.416300000001</v>
      </c>
      <c r="E125" s="6">
        <v>1038.74</v>
      </c>
      <c r="F125" s="15">
        <v>203.54949999999999</v>
      </c>
      <c r="G125" s="6">
        <v>40866.737300000008</v>
      </c>
      <c r="H125" s="5">
        <v>97.000900000000016</v>
      </c>
      <c r="I125" s="6">
        <v>68651.135200000004</v>
      </c>
      <c r="J125" s="15">
        <v>273.16591337648151</v>
      </c>
      <c r="K125" s="6">
        <v>62885.893303049059</v>
      </c>
      <c r="M125" s="6">
        <v>18814.8469</v>
      </c>
      <c r="N125" s="6">
        <v>451102.04790000006</v>
      </c>
      <c r="O125" s="15">
        <v>502.3272</v>
      </c>
      <c r="Q125" s="5">
        <v>82.725999999999999</v>
      </c>
      <c r="R125" s="6">
        <v>3696.1417000000001</v>
      </c>
      <c r="T125" s="6">
        <v>474198.08970000007</v>
      </c>
      <c r="U125" s="4">
        <v>7.1584896856311815</v>
      </c>
      <c r="V125" s="6">
        <v>434361.43630590005</v>
      </c>
      <c r="AN125" s="6">
        <v>1054551.1040000001</v>
      </c>
      <c r="AO125" s="6">
        <v>10580791.640000001</v>
      </c>
      <c r="AP125" s="6">
        <v>603414.59200000006</v>
      </c>
      <c r="AQ125" s="6">
        <v>55923.688000000002</v>
      </c>
      <c r="AS125" s="6">
        <v>318839.08799999999</v>
      </c>
      <c r="AT125" s="6">
        <v>12613520.112</v>
      </c>
      <c r="AU125" s="4">
        <v>0.73121971089171389</v>
      </c>
      <c r="AW125" s="6">
        <v>3031.7440000000001</v>
      </c>
      <c r="AX125" s="4">
        <v>0.37536150809567032</v>
      </c>
      <c r="BH125" s="6">
        <v>24033.48</v>
      </c>
      <c r="BI125" s="6">
        <v>9857.232</v>
      </c>
      <c r="BJ125" s="5">
        <v>36.576000000000001</v>
      </c>
      <c r="BK125" s="6">
        <v>4746.7520000000004</v>
      </c>
      <c r="BL125" s="6">
        <v>7275.576</v>
      </c>
      <c r="BM125" s="6">
        <v>1331.9760000000001</v>
      </c>
      <c r="BN125" s="4">
        <v>8.1280000000000001</v>
      </c>
      <c r="BO125" s="6">
        <v>47289.72</v>
      </c>
      <c r="BP125" s="4">
        <v>128.14222951727888</v>
      </c>
      <c r="BQ125" s="6">
        <v>43849.43593294025</v>
      </c>
      <c r="BS125" s="6">
        <v>5573</v>
      </c>
      <c r="BV125" s="6">
        <v>5573</v>
      </c>
      <c r="BW125" s="4">
        <v>1.8449668042347029</v>
      </c>
      <c r="BZ125" s="6">
        <v>41491.408000000003</v>
      </c>
      <c r="CA125" s="6">
        <v>75977.495999999999</v>
      </c>
      <c r="CD125" s="6">
        <v>61628.527999999998</v>
      </c>
      <c r="CG125" s="6">
        <v>179097.432</v>
      </c>
      <c r="CH125" s="4">
        <v>7.8740157480314954</v>
      </c>
      <c r="CJ125" s="5">
        <v>27.432000000000002</v>
      </c>
      <c r="CR125" s="5">
        <v>27.432000000000002</v>
      </c>
      <c r="CS125" s="4">
        <v>1.4770681715276475</v>
      </c>
      <c r="CW125" s="5">
        <v>36.576000000000001</v>
      </c>
      <c r="CY125" s="5">
        <v>36.576000000000001</v>
      </c>
      <c r="CZ125" s="17"/>
      <c r="DA125" s="15">
        <v>926</v>
      </c>
      <c r="DB125" s="15">
        <v>36.576000000000001</v>
      </c>
      <c r="DD125" s="6">
        <v>3660.6480000000001</v>
      </c>
      <c r="DE125" s="6">
        <v>243945.66399999999</v>
      </c>
      <c r="DG125" s="6">
        <v>8008.1120000000001</v>
      </c>
      <c r="DH125" s="5">
        <v>93.472000000000008</v>
      </c>
      <c r="DI125" s="6">
        <v>2863.9007999999999</v>
      </c>
      <c r="DJ125" s="2">
        <v>127</v>
      </c>
      <c r="DK125" s="6">
        <v>258698.79679999998</v>
      </c>
      <c r="DL125" s="5">
        <v>30.566552047598446</v>
      </c>
      <c r="DM125" s="6">
        <v>249900.25021120001</v>
      </c>
      <c r="DP125" s="6">
        <v>219627.704</v>
      </c>
      <c r="DV125" s="6">
        <v>219627.704</v>
      </c>
      <c r="DW125" s="15">
        <v>109.83123493169035</v>
      </c>
      <c r="DX125" s="6">
        <v>221748.90798719999</v>
      </c>
      <c r="DZ125" s="6">
        <v>2274.0619999999999</v>
      </c>
      <c r="EA125" s="6">
        <v>2288.294413395879</v>
      </c>
      <c r="EB125" s="15">
        <v>37.642799999999994</v>
      </c>
      <c r="EC125" s="6">
        <v>2913.3433839999998</v>
      </c>
      <c r="ED125" s="15">
        <v>427.27473600000013</v>
      </c>
      <c r="EE125" s="15">
        <v>164.92581602373917</v>
      </c>
      <c r="EF125" s="6">
        <v>8105.5431494196182</v>
      </c>
      <c r="EG125" s="15">
        <v>398.49669954046442</v>
      </c>
      <c r="EJ125" s="4">
        <v>5.5860000000000003</v>
      </c>
      <c r="EM125" s="4">
        <v>5.5860000000000003</v>
      </c>
      <c r="EN125" s="15">
        <f t="shared" si="356"/>
        <v>264.75535727345869</v>
      </c>
      <c r="EZ125" s="5">
        <v>10.16</v>
      </c>
      <c r="FA125" s="6">
        <v>1207.008</v>
      </c>
      <c r="FF125" s="6">
        <v>1217.1680000000001</v>
      </c>
      <c r="FG125" s="5">
        <v>44.386764673806347</v>
      </c>
      <c r="FI125" s="6">
        <v>179.83199999999999</v>
      </c>
      <c r="FJ125" s="6">
        <v>508</v>
      </c>
      <c r="FK125" s="200"/>
      <c r="FL125" s="200"/>
      <c r="FM125" s="15">
        <f t="shared" si="354"/>
        <v>687.83199999999999</v>
      </c>
      <c r="FN125" s="5">
        <v>26.786999999999999</v>
      </c>
      <c r="GE125" s="5">
        <v>34.295216623977012</v>
      </c>
      <c r="GF125" s="5">
        <v>20.603013156743927</v>
      </c>
      <c r="GK125" s="5">
        <f t="shared" si="355"/>
        <v>54.898229780720939</v>
      </c>
      <c r="GL125" s="5">
        <v>86.57662617218061</v>
      </c>
      <c r="GQ125" s="6">
        <v>6045.2</v>
      </c>
      <c r="GR125" s="6">
        <v>1747.52</v>
      </c>
      <c r="GS125" s="6">
        <v>152403.04800000001</v>
      </c>
      <c r="GT125" s="6">
        <v>160195.76800000001</v>
      </c>
      <c r="GU125" s="4">
        <v>4.4725304939012194</v>
      </c>
      <c r="GW125" s="5">
        <v>13.7462</v>
      </c>
      <c r="GX125" s="84">
        <v>10.433365800000001</v>
      </c>
      <c r="GY125" s="86">
        <v>1.787006E-2</v>
      </c>
      <c r="GZ125" s="87">
        <v>0.16083053999999999</v>
      </c>
      <c r="HA125" s="87">
        <v>0.17870059999999999</v>
      </c>
      <c r="HB125" s="4">
        <v>3.9497000000000004</v>
      </c>
      <c r="HC125" s="86">
        <v>1.1849100000000001E-2</v>
      </c>
      <c r="HD125" s="87">
        <v>0.10664190000000001</v>
      </c>
      <c r="HE125" s="87">
        <v>1.3231495000000002</v>
      </c>
      <c r="HF125" s="87">
        <v>2.2947757000000002</v>
      </c>
      <c r="HG125" s="5">
        <v>39.237315000000002</v>
      </c>
      <c r="HH125" s="87">
        <v>0.11771194500000001</v>
      </c>
      <c r="HI125" s="87">
        <v>1.059407505</v>
      </c>
      <c r="HJ125" s="84">
        <v>13.144500525000002</v>
      </c>
      <c r="HK125" s="84">
        <v>22.796880014999999</v>
      </c>
      <c r="HO125" s="5">
        <v>10.433365800000001</v>
      </c>
      <c r="HP125" s="17"/>
      <c r="HQ125" s="4">
        <v>0.14743110500000001</v>
      </c>
      <c r="HR125" s="4">
        <v>1.3268799449999999</v>
      </c>
      <c r="HS125" s="5">
        <v>14.467650025000001</v>
      </c>
      <c r="HT125" s="5">
        <v>25.270356315000001</v>
      </c>
      <c r="IC125" s="15">
        <v>224.528955747357</v>
      </c>
      <c r="ID125" s="5">
        <v>94.744427624581078</v>
      </c>
      <c r="IE125" s="4">
        <v>0.36254630624102285</v>
      </c>
      <c r="IF125" s="5">
        <v>39.759849161609232</v>
      </c>
      <c r="IG125" s="3">
        <v>6.4452676665070721E-2</v>
      </c>
      <c r="IH125" s="4">
        <v>0.56396092081936877</v>
      </c>
      <c r="II125" s="5">
        <v>6.963338613861386</v>
      </c>
      <c r="IJ125" s="15">
        <v>366.98753105113411</v>
      </c>
      <c r="IK125" s="15">
        <v>901.86623805696945</v>
      </c>
      <c r="MY125" s="5">
        <v>93.141800000000003</v>
      </c>
      <c r="MZ125" s="15">
        <v>760.33464566929126</v>
      </c>
      <c r="NA125" s="5">
        <v>1.7678400000000001</v>
      </c>
      <c r="NB125" s="6">
        <v>1359.8515702778532</v>
      </c>
      <c r="NC125" s="4">
        <v>5.1612800000000005</v>
      </c>
      <c r="ND125" s="15">
        <v>630.46376092752178</v>
      </c>
      <c r="NJ125" s="15">
        <v>100.07092000000002</v>
      </c>
      <c r="NK125" s="15">
        <v>764.2273849386014</v>
      </c>
    </row>
    <row r="126" spans="1:375" x14ac:dyDescent="0.25">
      <c r="A126" s="2">
        <v>1914</v>
      </c>
      <c r="B126" s="6">
        <v>7758.4548000000004</v>
      </c>
      <c r="C126" s="6">
        <v>3872.1677</v>
      </c>
      <c r="D126" s="6">
        <v>12851.079800000001</v>
      </c>
      <c r="E126" s="15">
        <v>816.15730000000008</v>
      </c>
      <c r="F126" s="15">
        <v>194.62380000000002</v>
      </c>
      <c r="G126" s="6">
        <v>38345.584699999999</v>
      </c>
      <c r="H126" s="5">
        <v>78.745199999999997</v>
      </c>
      <c r="I126" s="6">
        <v>63916.813300000002</v>
      </c>
      <c r="J126" s="15">
        <v>273.16588366385287</v>
      </c>
      <c r="K126" s="6">
        <v>58704.634143655472</v>
      </c>
      <c r="M126" s="6">
        <v>7898.2804000000006</v>
      </c>
      <c r="N126" s="6">
        <v>415512.35860000004</v>
      </c>
      <c r="O126" s="15">
        <v>418.60599999999999</v>
      </c>
      <c r="Q126" s="5">
        <v>93.48660000000001</v>
      </c>
      <c r="R126" s="6">
        <v>3557.1869000000002</v>
      </c>
      <c r="T126" s="6">
        <v>427479.91850000003</v>
      </c>
      <c r="U126" s="4">
        <v>6.8796159882640149</v>
      </c>
      <c r="V126" s="6">
        <v>345062.07160600001</v>
      </c>
      <c r="AN126" s="6">
        <v>1070853.8400000001</v>
      </c>
      <c r="AO126" s="6">
        <v>10556871.952</v>
      </c>
      <c r="AP126" s="6">
        <v>627416.576</v>
      </c>
      <c r="AQ126" s="6">
        <v>61766.703999999998</v>
      </c>
      <c r="AS126" s="6">
        <v>324317.36</v>
      </c>
      <c r="AT126" s="6">
        <v>12641226.431999998</v>
      </c>
      <c r="AU126" s="4">
        <v>0.72715451615175342</v>
      </c>
      <c r="AW126" s="6">
        <v>2687.32</v>
      </c>
      <c r="AX126" s="4">
        <v>0.39370078740157477</v>
      </c>
      <c r="BH126" s="6">
        <v>18730.975999999999</v>
      </c>
      <c r="BI126" s="6">
        <v>3497.0720000000001</v>
      </c>
      <c r="BK126" s="6">
        <v>7854.6959999999999</v>
      </c>
      <c r="BL126" s="6">
        <v>6991.0960000000005</v>
      </c>
      <c r="BM126" s="6">
        <v>1332.992</v>
      </c>
      <c r="BO126" s="6">
        <v>38406.832000000002</v>
      </c>
      <c r="BP126" s="4">
        <v>100.28289737744601</v>
      </c>
      <c r="BQ126" s="6">
        <v>35721.738747880307</v>
      </c>
      <c r="BS126" s="6">
        <v>1580</v>
      </c>
      <c r="BV126" s="6">
        <v>1580</v>
      </c>
      <c r="BW126" s="4">
        <v>1.8227848101265822</v>
      </c>
      <c r="BZ126" s="6">
        <v>48859.44</v>
      </c>
      <c r="CA126" s="6">
        <v>140675.35999999999</v>
      </c>
      <c r="CD126" s="6">
        <v>43303.951999999997</v>
      </c>
      <c r="CG126" s="6">
        <v>232838.75199999998</v>
      </c>
      <c r="CH126" s="4">
        <v>6.6600918897113912</v>
      </c>
      <c r="CJ126" s="4">
        <v>6.0960000000000001</v>
      </c>
      <c r="CL126" s="2">
        <v>20.32</v>
      </c>
      <c r="CR126" s="5">
        <v>26.416</v>
      </c>
      <c r="CS126" s="4">
        <v>1.4864008852253958</v>
      </c>
      <c r="CW126" s="15">
        <v>282.45815999999996</v>
      </c>
      <c r="CY126" s="15">
        <v>282.45815999999996</v>
      </c>
      <c r="CZ126" s="17"/>
      <c r="DA126" s="15">
        <v>904</v>
      </c>
      <c r="DB126" s="15">
        <v>282.45815999999996</v>
      </c>
      <c r="DD126" s="15">
        <v>735.58400000000006</v>
      </c>
      <c r="DE126" s="6">
        <v>194355.72</v>
      </c>
      <c r="DG126" s="6">
        <v>5550.4080000000004</v>
      </c>
      <c r="DH126" s="5">
        <v>11.176</v>
      </c>
      <c r="DI126" s="6">
        <v>2579.7459200000003</v>
      </c>
      <c r="DK126" s="6">
        <v>203232.63391999999</v>
      </c>
      <c r="DL126" s="5">
        <v>28.033210901159574</v>
      </c>
      <c r="DM126" s="6">
        <v>197402.21631999998</v>
      </c>
      <c r="DP126" s="6">
        <v>168386.76</v>
      </c>
      <c r="DV126" s="6">
        <v>168386.76</v>
      </c>
      <c r="DW126" s="15">
        <v>100.00892936869364</v>
      </c>
      <c r="DX126" s="6">
        <v>168386.76</v>
      </c>
      <c r="DZ126" s="6">
        <v>1483.2076000000002</v>
      </c>
      <c r="EA126" s="6">
        <v>1763.2416257943644</v>
      </c>
      <c r="EB126" s="15">
        <v>34.73704</v>
      </c>
      <c r="EC126" s="6">
        <v>1859.5412936000002</v>
      </c>
      <c r="ED126" s="15">
        <v>236.07572799999997</v>
      </c>
      <c r="EE126" s="15">
        <v>107.59643916913916</v>
      </c>
      <c r="EF126" s="6">
        <v>5484.3997265635044</v>
      </c>
      <c r="EG126" s="15">
        <v>307.08661417322838</v>
      </c>
      <c r="EJ126" s="5">
        <v>15.725</v>
      </c>
      <c r="EM126" s="5">
        <v>15.725</v>
      </c>
      <c r="EN126" s="15">
        <f t="shared" si="356"/>
        <v>264.75535727345869</v>
      </c>
      <c r="EZ126" s="5">
        <v>21.335999999999999</v>
      </c>
      <c r="FA126" s="6">
        <v>1211.0720000000001</v>
      </c>
      <c r="FF126" s="6">
        <v>1232.4080000000001</v>
      </c>
      <c r="FG126" s="5">
        <v>25.127533061118388</v>
      </c>
      <c r="FI126" s="200"/>
      <c r="FJ126" s="6">
        <v>659.38400000000001</v>
      </c>
      <c r="FK126" s="200"/>
      <c r="FL126" s="200"/>
      <c r="FM126" s="15">
        <f t="shared" si="354"/>
        <v>659.38400000000001</v>
      </c>
      <c r="FN126" s="5">
        <v>25.001200000000001</v>
      </c>
      <c r="FT126" s="4">
        <v>7.1120000000000001</v>
      </c>
      <c r="FV126" s="4">
        <v>7.1120000000000001</v>
      </c>
      <c r="FW126" s="2">
        <f>2*(201+586)/2</f>
        <v>787</v>
      </c>
      <c r="GE126" s="5">
        <v>40.248348566252261</v>
      </c>
      <c r="GF126" s="5">
        <v>12.579226625851192</v>
      </c>
      <c r="GJ126" s="3">
        <v>1.03532729430874E-2</v>
      </c>
      <c r="GK126" s="5">
        <f t="shared" si="355"/>
        <v>52.837928465046538</v>
      </c>
      <c r="GL126" s="15">
        <v>187.05326410093519</v>
      </c>
      <c r="GO126" s="15">
        <v>711.2</v>
      </c>
      <c r="GQ126" s="6">
        <v>6180.3280000000004</v>
      </c>
      <c r="GR126" s="6">
        <v>1608.328</v>
      </c>
      <c r="GS126" s="6">
        <v>95280.48</v>
      </c>
      <c r="GT126" s="6">
        <v>103780.336</v>
      </c>
      <c r="GU126" s="38">
        <v>4.2998065949967561</v>
      </c>
      <c r="GW126" s="4">
        <v>6.8731</v>
      </c>
      <c r="GX126" s="87">
        <v>5.2166829000000003</v>
      </c>
      <c r="GY126" s="85">
        <v>8.9350300000000001E-3</v>
      </c>
      <c r="GZ126" s="86">
        <v>8.0415269999999997E-2</v>
      </c>
      <c r="HA126" s="86">
        <v>8.9350299999999994E-2</v>
      </c>
      <c r="HG126" s="5">
        <v>31.685613</v>
      </c>
      <c r="HH126" s="86">
        <v>9.5056839000000004E-2</v>
      </c>
      <c r="HI126" s="87">
        <v>0.85551155099999998</v>
      </c>
      <c r="HJ126" s="84">
        <v>10.614680355000001</v>
      </c>
      <c r="HK126" s="84">
        <v>18.409341153</v>
      </c>
      <c r="HO126" s="4">
        <v>5.2166829000000003</v>
      </c>
      <c r="HP126" s="17"/>
      <c r="HQ126" s="4">
        <v>0.103991869</v>
      </c>
      <c r="HR126" s="4">
        <v>0.93592682100000002</v>
      </c>
      <c r="HS126" s="5">
        <v>10.614680355000001</v>
      </c>
      <c r="HT126" s="5">
        <v>18.498691452999999</v>
      </c>
      <c r="IC126" s="15">
        <v>165.03712103935095</v>
      </c>
      <c r="ID126" s="15">
        <v>109.19995451286896</v>
      </c>
      <c r="IF126" s="5">
        <v>27.378630964479353</v>
      </c>
      <c r="IG126" s="4">
        <v>0.15468642399616975</v>
      </c>
      <c r="II126" s="5">
        <v>13.081</v>
      </c>
      <c r="IJ126" s="15">
        <v>314.8513929406954</v>
      </c>
      <c r="IK126" s="15">
        <v>910.79560675060281</v>
      </c>
      <c r="MY126" s="5">
        <v>98.501199999999997</v>
      </c>
      <c r="MZ126" s="15">
        <v>653.08012968967114</v>
      </c>
      <c r="NA126" s="5">
        <v>3.048</v>
      </c>
      <c r="NB126" s="6">
        <v>1861.5485564304461</v>
      </c>
      <c r="NC126" s="4">
        <v>5.7089039999999995</v>
      </c>
      <c r="ND126" s="15">
        <v>583.64968126982001</v>
      </c>
      <c r="NG126" s="5">
        <v>4.5720000000000001</v>
      </c>
      <c r="NH126" s="15">
        <v>277.77777777777777</v>
      </c>
      <c r="NJ126" s="15">
        <v>111.83010400000001</v>
      </c>
      <c r="NK126" s="15">
        <v>667.12963506309734</v>
      </c>
    </row>
    <row r="127" spans="1:375" x14ac:dyDescent="0.25">
      <c r="A127" s="2">
        <v>1915</v>
      </c>
      <c r="B127" s="6">
        <v>7766.0121000000008</v>
      </c>
      <c r="C127" s="6">
        <v>4120.6878000000006</v>
      </c>
      <c r="D127" s="6">
        <v>10234.014800000001</v>
      </c>
      <c r="E127" s="15">
        <v>576.81170000000009</v>
      </c>
      <c r="F127" s="15">
        <v>189.1191</v>
      </c>
      <c r="G127" s="6">
        <v>37634.483200000002</v>
      </c>
      <c r="H127" s="5">
        <v>27.678999999999998</v>
      </c>
      <c r="I127" s="6">
        <v>60548.807699999998</v>
      </c>
      <c r="J127" s="15">
        <v>273.16592854497111</v>
      </c>
      <c r="K127" s="6">
        <v>54885.222399392675</v>
      </c>
      <c r="M127" s="6">
        <v>7456.162800000001</v>
      </c>
      <c r="N127" s="6">
        <v>218081.19270000001</v>
      </c>
      <c r="O127" s="15">
        <v>363.46570000000003</v>
      </c>
      <c r="Q127" s="5">
        <v>76.56819999999999</v>
      </c>
      <c r="R127" s="6">
        <v>4046.732</v>
      </c>
      <c r="T127" s="6">
        <v>230024.1214</v>
      </c>
      <c r="U127" s="4">
        <v>6.4010879044626288</v>
      </c>
      <c r="V127" s="6">
        <v>278145.9289</v>
      </c>
      <c r="AN127" s="6">
        <v>1040661.368</v>
      </c>
      <c r="AO127" s="6">
        <v>9600192.1280000005</v>
      </c>
      <c r="AP127" s="6">
        <v>597513.66399999999</v>
      </c>
      <c r="AQ127" s="6">
        <v>65568.576000000001</v>
      </c>
      <c r="AS127" s="6">
        <v>291252.65600000002</v>
      </c>
      <c r="AT127" s="6">
        <v>11595188.392000001</v>
      </c>
      <c r="AU127" s="4">
        <v>0.74573750996173505</v>
      </c>
      <c r="AW127" s="6">
        <v>2910.078</v>
      </c>
      <c r="AX127" s="4">
        <v>0.39373514474404808</v>
      </c>
      <c r="BH127" s="6">
        <v>20019.263999999999</v>
      </c>
      <c r="BI127" s="6">
        <v>2523.7440000000001</v>
      </c>
      <c r="BK127" s="6">
        <v>7944.1040000000003</v>
      </c>
      <c r="BL127" s="6">
        <v>7848.6</v>
      </c>
      <c r="BM127" s="15">
        <v>674.62400000000002</v>
      </c>
      <c r="BN127" s="15">
        <v>304.8</v>
      </c>
      <c r="BO127" s="6">
        <v>39315.135999999999</v>
      </c>
      <c r="BP127" s="4">
        <v>134.04209065827794</v>
      </c>
      <c r="BQ127" s="6">
        <v>37077.409892000003</v>
      </c>
      <c r="BS127" s="2">
        <v>839</v>
      </c>
      <c r="BV127" s="2">
        <v>839</v>
      </c>
      <c r="BW127" s="4">
        <v>1.6853396901072706</v>
      </c>
      <c r="BZ127" s="6">
        <v>46416.976000000002</v>
      </c>
      <c r="CA127" s="6">
        <v>139169.64800000002</v>
      </c>
      <c r="CD127" s="6">
        <v>241173</v>
      </c>
      <c r="CG127" s="6">
        <v>426759.62400000001</v>
      </c>
      <c r="CH127" s="4">
        <v>6.8868491205364704</v>
      </c>
      <c r="CJ127" s="15">
        <v>203.2</v>
      </c>
      <c r="CK127" s="15">
        <v>724.40800000000002</v>
      </c>
      <c r="CL127" s="2">
        <v>98.552000000000007</v>
      </c>
      <c r="CN127" s="2">
        <v>254</v>
      </c>
      <c r="CR127" s="6">
        <v>1280.1599999999999</v>
      </c>
      <c r="CS127" s="4">
        <v>1.4569330385014521</v>
      </c>
      <c r="DD127" s="15">
        <v>494.79200000000003</v>
      </c>
      <c r="DE127" s="6">
        <v>157745.17600000001</v>
      </c>
      <c r="DG127" s="6">
        <v>4740.6559999999999</v>
      </c>
      <c r="DH127" s="5">
        <v>35.56</v>
      </c>
      <c r="DI127" s="6">
        <v>1744.6243999999999</v>
      </c>
      <c r="DJ127" s="2">
        <v>32.512</v>
      </c>
      <c r="DK127" s="6">
        <v>164793.32039999997</v>
      </c>
      <c r="DL127" s="5">
        <v>44.783480806031072</v>
      </c>
      <c r="DM127" s="6">
        <v>159502.32767999999</v>
      </c>
      <c r="DP127" s="6">
        <v>133600.95199999999</v>
      </c>
      <c r="DV127" s="6">
        <v>133600.95199999999</v>
      </c>
      <c r="DW127" s="15">
        <v>279.48924011072421</v>
      </c>
      <c r="DX127" s="6">
        <v>133600.95199999999</v>
      </c>
      <c r="DZ127" s="6">
        <v>1511.1222</v>
      </c>
      <c r="EA127" s="6">
        <v>1984.4842283584417</v>
      </c>
      <c r="EB127" s="15">
        <v>63.101220000000005</v>
      </c>
      <c r="EC127" s="6">
        <v>1985.8702280000002</v>
      </c>
      <c r="ED127" s="15">
        <v>231.83697599999999</v>
      </c>
      <c r="EE127" s="5">
        <v>76.854599406527811</v>
      </c>
      <c r="EF127" s="6">
        <v>5853.2694517649697</v>
      </c>
      <c r="EG127" s="15">
        <v>310.89499168496587</v>
      </c>
      <c r="EJ127" s="4">
        <v>3.01</v>
      </c>
      <c r="EM127" s="4">
        <v>3.01</v>
      </c>
      <c r="EN127" s="15">
        <f>2*3620/SUM(EM$123:EM$127)</f>
        <v>264.75535727345869</v>
      </c>
      <c r="EY127" s="5">
        <v>97.536000000000001</v>
      </c>
      <c r="EZ127" s="15">
        <v>368.80799999999999</v>
      </c>
      <c r="FA127" s="6">
        <v>1457.96</v>
      </c>
      <c r="FC127" s="6">
        <v>270.89201599999996</v>
      </c>
      <c r="FF127" s="6">
        <v>2195.1960159999999</v>
      </c>
      <c r="FG127" s="5">
        <v>38.693202680800091</v>
      </c>
      <c r="FI127" s="6">
        <v>120.904</v>
      </c>
      <c r="FJ127" s="6">
        <v>648.20799999999997</v>
      </c>
      <c r="FK127" s="200"/>
      <c r="FL127" s="200"/>
      <c r="FM127" s="15">
        <f t="shared" si="354"/>
        <v>769.11199999999997</v>
      </c>
      <c r="FN127" s="5">
        <v>29.465700000000002</v>
      </c>
      <c r="FQ127" s="5">
        <v>71.12</v>
      </c>
      <c r="FV127" s="5">
        <v>71.12</v>
      </c>
      <c r="FW127" s="6">
        <f>2*586</f>
        <v>1172</v>
      </c>
      <c r="GE127" s="5">
        <v>50.291023321047049</v>
      </c>
      <c r="GF127" s="5">
        <v>16.409937614793531</v>
      </c>
      <c r="GK127" s="5">
        <f t="shared" si="355"/>
        <v>66.700960935840584</v>
      </c>
      <c r="GL127" s="15">
        <v>535.87990643540536</v>
      </c>
      <c r="GO127" s="6">
        <v>1117.5999999999999</v>
      </c>
      <c r="GQ127" s="6">
        <v>4687.8239999999996</v>
      </c>
      <c r="GR127" s="15">
        <v>358.64800000000002</v>
      </c>
      <c r="GS127" s="6">
        <v>26149.808000000001</v>
      </c>
      <c r="GT127" s="6">
        <v>32313.88</v>
      </c>
      <c r="GU127" s="4">
        <v>4.1270826960922937</v>
      </c>
      <c r="GW127" s="4">
        <v>1.7416</v>
      </c>
      <c r="GX127" s="87">
        <v>1.3218744</v>
      </c>
      <c r="GY127" s="85">
        <v>2.2640799999999999E-3</v>
      </c>
      <c r="GZ127" s="86">
        <v>2.0376720000000001E-2</v>
      </c>
      <c r="HA127" s="86">
        <v>2.2640799999999999E-2</v>
      </c>
      <c r="HG127" s="4">
        <v>7.6831928000000005</v>
      </c>
      <c r="HH127" s="86">
        <v>2.3049578400000003E-2</v>
      </c>
      <c r="HI127" s="87">
        <v>0.20744620560000002</v>
      </c>
      <c r="HJ127" s="87">
        <v>2.5738695880000004</v>
      </c>
      <c r="HK127" s="87">
        <v>4.4639350167999998</v>
      </c>
      <c r="HO127" s="4">
        <v>1.3218744</v>
      </c>
      <c r="HP127" s="17"/>
      <c r="HQ127" s="3">
        <v>2.5313658400000001E-2</v>
      </c>
      <c r="HR127" s="4">
        <v>0.2278229256</v>
      </c>
      <c r="HS127" s="4">
        <v>2.5738695880000004</v>
      </c>
      <c r="HT127" s="4">
        <v>4.4865758167999994</v>
      </c>
      <c r="IC127" s="15">
        <v>268.78377486251122</v>
      </c>
      <c r="ID127" s="5">
        <v>45.197439511380843</v>
      </c>
      <c r="IE127" s="4">
        <v>2.8995753749401523</v>
      </c>
      <c r="IF127" s="5">
        <v>55.305734065917015</v>
      </c>
      <c r="IG127" s="4">
        <v>0.12890535333014144</v>
      </c>
      <c r="IH127" s="3">
        <v>9.6679014997606089E-2</v>
      </c>
      <c r="II127" s="5">
        <v>3.2702499999999999</v>
      </c>
      <c r="IJ127" s="15">
        <v>375.68235818307693</v>
      </c>
      <c r="IK127" s="6">
        <v>3643.1824270024113</v>
      </c>
      <c r="MY127" s="15">
        <v>126.71425000000001</v>
      </c>
      <c r="MZ127" s="15">
        <v>598.8906559093906</v>
      </c>
      <c r="NA127" s="5">
        <v>3.73888</v>
      </c>
      <c r="NB127" s="6">
        <v>2664.4342690859294</v>
      </c>
      <c r="NC127" s="5">
        <v>5.5880000000000001</v>
      </c>
      <c r="ND127" s="15">
        <v>430.56549749463136</v>
      </c>
      <c r="NG127" s="5">
        <v>0.50800000000000001</v>
      </c>
      <c r="NH127" s="15">
        <v>145.66929133858267</v>
      </c>
      <c r="NJ127" s="15">
        <v>136.54913000000002</v>
      </c>
      <c r="NK127" s="15">
        <v>646.873255769308</v>
      </c>
    </row>
    <row r="128" spans="1:375" x14ac:dyDescent="0.25">
      <c r="A128" s="2">
        <v>1916</v>
      </c>
      <c r="B128" s="6">
        <v>6691.5382</v>
      </c>
      <c r="C128" s="6">
        <v>3363.3094999999998</v>
      </c>
      <c r="D128" s="6">
        <v>7981.5973000000004</v>
      </c>
      <c r="E128" s="15">
        <v>491.06900000000002</v>
      </c>
      <c r="F128" s="15">
        <v>241.61590000000001</v>
      </c>
      <c r="G128" s="6">
        <v>33009.477800000001</v>
      </c>
      <c r="H128" s="5">
        <v>59.369900000000001</v>
      </c>
      <c r="I128" s="6">
        <v>51837.977599999998</v>
      </c>
      <c r="J128" s="15">
        <v>273.1658984372549</v>
      </c>
      <c r="K128" s="6">
        <v>46976.716421643847</v>
      </c>
      <c r="M128" s="6">
        <v>7559.9124000000002</v>
      </c>
      <c r="N128" s="6">
        <v>252155.44120000003</v>
      </c>
      <c r="O128" s="15">
        <v>272.00060000000002</v>
      </c>
      <c r="Q128" s="15">
        <v>106.57970000000002</v>
      </c>
      <c r="R128" s="6">
        <v>3687.4554699999999</v>
      </c>
      <c r="T128" s="6">
        <v>263781.38937000005</v>
      </c>
      <c r="U128" s="4">
        <v>8.0197305199346669</v>
      </c>
      <c r="V128" s="6">
        <v>255737.07892</v>
      </c>
      <c r="AN128" s="6">
        <v>922250.63199999998</v>
      </c>
      <c r="AO128" s="6">
        <v>8257195.5760000004</v>
      </c>
      <c r="AP128" s="6">
        <v>423857.92800000001</v>
      </c>
      <c r="AQ128" s="6">
        <v>56464.2</v>
      </c>
      <c r="AS128" s="6">
        <v>306350.41600000003</v>
      </c>
      <c r="AT128" s="6">
        <v>9966118.7519999985</v>
      </c>
      <c r="AU128" s="4">
        <v>0.85591414673005584</v>
      </c>
      <c r="AW128" s="6">
        <v>2961.64</v>
      </c>
      <c r="AX128" s="4">
        <v>0.39370078740157483</v>
      </c>
      <c r="BH128" s="6">
        <v>19832.32</v>
      </c>
      <c r="BI128" s="6">
        <v>5868.4160000000002</v>
      </c>
      <c r="BK128" s="6">
        <v>6352.0320000000002</v>
      </c>
      <c r="BL128" s="6">
        <v>7395.4639999999999</v>
      </c>
      <c r="BM128" s="15">
        <v>745.74400000000003</v>
      </c>
      <c r="BN128" s="5">
        <v>71.12</v>
      </c>
      <c r="BO128" s="6">
        <v>40265.095999999998</v>
      </c>
      <c r="BP128" s="4">
        <v>202.29645942645988</v>
      </c>
      <c r="BQ128" s="6">
        <v>36986.935376000001</v>
      </c>
      <c r="BS128" s="6">
        <v>1901</v>
      </c>
      <c r="BV128" s="6">
        <v>1901</v>
      </c>
      <c r="BW128" s="4">
        <v>1.4466070489216203</v>
      </c>
      <c r="BZ128" s="6">
        <v>44867.576000000001</v>
      </c>
      <c r="CA128" s="6">
        <v>95620.84</v>
      </c>
      <c r="CD128" s="6">
        <v>191342.264</v>
      </c>
      <c r="CG128" s="6">
        <v>331830.68</v>
      </c>
      <c r="CH128" s="4">
        <v>7.3818897637795278</v>
      </c>
      <c r="CJ128" s="15">
        <v>653.28800000000001</v>
      </c>
      <c r="CK128" s="6">
        <v>1954.7840000000001</v>
      </c>
      <c r="CL128" s="2">
        <v>86.36</v>
      </c>
      <c r="CN128" s="15">
        <v>552.70399999999995</v>
      </c>
      <c r="CR128" s="6">
        <v>3247.1360000000004</v>
      </c>
      <c r="CS128" s="4">
        <v>1.8826539495830834</v>
      </c>
      <c r="DD128" s="15">
        <v>624.84</v>
      </c>
      <c r="DE128" s="6">
        <v>140782.04</v>
      </c>
      <c r="DG128" s="6">
        <v>5053.5839999999998</v>
      </c>
      <c r="DH128" s="15">
        <v>148.33600000000001</v>
      </c>
      <c r="DI128" s="6">
        <v>3708.9892799999998</v>
      </c>
      <c r="DJ128" s="2">
        <v>48.768000000000001</v>
      </c>
      <c r="DK128" s="6">
        <v>150366.55728000004</v>
      </c>
      <c r="DL128" s="5">
        <v>61.810992702327816</v>
      </c>
      <c r="DM128" s="6">
        <v>144998.52127999999</v>
      </c>
      <c r="DP128" s="6">
        <v>120582.944</v>
      </c>
      <c r="DV128" s="6">
        <v>120582.944</v>
      </c>
      <c r="DW128" s="15">
        <v>267.88106080900081</v>
      </c>
      <c r="DX128" s="6">
        <v>120582.944</v>
      </c>
      <c r="DZ128" s="6">
        <v>1213.7694799999999</v>
      </c>
      <c r="EA128" s="6">
        <v>1736.7574318382601</v>
      </c>
      <c r="EB128" s="15">
        <v>80.568799999999996</v>
      </c>
      <c r="EC128" s="6">
        <v>2151.1225479999998</v>
      </c>
      <c r="ED128" s="15">
        <v>309.30799200000001</v>
      </c>
      <c r="EE128" s="15">
        <v>137.92284866468847</v>
      </c>
      <c r="EF128" s="6">
        <v>5629.4491005029495</v>
      </c>
      <c r="EG128" s="15">
        <v>344.48818897637796</v>
      </c>
      <c r="EY128" s="5">
        <v>97.536000000000001</v>
      </c>
      <c r="EZ128" s="15">
        <v>356.61599999999999</v>
      </c>
      <c r="FA128" s="6">
        <v>1731.2640000000001</v>
      </c>
      <c r="FB128" s="5">
        <v>14.224</v>
      </c>
      <c r="FC128" s="6">
        <v>1120.6479999999999</v>
      </c>
      <c r="FF128" s="6">
        <v>3320.2880000000005</v>
      </c>
      <c r="FG128" s="5">
        <v>42.610440740362002</v>
      </c>
      <c r="FI128" s="6">
        <v>162.56</v>
      </c>
      <c r="FJ128" s="6">
        <v>457.2</v>
      </c>
      <c r="FK128" s="200"/>
      <c r="FL128" s="200"/>
      <c r="FM128" s="15">
        <f t="shared" si="354"/>
        <v>619.76</v>
      </c>
      <c r="FN128" s="5">
        <v>39.287599999999998</v>
      </c>
      <c r="FQ128" s="2">
        <v>50.8</v>
      </c>
      <c r="FT128" s="5">
        <v>21.335999999999999</v>
      </c>
      <c r="FV128" s="5">
        <v>72.135999999999996</v>
      </c>
      <c r="FW128" s="2">
        <f>2*417</f>
        <v>834</v>
      </c>
      <c r="GE128" s="5">
        <v>42.111937696007999</v>
      </c>
      <c r="GF128" s="5">
        <v>27.860657489848194</v>
      </c>
      <c r="GJ128" s="3">
        <v>5.1766364715437004E-2</v>
      </c>
      <c r="GK128" s="5">
        <f t="shared" si="355"/>
        <v>70.024361550571626</v>
      </c>
      <c r="GL128" s="15">
        <v>411.21615500077684</v>
      </c>
      <c r="GO128" s="6">
        <v>2074.672</v>
      </c>
      <c r="GP128" s="15">
        <v>406.4</v>
      </c>
      <c r="GQ128" s="6">
        <v>5093.2079999999996</v>
      </c>
      <c r="GS128" s="6">
        <v>44916.343999999997</v>
      </c>
      <c r="GT128" s="6">
        <v>52490.623999999996</v>
      </c>
      <c r="GU128" s="4">
        <v>4.1574920420160577</v>
      </c>
      <c r="GW128" s="4">
        <v>2.5502000000000002</v>
      </c>
      <c r="GX128" s="87">
        <v>1.9356018000000001</v>
      </c>
      <c r="GY128" s="85">
        <v>3.31526E-3</v>
      </c>
      <c r="GZ128" s="86">
        <v>2.9837340000000004E-2</v>
      </c>
      <c r="HA128" s="86">
        <v>3.3152600000000004E-2</v>
      </c>
      <c r="HG128" s="4">
        <v>6.9088650000000005</v>
      </c>
      <c r="HH128" s="86">
        <v>2.0726595E-2</v>
      </c>
      <c r="HI128" s="87">
        <v>0.18653935500000002</v>
      </c>
      <c r="HJ128" s="87">
        <v>2.3144697750000005</v>
      </c>
      <c r="HK128" s="87">
        <v>4.0140505649999998</v>
      </c>
      <c r="HO128" s="4">
        <v>1.9356018000000001</v>
      </c>
      <c r="HP128" s="17"/>
      <c r="HQ128" s="3">
        <v>2.4041855000000001E-2</v>
      </c>
      <c r="HR128" s="4">
        <v>0.21637669500000001</v>
      </c>
      <c r="HS128" s="4">
        <v>2.3144697750000005</v>
      </c>
      <c r="HT128" s="4">
        <v>4.047203165</v>
      </c>
      <c r="IC128" s="15">
        <v>221.2539541143131</v>
      </c>
      <c r="ID128" s="15">
        <v>146.04573703075869</v>
      </c>
      <c r="IE128" s="4">
        <v>0.29003704499281829</v>
      </c>
      <c r="IF128" s="5">
        <v>62.069639652687023</v>
      </c>
      <c r="IG128" s="4">
        <v>0.10312428266411318</v>
      </c>
      <c r="IH128" s="4">
        <v>2.1752778374461368</v>
      </c>
      <c r="II128" s="5">
        <v>21.191220000000001</v>
      </c>
      <c r="IJ128" s="15">
        <v>453.12898996286185</v>
      </c>
      <c r="IK128" s="6">
        <v>4223.5913920885796</v>
      </c>
      <c r="IN128" s="5">
        <v>32.981595200000001</v>
      </c>
      <c r="IP128" s="5">
        <v>32.981595200000001</v>
      </c>
      <c r="IQ128" s="6">
        <v>1498.2208136421573</v>
      </c>
      <c r="MY128" s="5">
        <v>71.145399999999995</v>
      </c>
      <c r="MZ128" s="15">
        <v>848.39747144283024</v>
      </c>
      <c r="NA128" s="5">
        <v>6.0045600000000006</v>
      </c>
      <c r="NB128" s="6">
        <v>1822.9478929347028</v>
      </c>
      <c r="NC128" s="4">
        <v>3.56616</v>
      </c>
      <c r="ND128" s="15">
        <v>593.91614509724741</v>
      </c>
      <c r="NG128" s="4">
        <v>0.10160000000000001</v>
      </c>
      <c r="NH128" s="6">
        <v>2618.1102362204724</v>
      </c>
      <c r="NJ128" s="5">
        <v>80.843119999999985</v>
      </c>
      <c r="NK128" s="15">
        <v>911.51327985348348</v>
      </c>
    </row>
    <row r="129" spans="1:375" x14ac:dyDescent="0.25">
      <c r="A129" s="2">
        <v>1917</v>
      </c>
      <c r="B129" s="6">
        <v>5576.3855000000003</v>
      </c>
      <c r="C129" s="6">
        <v>2555.5181000000002</v>
      </c>
      <c r="D129" s="6">
        <v>6278.2192000000005</v>
      </c>
      <c r="E129" s="15">
        <v>450.82560000000001</v>
      </c>
      <c r="F129" s="15">
        <v>222.08510000000001</v>
      </c>
      <c r="G129" s="6">
        <v>30176.858700000004</v>
      </c>
      <c r="H129" s="5">
        <v>26.932600000000001</v>
      </c>
      <c r="I129" s="6">
        <v>45286.824800000002</v>
      </c>
      <c r="J129" s="15">
        <v>273.16596212601053</v>
      </c>
      <c r="K129" s="6">
        <v>41303.669499435535</v>
      </c>
      <c r="M129" s="6">
        <v>7514.9729000000007</v>
      </c>
      <c r="N129" s="6">
        <v>265779.94689999998</v>
      </c>
      <c r="O129" s="15">
        <v>238.50590000000003</v>
      </c>
      <c r="Q129" s="5">
        <v>56.7575</v>
      </c>
      <c r="R129" s="6">
        <v>3862.3400999999999</v>
      </c>
      <c r="T129" s="6">
        <v>277452.5233</v>
      </c>
      <c r="U129" s="5">
        <v>11.845509875795674</v>
      </c>
      <c r="V129" s="6">
        <v>331608.21782600001</v>
      </c>
      <c r="AN129" s="6">
        <v>1065248.568</v>
      </c>
      <c r="AO129" s="6">
        <v>8425552.8719999995</v>
      </c>
      <c r="AP129" s="6">
        <v>473679.52</v>
      </c>
      <c r="AQ129" s="6">
        <v>64426.592000000004</v>
      </c>
      <c r="AR129" s="15">
        <v>724.40800000000002</v>
      </c>
      <c r="AS129" s="6">
        <v>331774.8</v>
      </c>
      <c r="AT129" s="6">
        <v>10361406.76</v>
      </c>
      <c r="AU129" s="4">
        <v>1.1285729799145412</v>
      </c>
      <c r="AW129" s="6">
        <v>35494.976000000002</v>
      </c>
      <c r="AX129" s="4">
        <v>0.54131604427623781</v>
      </c>
      <c r="BH129" s="6">
        <v>19366.992000000002</v>
      </c>
      <c r="BI129" s="6">
        <v>6033.0079999999998</v>
      </c>
      <c r="BK129" s="6">
        <v>5921.2480000000005</v>
      </c>
      <c r="BL129" s="6">
        <v>7328.4080000000004</v>
      </c>
      <c r="BM129" s="15">
        <v>799.59199999999998</v>
      </c>
      <c r="BN129" s="5">
        <v>44.704000000000001</v>
      </c>
      <c r="BO129" s="6">
        <v>39493.951999999997</v>
      </c>
      <c r="BP129" s="4">
        <v>243.71431787267466</v>
      </c>
      <c r="BQ129" s="6">
        <v>36909.462676222225</v>
      </c>
      <c r="BS129" s="6">
        <v>2991</v>
      </c>
      <c r="BV129" s="6">
        <v>2991</v>
      </c>
      <c r="BW129" s="4">
        <v>1.3413574055499833</v>
      </c>
      <c r="BZ129" s="6">
        <v>25466.04</v>
      </c>
      <c r="CA129" s="6">
        <v>99405.440000000002</v>
      </c>
      <c r="CD129" s="6">
        <v>333640.17599999998</v>
      </c>
      <c r="CG129" s="6">
        <v>458511.65599999996</v>
      </c>
      <c r="CH129" s="4">
        <v>10.826749793421852</v>
      </c>
      <c r="CJ129" s="5">
        <v>21.335999999999999</v>
      </c>
      <c r="CK129" s="6">
        <v>3780.5360000000001</v>
      </c>
      <c r="CN129" s="15">
        <v>268.22399999999999</v>
      </c>
      <c r="CR129" s="6">
        <v>4070.096</v>
      </c>
      <c r="CS129" s="4">
        <v>5.9055118110236222</v>
      </c>
      <c r="DD129" s="15">
        <v>487.68</v>
      </c>
      <c r="DE129" s="6">
        <v>156982.16</v>
      </c>
      <c r="DG129" s="6">
        <v>4650.232</v>
      </c>
      <c r="DH129" s="15">
        <v>378.96800000000002</v>
      </c>
      <c r="DI129" s="6">
        <v>5030.7240000000002</v>
      </c>
      <c r="DJ129" s="2">
        <v>9.1440000000000001</v>
      </c>
      <c r="DK129" s="6">
        <v>167538.90799999997</v>
      </c>
      <c r="DL129" s="5">
        <v>58.300605312360169</v>
      </c>
      <c r="DM129" s="6">
        <v>163106.44340799999</v>
      </c>
      <c r="DP129" s="6">
        <v>160103.31200000001</v>
      </c>
      <c r="DV129" s="6">
        <v>160103.31200000001</v>
      </c>
      <c r="DW129" s="15">
        <v>175.01562639521387</v>
      </c>
      <c r="DX129" s="6">
        <v>160103.31200000001</v>
      </c>
      <c r="DZ129" s="15">
        <v>837.08240000000001</v>
      </c>
      <c r="EA129" s="6">
        <v>1890.5900758913913</v>
      </c>
      <c r="EB129" s="15">
        <v>91.762579999999986</v>
      </c>
      <c r="EC129" s="6">
        <v>1949.034024</v>
      </c>
      <c r="ED129" s="15">
        <v>218.31706399999996</v>
      </c>
      <c r="EE129" s="15">
        <v>174.89614243323484</v>
      </c>
      <c r="EF129" s="6">
        <v>5161.6822863246261</v>
      </c>
      <c r="EG129" s="15">
        <v>426.73402299013799</v>
      </c>
      <c r="EZ129" s="15">
        <v>174.75200000000001</v>
      </c>
      <c r="FA129" s="6">
        <v>1306.576</v>
      </c>
      <c r="FB129" s="4">
        <v>6.0960000000000001</v>
      </c>
      <c r="FC129" s="6">
        <v>1551.432</v>
      </c>
      <c r="FF129" s="6">
        <v>3038.8559999999998</v>
      </c>
      <c r="FG129" s="5">
        <v>24.446072147958247</v>
      </c>
      <c r="FI129" s="6">
        <v>843.28</v>
      </c>
      <c r="FJ129" s="6">
        <v>596.39200000000005</v>
      </c>
      <c r="FK129" s="200"/>
      <c r="FL129" s="200"/>
      <c r="FM129" s="15">
        <f t="shared" si="354"/>
        <v>1439.672</v>
      </c>
      <c r="FN129" s="5">
        <v>52.681100000000001</v>
      </c>
      <c r="FQ129" s="5">
        <v>71.12</v>
      </c>
      <c r="FS129" s="4">
        <v>7.815384615384616</v>
      </c>
      <c r="FT129" s="5">
        <v>18.288</v>
      </c>
      <c r="FV129" s="5">
        <v>97.223384615384617</v>
      </c>
      <c r="FW129" s="2">
        <f>2*234</f>
        <v>468</v>
      </c>
      <c r="GE129" s="5">
        <v>57.564197563565948</v>
      </c>
      <c r="GF129" s="5">
        <v>36.360694576122945</v>
      </c>
      <c r="GG129" s="4">
        <v>0.67296274130068101</v>
      </c>
      <c r="GH129" s="4">
        <v>0.46589728243893297</v>
      </c>
      <c r="GI129" s="4">
        <v>0.51766364715437008</v>
      </c>
      <c r="GJ129" s="3">
        <v>6.7296274130068098E-2</v>
      </c>
      <c r="GK129" s="5">
        <f t="shared" si="355"/>
        <v>95.64871208471294</v>
      </c>
      <c r="GL129" s="15">
        <v>451.33889504050643</v>
      </c>
      <c r="GO129" s="6">
        <v>2032</v>
      </c>
      <c r="GP129" s="6">
        <v>1549.4</v>
      </c>
      <c r="GQ129" s="6">
        <v>5182.616</v>
      </c>
      <c r="GS129" s="115">
        <v>100000</v>
      </c>
      <c r="GT129" s="6">
        <v>108764.016</v>
      </c>
      <c r="GU129" s="4">
        <v>4.5041950648941675</v>
      </c>
      <c r="GW129" s="4">
        <v>8.0548999999999999</v>
      </c>
      <c r="GX129" s="87">
        <v>6.1136691000000001</v>
      </c>
      <c r="GY129" s="86">
        <v>1.0471369999999999E-2</v>
      </c>
      <c r="GZ129" s="86">
        <v>9.4242329999999999E-2</v>
      </c>
      <c r="HA129" s="87">
        <v>0.10471369999999999</v>
      </c>
      <c r="HG129" s="5">
        <v>10.327656899999999</v>
      </c>
      <c r="HH129" s="86">
        <v>3.0982970699999998E-2</v>
      </c>
      <c r="HI129" s="87">
        <v>0.27884673629999995</v>
      </c>
      <c r="HJ129" s="87">
        <v>3.4597650614999997</v>
      </c>
      <c r="HK129" s="87">
        <v>6.0003686588999994</v>
      </c>
      <c r="HO129" s="4">
        <v>6.1136691000000001</v>
      </c>
      <c r="HP129" s="17"/>
      <c r="HQ129" s="3">
        <v>4.1454340699999995E-2</v>
      </c>
      <c r="HR129" s="4">
        <v>0.37308906629999994</v>
      </c>
      <c r="HS129" s="4">
        <v>3.4597650614999997</v>
      </c>
      <c r="HT129" s="4">
        <v>6.105082358899999</v>
      </c>
      <c r="IC129" s="15">
        <v>216.39986190297498</v>
      </c>
      <c r="ID129" s="15">
        <v>130.31525563218989</v>
      </c>
      <c r="IE129" s="5">
        <v>10.96098332535359</v>
      </c>
      <c r="IF129" s="15">
        <v>140.8796535814387</v>
      </c>
      <c r="IG129" s="4">
        <v>0.10312428266411318</v>
      </c>
      <c r="IH129" s="4">
        <v>0.26183899895184987</v>
      </c>
      <c r="II129" s="5">
        <v>32.807148000000005</v>
      </c>
      <c r="IJ129" s="15">
        <v>531.72786572357313</v>
      </c>
      <c r="IK129" s="6">
        <v>2285.9183855701403</v>
      </c>
      <c r="IN129" s="5">
        <v>12.188850399999998</v>
      </c>
      <c r="IP129" s="5">
        <v>12.188850399999998</v>
      </c>
      <c r="IQ129" s="6">
        <v>1110.3144064005573</v>
      </c>
      <c r="MY129" s="5">
        <v>68.834000000000003</v>
      </c>
      <c r="MZ129" s="15">
        <v>638.28740157480308</v>
      </c>
      <c r="NA129" s="5">
        <v>4.1554400000000005</v>
      </c>
      <c r="NB129" s="6">
        <v>4519.8583062202797</v>
      </c>
      <c r="NC129" s="4">
        <v>4.2793919999999996</v>
      </c>
      <c r="ND129" s="15">
        <v>418.28371880865325</v>
      </c>
      <c r="NG129" s="4">
        <v>0.254</v>
      </c>
      <c r="NH129" s="15">
        <v>188.97637795275591</v>
      </c>
      <c r="NI129" s="4">
        <v>5.0800000000000005E-2</v>
      </c>
      <c r="NJ129" s="5">
        <v>77.573632000000003</v>
      </c>
      <c r="NK129" s="15">
        <v>832.73370353652706</v>
      </c>
    </row>
    <row r="130" spans="1:375" x14ac:dyDescent="0.25">
      <c r="A130" s="2">
        <v>1918</v>
      </c>
      <c r="B130" s="6">
        <v>4154.0581000000002</v>
      </c>
      <c r="C130" s="6">
        <v>2707.0994999999998</v>
      </c>
      <c r="D130" s="6">
        <v>4939.5196999999998</v>
      </c>
      <c r="E130" s="15">
        <v>327.45190000000002</v>
      </c>
      <c r="F130" s="15">
        <v>192.19800000000001</v>
      </c>
      <c r="G130" s="6">
        <v>27259.492100000003</v>
      </c>
      <c r="H130" s="5">
        <v>16.327500000000001</v>
      </c>
      <c r="I130" s="6">
        <v>39596.146800000002</v>
      </c>
      <c r="J130" s="15">
        <v>273.16593788190573</v>
      </c>
      <c r="K130" s="6">
        <v>35484.356383383856</v>
      </c>
      <c r="M130" s="6">
        <v>4742.7189000000008</v>
      </c>
      <c r="N130" s="6">
        <v>287984.78710000002</v>
      </c>
      <c r="O130" s="15">
        <v>196.95630000000003</v>
      </c>
      <c r="Q130" s="5">
        <v>50.008800000000001</v>
      </c>
      <c r="R130" s="6">
        <v>3693.0628000000002</v>
      </c>
      <c r="T130" s="6">
        <v>296667.53390000004</v>
      </c>
      <c r="U130" s="5">
        <v>13.441388147827592</v>
      </c>
      <c r="V130" s="6">
        <v>407038.02845000004</v>
      </c>
      <c r="AN130" s="6">
        <v>998924.08799999999</v>
      </c>
      <c r="AO130" s="6">
        <v>9208186.8159999996</v>
      </c>
      <c r="AP130" s="6">
        <v>446608.2</v>
      </c>
      <c r="AQ130" s="6">
        <v>61125.608</v>
      </c>
      <c r="AS130" s="6">
        <v>342431.62400000001</v>
      </c>
      <c r="AT130" s="6">
        <v>11057276.335999997</v>
      </c>
      <c r="AU130" s="4">
        <v>1.1376692674747413</v>
      </c>
      <c r="AW130" s="6">
        <v>67218.559999999998</v>
      </c>
      <c r="AX130" s="4">
        <v>0.53318607241809401</v>
      </c>
      <c r="BH130" s="6">
        <v>19282.664000000001</v>
      </c>
      <c r="BI130" s="6">
        <v>6186.424</v>
      </c>
      <c r="BK130" s="6">
        <v>5612.384</v>
      </c>
      <c r="BL130" s="6">
        <v>7283.7039999999997</v>
      </c>
      <c r="BM130" s="15">
        <v>726.44</v>
      </c>
      <c r="BN130" s="5">
        <v>85.343999999999994</v>
      </c>
      <c r="BO130" s="6">
        <v>39176.959999999999</v>
      </c>
      <c r="BP130" s="4">
        <v>210.63294507541397</v>
      </c>
      <c r="BQ130" s="6">
        <v>38178.723292000002</v>
      </c>
      <c r="BS130" s="6">
        <v>1784</v>
      </c>
      <c r="BV130" s="6">
        <v>1784</v>
      </c>
      <c r="BW130" s="4">
        <v>1.3497757847533631</v>
      </c>
      <c r="BZ130" s="6">
        <v>43466.512000000002</v>
      </c>
      <c r="CA130" s="6">
        <v>120542.304</v>
      </c>
      <c r="CD130" s="6">
        <v>261141.46400000001</v>
      </c>
      <c r="CG130" s="6">
        <v>425150.28</v>
      </c>
      <c r="CH130" s="4">
        <v>10.121288899294216</v>
      </c>
      <c r="CJ130" s="6">
        <v>1326.896</v>
      </c>
      <c r="CK130" s="6">
        <v>6616.192</v>
      </c>
      <c r="CN130" s="6">
        <v>1097.28</v>
      </c>
      <c r="CR130" s="6">
        <v>9040.3680000000004</v>
      </c>
      <c r="CS130" s="4">
        <v>1.5617368255676851</v>
      </c>
      <c r="DD130" s="15">
        <v>224.536</v>
      </c>
      <c r="DE130" s="6">
        <v>189582.552</v>
      </c>
      <c r="DG130" s="6">
        <v>3530.6</v>
      </c>
      <c r="DH130" s="15">
        <v>306.83199999999999</v>
      </c>
      <c r="DI130" s="6">
        <v>6792.0920800000004</v>
      </c>
      <c r="DJ130" s="2">
        <v>13.208</v>
      </c>
      <c r="DK130" s="6">
        <v>200449.82008</v>
      </c>
      <c r="DL130" s="5">
        <v>54.626567924789896</v>
      </c>
      <c r="DM130" s="6">
        <v>197378.64185976336</v>
      </c>
      <c r="DP130" s="6">
        <v>184652.92</v>
      </c>
      <c r="DV130" s="6">
        <v>184652.92</v>
      </c>
      <c r="DW130" s="15">
        <v>157.15688900794714</v>
      </c>
      <c r="DX130" s="6">
        <v>184652.92</v>
      </c>
      <c r="DZ130" s="15">
        <v>932.3832000000001</v>
      </c>
      <c r="EA130" s="6">
        <v>1742.5999622063309</v>
      </c>
      <c r="EB130" s="15">
        <v>89.814399999999992</v>
      </c>
      <c r="EC130" s="6">
        <v>1681.0962543999999</v>
      </c>
      <c r="ED130" s="15">
        <v>281.13736</v>
      </c>
      <c r="EE130" s="15">
        <v>115.48961424332323</v>
      </c>
      <c r="EF130" s="6">
        <v>4842.5207908496541</v>
      </c>
      <c r="EG130" s="15">
        <v>647.67443409675309</v>
      </c>
      <c r="EZ130" s="15">
        <v>233.68</v>
      </c>
      <c r="FA130" s="15">
        <v>647.19200000000001</v>
      </c>
      <c r="FC130" s="6">
        <v>1425.4480000000001</v>
      </c>
      <c r="FF130" s="6">
        <v>2306.3200000000002</v>
      </c>
      <c r="FG130" s="5">
        <v>17.348128271675538</v>
      </c>
      <c r="FI130" s="6">
        <v>355.6</v>
      </c>
      <c r="FJ130" s="6">
        <v>373.88800000000003</v>
      </c>
      <c r="FK130" s="200"/>
      <c r="FL130" s="200"/>
      <c r="FM130" s="15">
        <f t="shared" si="354"/>
        <v>729.48800000000006</v>
      </c>
      <c r="FN130" s="15">
        <v>105.3622</v>
      </c>
      <c r="FQ130" s="15">
        <v>203.2</v>
      </c>
      <c r="FS130" s="4">
        <v>7.815384615384616</v>
      </c>
      <c r="FT130" s="2">
        <v>5.08</v>
      </c>
      <c r="FV130" s="15">
        <v>216.09538461538463</v>
      </c>
      <c r="FW130" s="6">
        <f>2*547</f>
        <v>1094</v>
      </c>
      <c r="GE130" s="5">
        <v>57.615963928281381</v>
      </c>
      <c r="GF130" s="5">
        <v>48.122012639470235</v>
      </c>
      <c r="GG130" s="4">
        <v>1.3976918473167992</v>
      </c>
      <c r="GH130" s="4">
        <v>0.10353272943087401</v>
      </c>
      <c r="GI130" s="4">
        <v>0.25883182357718504</v>
      </c>
      <c r="GJ130" s="7">
        <v>5.1766364715437E-3</v>
      </c>
      <c r="GK130" s="15">
        <f t="shared" si="355"/>
        <v>107.503209604548</v>
      </c>
      <c r="GL130" s="15">
        <v>451.53310282666843</v>
      </c>
      <c r="GN130" s="15">
        <v>457.2</v>
      </c>
      <c r="GO130" s="15">
        <v>467.36</v>
      </c>
      <c r="GP130" s="6">
        <v>3438.1440000000002</v>
      </c>
      <c r="GQ130" s="6">
        <v>8203.1839999999993</v>
      </c>
      <c r="GS130" s="6">
        <v>152403.04800000001</v>
      </c>
      <c r="GT130" s="6">
        <v>164968.93600000002</v>
      </c>
      <c r="GU130" s="4">
        <v>4.2881329878343362</v>
      </c>
      <c r="GW130" s="5">
        <v>18.877700000000001</v>
      </c>
      <c r="GX130" s="84">
        <v>14.328174300000001</v>
      </c>
      <c r="GY130" s="86">
        <v>2.4541009999999999E-2</v>
      </c>
      <c r="GZ130" s="87">
        <v>0.22086909000000002</v>
      </c>
      <c r="HA130" s="87">
        <v>0.24541009999999999</v>
      </c>
      <c r="HG130" s="5">
        <v>49.969707300000003</v>
      </c>
      <c r="HH130" s="87">
        <v>0.14990912190000003</v>
      </c>
      <c r="HI130" s="87">
        <v>1.3491820971000001</v>
      </c>
      <c r="HJ130" s="84">
        <v>16.739851945500003</v>
      </c>
      <c r="HK130" s="84">
        <v>29.0323999413</v>
      </c>
      <c r="HO130" s="5">
        <v>14.328174300000001</v>
      </c>
      <c r="HP130" s="17"/>
      <c r="HQ130" s="4">
        <v>0.17445013190000003</v>
      </c>
      <c r="HR130" s="4">
        <v>1.5700511871000002</v>
      </c>
      <c r="HS130" s="5">
        <v>16.739851945500003</v>
      </c>
      <c r="HT130" s="5">
        <v>29.2778100413</v>
      </c>
      <c r="IC130" s="15">
        <v>162.68661248722162</v>
      </c>
      <c r="ID130" s="15">
        <v>135.9951477632992</v>
      </c>
      <c r="IE130" s="4">
        <v>2.0544290686991293</v>
      </c>
      <c r="IF130" s="15">
        <v>216.91342888722681</v>
      </c>
      <c r="IG130" s="3">
        <v>9.0233747331099012E-2</v>
      </c>
      <c r="IH130" s="4">
        <v>2.7342033929010472</v>
      </c>
      <c r="II130" s="15">
        <v>122.05017773943055</v>
      </c>
      <c r="IJ130" s="15">
        <v>642.52423308610946</v>
      </c>
      <c r="IK130" s="6">
        <v>2884.1860880435756</v>
      </c>
      <c r="MY130" s="5">
        <v>68.738749999999996</v>
      </c>
      <c r="MZ130" s="15">
        <v>550.8532135446186</v>
      </c>
      <c r="NA130" s="5">
        <v>6.3296799999999998</v>
      </c>
      <c r="NB130" s="6">
        <v>5183.8323580338974</v>
      </c>
      <c r="NC130" s="4">
        <v>4.6817279999999997</v>
      </c>
      <c r="ND130" s="15">
        <v>443.42601706036749</v>
      </c>
      <c r="NJ130" s="5">
        <v>79.750157999999999</v>
      </c>
      <c r="NK130" s="15">
        <v>912.26103066203507</v>
      </c>
    </row>
    <row r="131" spans="1:375" x14ac:dyDescent="0.25">
      <c r="A131" s="2">
        <v>1919</v>
      </c>
      <c r="B131" s="6">
        <v>3764.0329999999999</v>
      </c>
      <c r="C131" s="6">
        <v>2047.5929000000001</v>
      </c>
      <c r="D131" s="6">
        <v>4211.8108000000002</v>
      </c>
      <c r="E131" s="15">
        <v>239.03460000000001</v>
      </c>
      <c r="F131" s="15">
        <v>100.2664</v>
      </c>
      <c r="G131" s="6">
        <v>22829.452600000001</v>
      </c>
      <c r="H131" s="5">
        <v>25.7819</v>
      </c>
      <c r="I131" s="6">
        <v>33217.972200000004</v>
      </c>
      <c r="J131" s="15">
        <v>317.00366176764635</v>
      </c>
      <c r="K131" s="6">
        <v>28689.402643329788</v>
      </c>
      <c r="M131" s="6">
        <v>2862.6928000000003</v>
      </c>
      <c r="N131" s="6">
        <v>196079.83980000002</v>
      </c>
      <c r="O131" s="15">
        <v>190.3631</v>
      </c>
      <c r="P131" s="6">
        <v>16338.167300000001</v>
      </c>
      <c r="Q131" s="5">
        <v>17.447100000000002</v>
      </c>
      <c r="R131" s="6">
        <v>2896.7162000000003</v>
      </c>
      <c r="T131" s="6">
        <v>218385.22630000001</v>
      </c>
      <c r="U131" s="5">
        <v>15.276931089609613</v>
      </c>
      <c r="V131" s="6">
        <v>146469.64150249999</v>
      </c>
      <c r="AN131" s="6">
        <v>946537.09600000002</v>
      </c>
      <c r="AO131" s="6">
        <v>8769658.8640000001</v>
      </c>
      <c r="AP131" s="6">
        <v>430728.12</v>
      </c>
      <c r="AQ131" s="6">
        <v>67313.047999999995</v>
      </c>
      <c r="AS131" s="6">
        <v>408140.408</v>
      </c>
      <c r="AT131" s="6">
        <v>10622377.536</v>
      </c>
      <c r="AU131" s="4">
        <v>1.2983004974474426</v>
      </c>
      <c r="AW131" s="6">
        <v>113414.048</v>
      </c>
      <c r="AX131" s="4">
        <v>0.60913089002872023</v>
      </c>
      <c r="BH131" s="6">
        <v>10156.951999999999</v>
      </c>
      <c r="BI131" s="6">
        <v>1527.048</v>
      </c>
      <c r="BK131" s="6">
        <v>5107.4319999999998</v>
      </c>
      <c r="BL131" s="6">
        <v>2557.2719999999999</v>
      </c>
      <c r="BM131" s="15">
        <v>250.952</v>
      </c>
      <c r="BN131" s="5">
        <v>26.416</v>
      </c>
      <c r="BO131" s="6">
        <v>19626.072</v>
      </c>
      <c r="BP131" s="4">
        <v>187.81145507496493</v>
      </c>
      <c r="BQ131" s="6">
        <v>17926.080520000003</v>
      </c>
      <c r="BS131" s="6">
        <v>1774</v>
      </c>
      <c r="BV131" s="6">
        <v>1774</v>
      </c>
      <c r="BW131" s="4">
        <v>1.9233370913190531</v>
      </c>
      <c r="BZ131" s="6">
        <v>25070.815999999999</v>
      </c>
      <c r="CA131" s="6">
        <v>149127.46400000001</v>
      </c>
      <c r="CD131" s="6">
        <v>272826.48</v>
      </c>
      <c r="CG131" s="6">
        <v>447024.76</v>
      </c>
      <c r="CH131" s="4">
        <v>10.826759493427069</v>
      </c>
      <c r="CJ131" s="5">
        <v>20.32</v>
      </c>
      <c r="CK131" s="6">
        <v>4725.4160000000002</v>
      </c>
      <c r="CN131" s="15">
        <v>302.76800000000003</v>
      </c>
      <c r="CR131" s="6">
        <v>5048.5039999999999</v>
      </c>
      <c r="CS131" s="4">
        <v>5.9055118110236213</v>
      </c>
      <c r="DD131" s="15">
        <v>137.16</v>
      </c>
      <c r="DE131" s="6">
        <v>63500</v>
      </c>
      <c r="DG131" s="6">
        <v>2394.712</v>
      </c>
      <c r="DI131" s="6">
        <v>1215.85736</v>
      </c>
      <c r="DJ131" s="2">
        <v>4.0640000000000001</v>
      </c>
      <c r="DK131" s="6">
        <v>67251.793359999996</v>
      </c>
      <c r="DL131" s="5">
        <v>55.511742536053575</v>
      </c>
      <c r="DM131" s="6">
        <v>65083.25473488</v>
      </c>
      <c r="DP131" s="6">
        <v>66097.911999999997</v>
      </c>
      <c r="DR131" s="15">
        <v>289.56</v>
      </c>
      <c r="DV131" s="6">
        <v>66387.471999999994</v>
      </c>
      <c r="DW131" s="15">
        <v>137.51227788195376</v>
      </c>
      <c r="DX131" s="6">
        <v>66383.19057703999</v>
      </c>
      <c r="DZ131" s="15">
        <v>706.93280000000004</v>
      </c>
      <c r="EA131" s="6">
        <v>2044.9703085775288</v>
      </c>
      <c r="EB131" s="15">
        <v>76.012040000000013</v>
      </c>
      <c r="EC131" s="6">
        <v>1465.2909920000002</v>
      </c>
      <c r="ED131" s="15">
        <v>200.06767199999999</v>
      </c>
      <c r="EE131" s="15">
        <v>127.95252225519282</v>
      </c>
      <c r="EF131" s="6">
        <v>4621.2263348327224</v>
      </c>
      <c r="EG131" s="15">
        <v>455.64167044564454</v>
      </c>
      <c r="EY131" s="4">
        <v>1.016</v>
      </c>
      <c r="EZ131" s="5">
        <v>88.391999999999996</v>
      </c>
      <c r="FA131" s="15">
        <v>613.66399999999999</v>
      </c>
      <c r="FC131" s="6">
        <v>114.80800000000001</v>
      </c>
      <c r="FF131" s="15">
        <v>817.88</v>
      </c>
      <c r="FG131" s="5">
        <v>52.991220924970591</v>
      </c>
      <c r="FI131" s="6">
        <v>47.752000000000002</v>
      </c>
      <c r="FJ131" s="6">
        <v>266.19200000000001</v>
      </c>
      <c r="FK131" s="200"/>
      <c r="FL131" s="200"/>
      <c r="FM131" s="15">
        <f t="shared" si="354"/>
        <v>313.94400000000002</v>
      </c>
      <c r="FN131" s="5">
        <v>64.288799999999995</v>
      </c>
      <c r="FQ131" s="15">
        <v>101.6</v>
      </c>
      <c r="FS131" s="4">
        <v>7.815384615384616</v>
      </c>
      <c r="FV131" s="15">
        <v>109.41538461538461</v>
      </c>
      <c r="FW131" s="2">
        <f>2*340</f>
        <v>680</v>
      </c>
      <c r="GE131" s="5">
        <v>61.006660817142496</v>
      </c>
      <c r="GF131" s="5">
        <v>34.077797892172171</v>
      </c>
      <c r="GG131" s="4">
        <v>2.5365518710564134</v>
      </c>
      <c r="GH131" s="3">
        <v>5.1766364715437004E-2</v>
      </c>
      <c r="GI131" s="4">
        <v>0.25883182357718504</v>
      </c>
      <c r="GK131" s="5">
        <f t="shared" si="355"/>
        <v>97.931608768663708</v>
      </c>
      <c r="GL131" s="15">
        <v>461.76782726172354</v>
      </c>
      <c r="GN131" s="15">
        <v>660.4</v>
      </c>
      <c r="GO131" s="15">
        <v>585.21600000000001</v>
      </c>
      <c r="GP131" s="6">
        <v>2520.6959999999999</v>
      </c>
      <c r="GQ131" s="6">
        <v>6045.2</v>
      </c>
      <c r="GS131" s="115">
        <v>150000</v>
      </c>
      <c r="GT131" s="6">
        <v>159811.51199999999</v>
      </c>
      <c r="GU131" s="4">
        <v>4.2766891195026711</v>
      </c>
      <c r="GW131" s="4">
        <v>6.6242999999999999</v>
      </c>
      <c r="GX131" s="87">
        <v>5.0278437</v>
      </c>
      <c r="GY131" s="86">
        <v>8.6115899999999988E-3</v>
      </c>
      <c r="GZ131" s="86">
        <v>7.7504310000000007E-2</v>
      </c>
      <c r="HA131" s="87">
        <v>8.6115899999999995E-2</v>
      </c>
      <c r="HG131" s="5">
        <v>51.928136500000001</v>
      </c>
      <c r="HH131" s="87">
        <v>0.1557844095</v>
      </c>
      <c r="HI131" s="87">
        <v>1.4020596855</v>
      </c>
      <c r="HJ131" s="84">
        <v>17.3959257275</v>
      </c>
      <c r="HK131" s="84">
        <v>30.170247306499999</v>
      </c>
      <c r="HO131" s="4">
        <v>5.0278437</v>
      </c>
      <c r="HP131" s="17"/>
      <c r="HQ131" s="4">
        <v>0.1643959995</v>
      </c>
      <c r="HR131" s="4">
        <v>1.4795639955</v>
      </c>
      <c r="HS131" s="5">
        <v>17.3959257275</v>
      </c>
      <c r="HT131" s="5">
        <v>30.256363206499998</v>
      </c>
      <c r="IC131" s="15">
        <v>154.51522157377818</v>
      </c>
      <c r="ID131" s="15">
        <v>117.5254276064649</v>
      </c>
      <c r="IE131" s="4">
        <v>1.0392994112242653</v>
      </c>
      <c r="IF131" s="15">
        <v>186.84675875950776</v>
      </c>
      <c r="IH131" s="4">
        <v>3.0884111340985263</v>
      </c>
      <c r="II131" s="15">
        <v>105.2531730802416</v>
      </c>
      <c r="IJ131" s="15">
        <v>568.26829156531517</v>
      </c>
      <c r="IK131" s="6">
        <v>2241.2715421019734</v>
      </c>
      <c r="IN131" s="4">
        <v>0.17924780000000001</v>
      </c>
      <c r="IP131" s="4">
        <v>0.17924780000000001</v>
      </c>
      <c r="IQ131" s="6">
        <v>2253.3241037178045</v>
      </c>
      <c r="MY131" s="5">
        <v>72.085200000000015</v>
      </c>
      <c r="MZ131" s="15">
        <v>644.6850393700787</v>
      </c>
      <c r="NA131" s="5">
        <v>3.9522399999999998</v>
      </c>
      <c r="NB131" s="6">
        <v>10229.64192457948</v>
      </c>
      <c r="NC131" s="4">
        <v>1.7983200000000001</v>
      </c>
      <c r="ND131" s="15">
        <v>637.26144401441343</v>
      </c>
      <c r="NG131" s="3">
        <v>2.5400000000000002E-2</v>
      </c>
      <c r="NH131" s="6">
        <v>1181.1023622047244</v>
      </c>
      <c r="NJ131" s="5">
        <v>77.861160000000027</v>
      </c>
      <c r="NK131" s="6">
        <v>1131.2219083301607</v>
      </c>
    </row>
    <row r="132" spans="1:375" x14ac:dyDescent="0.25">
      <c r="A132" s="2">
        <v>1920</v>
      </c>
      <c r="B132" s="6">
        <v>3583.6529999999998</v>
      </c>
      <c r="C132" s="6">
        <v>1521.0388</v>
      </c>
      <c r="D132" s="6">
        <v>4751.8312000000005</v>
      </c>
      <c r="E132" s="15">
        <v>194.25060000000002</v>
      </c>
      <c r="F132" s="5">
        <v>52.776700000000005</v>
      </c>
      <c r="G132" s="6">
        <v>19214.886200000001</v>
      </c>
      <c r="H132" s="5">
        <v>29.202900000000003</v>
      </c>
      <c r="I132" s="6">
        <v>29347.639400000004</v>
      </c>
      <c r="J132" s="15">
        <v>374.59813243649342</v>
      </c>
      <c r="K132" s="6">
        <v>27347.461920809641</v>
      </c>
      <c r="M132" s="6">
        <v>8528.7085000000006</v>
      </c>
      <c r="N132" s="6">
        <v>21002.825199999999</v>
      </c>
      <c r="O132" s="15">
        <v>193.7841</v>
      </c>
      <c r="P132" s="6">
        <v>19386.464900000003</v>
      </c>
      <c r="Q132" s="5">
        <v>31.255500000000001</v>
      </c>
      <c r="R132" s="6">
        <v>2977.6383999999998</v>
      </c>
      <c r="T132" s="6">
        <v>52120.676599999999</v>
      </c>
      <c r="U132" s="5">
        <v>14.935520768858854</v>
      </c>
      <c r="V132" s="6">
        <v>31634.914093312269</v>
      </c>
      <c r="AN132" s="6">
        <v>1127671.608</v>
      </c>
      <c r="AO132" s="6">
        <v>10887454.983999999</v>
      </c>
      <c r="AP132" s="6">
        <v>449316.85600000003</v>
      </c>
      <c r="AQ132" s="6">
        <v>76635.864000000001</v>
      </c>
      <c r="AS132" s="6">
        <v>469413.33600000001</v>
      </c>
      <c r="AT132" s="6">
        <v>13010492.648</v>
      </c>
      <c r="AU132" s="4">
        <v>1.494673318891335</v>
      </c>
      <c r="AW132" s="6">
        <v>165352.984</v>
      </c>
      <c r="AX132" s="4">
        <v>0.77627870326186554</v>
      </c>
      <c r="BH132" s="6">
        <v>16151.352000000001</v>
      </c>
      <c r="BI132" s="6">
        <v>1069.848</v>
      </c>
      <c r="BK132" s="6">
        <v>4868.6720000000005</v>
      </c>
      <c r="BL132" s="6">
        <v>4408.424</v>
      </c>
      <c r="BM132" s="15">
        <v>377.952</v>
      </c>
      <c r="BN132" s="5">
        <v>17.271999999999998</v>
      </c>
      <c r="BO132" s="6">
        <v>26893.52</v>
      </c>
      <c r="BP132" s="4">
        <v>195.29085027162301</v>
      </c>
      <c r="BQ132" s="6">
        <v>17537.957993600001</v>
      </c>
      <c r="BS132" s="6">
        <v>3523</v>
      </c>
      <c r="BV132" s="6">
        <v>3523</v>
      </c>
      <c r="BW132" s="4">
        <v>3.5662787397104738</v>
      </c>
      <c r="BZ132" s="6">
        <v>20024.344000000001</v>
      </c>
      <c r="CA132" s="6">
        <v>133066.53599999999</v>
      </c>
      <c r="CD132" s="6">
        <v>419646.60800000001</v>
      </c>
      <c r="CG132" s="6">
        <v>572737.48800000001</v>
      </c>
      <c r="CH132" s="4">
        <v>14.763779527559054</v>
      </c>
      <c r="CJ132" s="5">
        <v>15.24</v>
      </c>
      <c r="CK132" s="6">
        <v>2571.4960000000001</v>
      </c>
      <c r="CN132" s="15">
        <v>522.22400000000005</v>
      </c>
      <c r="CR132" s="6">
        <v>3108.96</v>
      </c>
      <c r="CS132" s="4">
        <v>5.9055118110236222</v>
      </c>
      <c r="DD132" s="6">
        <v>1736.3440000000001</v>
      </c>
      <c r="DE132" s="6">
        <v>7786.6239999999998</v>
      </c>
      <c r="DG132" s="6">
        <v>3917.6959999999999</v>
      </c>
      <c r="DH132" s="5">
        <v>49.783999999999999</v>
      </c>
      <c r="DI132" s="6">
        <v>5153.8428800000002</v>
      </c>
      <c r="DJ132" s="2">
        <v>8.1280000000000001</v>
      </c>
      <c r="DK132" s="6">
        <v>18652.418880000001</v>
      </c>
      <c r="DL132" s="5">
        <v>47.210730014680365</v>
      </c>
      <c r="DM132" s="6">
        <v>14362.426623405205</v>
      </c>
      <c r="DP132" s="6">
        <v>10237.216</v>
      </c>
      <c r="DR132" s="4">
        <v>9.1440000000000001</v>
      </c>
      <c r="DV132" s="6">
        <v>10246.36</v>
      </c>
      <c r="DW132" s="15">
        <v>153.58514153049381</v>
      </c>
      <c r="DX132" s="6">
        <v>10237.216</v>
      </c>
      <c r="DZ132" s="6">
        <v>1057.05656</v>
      </c>
      <c r="EA132" s="6">
        <v>1745.5270056477377</v>
      </c>
      <c r="EB132" s="15">
        <v>55.968899999999991</v>
      </c>
      <c r="EC132" s="6">
        <v>1300.7596639999999</v>
      </c>
      <c r="ED132" s="15">
        <v>164.70680800000002</v>
      </c>
      <c r="EE132" s="5">
        <v>58.991097922848496</v>
      </c>
      <c r="EF132" s="6">
        <v>4383.0100355705863</v>
      </c>
      <c r="EG132" s="15">
        <v>571.49641807739079</v>
      </c>
      <c r="EZ132" s="15">
        <v>101.6</v>
      </c>
      <c r="FA132" s="15">
        <v>364.74400000000003</v>
      </c>
      <c r="FB132" s="4">
        <v>1.016</v>
      </c>
      <c r="FC132" s="6">
        <v>866.64800000000002</v>
      </c>
      <c r="FF132" s="6">
        <v>1334.008</v>
      </c>
      <c r="FG132" s="5">
        <v>24.655511811023622</v>
      </c>
      <c r="FI132" s="6">
        <v>160.52799999999999</v>
      </c>
      <c r="FJ132" s="6">
        <v>1483.3600000000001</v>
      </c>
      <c r="FK132" s="200"/>
      <c r="FL132" s="200"/>
      <c r="FM132" s="15">
        <f t="shared" si="354"/>
        <v>1643.8880000000001</v>
      </c>
      <c r="FN132" s="5">
        <v>36.608899999999998</v>
      </c>
      <c r="FQ132" s="5">
        <v>40.64</v>
      </c>
      <c r="FS132" s="4">
        <v>7.815384615384616</v>
      </c>
      <c r="FT132" s="5">
        <v>13.208</v>
      </c>
      <c r="FV132" s="5">
        <v>61.663384615384615</v>
      </c>
      <c r="FW132" s="6">
        <f>2*625</f>
        <v>1250</v>
      </c>
      <c r="GE132" s="5">
        <v>15.141661679265324</v>
      </c>
      <c r="GF132" s="5">
        <v>15.529909414631101</v>
      </c>
      <c r="GG132" s="4">
        <v>2.5365518710564134</v>
      </c>
      <c r="GH132" s="3">
        <v>5.1766364715437004E-2</v>
      </c>
      <c r="GK132" s="5">
        <f t="shared" si="355"/>
        <v>33.259889329668269</v>
      </c>
      <c r="GL132" s="15">
        <v>211.6779417739975</v>
      </c>
      <c r="GN132" s="15">
        <v>863.6</v>
      </c>
      <c r="GO132" s="15">
        <v>156.464</v>
      </c>
      <c r="GP132" s="6">
        <v>4289.5519999999997</v>
      </c>
      <c r="GQ132" s="6">
        <v>8893.0480000000007</v>
      </c>
      <c r="GS132" s="115">
        <v>150000</v>
      </c>
      <c r="GT132" s="6">
        <v>164202.66399999999</v>
      </c>
      <c r="GU132" s="4">
        <v>4.6030419780593848</v>
      </c>
      <c r="GW132" s="5">
        <v>24.755600000000001</v>
      </c>
      <c r="GX132" s="84">
        <v>18.789500400000001</v>
      </c>
      <c r="GY132" s="86">
        <v>3.2182280000000001E-2</v>
      </c>
      <c r="GZ132" s="87">
        <v>0.28964052000000001</v>
      </c>
      <c r="HA132" s="87">
        <v>0.32182280000000002</v>
      </c>
      <c r="HG132" s="5">
        <v>62.485995600000003</v>
      </c>
      <c r="HH132" s="87">
        <v>0.1874579868</v>
      </c>
      <c r="HI132" s="87">
        <v>1.6871218812</v>
      </c>
      <c r="HJ132" s="84">
        <v>20.932808526000002</v>
      </c>
      <c r="HK132" s="84">
        <v>36.304363443599996</v>
      </c>
      <c r="HO132" s="5">
        <v>18.789500400000001</v>
      </c>
      <c r="HP132" s="17"/>
      <c r="HQ132" s="4">
        <v>0.21964026680000001</v>
      </c>
      <c r="HR132" s="4">
        <v>1.9767624012</v>
      </c>
      <c r="HS132" s="5">
        <v>20.932808526000002</v>
      </c>
      <c r="HT132" s="5">
        <v>36.626186243599996</v>
      </c>
      <c r="IC132" s="5">
        <v>53.423212370760517</v>
      </c>
      <c r="ID132" s="5">
        <v>18.328729926629485</v>
      </c>
      <c r="IE132" s="4">
        <v>3.5432858996622629</v>
      </c>
      <c r="IF132" s="15">
        <v>102.79033723314227</v>
      </c>
      <c r="IH132" s="4">
        <v>1.2949348400471024</v>
      </c>
      <c r="II132" s="15">
        <v>141.48304329163071</v>
      </c>
      <c r="IJ132" s="15">
        <v>320.86354356187235</v>
      </c>
      <c r="IK132" s="15">
        <v>973.30118760603636</v>
      </c>
      <c r="MY132" s="5">
        <v>25.400000000000002</v>
      </c>
      <c r="MZ132" s="6">
        <v>1098.2179859096561</v>
      </c>
      <c r="NA132" s="5">
        <v>15.443200000000003</v>
      </c>
      <c r="NB132" s="6">
        <v>4388.4687111479479</v>
      </c>
      <c r="NC132" s="4">
        <v>0.10160000000000001</v>
      </c>
      <c r="ND132" s="15">
        <v>177.16535433070865</v>
      </c>
      <c r="NJ132" s="5">
        <v>40.944800000000001</v>
      </c>
      <c r="NK132" s="6">
        <v>2336.9203620998337</v>
      </c>
    </row>
    <row r="133" spans="1:375" x14ac:dyDescent="0.25">
      <c r="A133" s="2">
        <v>1921</v>
      </c>
      <c r="B133" s="6">
        <v>1255.6936000000001</v>
      </c>
      <c r="C133" s="6">
        <v>1591.4802999999999</v>
      </c>
      <c r="D133" s="6">
        <v>3250.3232000000003</v>
      </c>
      <c r="E133" s="15">
        <v>166.07400000000001</v>
      </c>
      <c r="F133" s="5">
        <v>81.730800000000002</v>
      </c>
      <c r="G133" s="6">
        <v>17221.034100000001</v>
      </c>
      <c r="H133" s="4">
        <v>7.6195000000000004</v>
      </c>
      <c r="I133" s="6">
        <v>23573.955500000004</v>
      </c>
      <c r="J133" s="15">
        <v>341.73648221981995</v>
      </c>
      <c r="K133" s="6">
        <v>20844.8024328926</v>
      </c>
      <c r="M133" s="6">
        <v>6074.7007999999996</v>
      </c>
      <c r="N133" s="6">
        <v>131922.77900000001</v>
      </c>
      <c r="O133" s="15">
        <v>161.84440000000001</v>
      </c>
      <c r="P133" s="6">
        <v>10843.263800000001</v>
      </c>
      <c r="Q133" s="5">
        <v>45.063900000000004</v>
      </c>
      <c r="R133" s="6">
        <v>2772.2539999999999</v>
      </c>
      <c r="T133" s="6">
        <v>151819.90590000001</v>
      </c>
      <c r="U133" s="5">
        <v>10.650416378356342</v>
      </c>
      <c r="V133" s="6">
        <v>230384.42872163776</v>
      </c>
      <c r="AN133" s="6">
        <v>970039.20799999998</v>
      </c>
      <c r="AO133" s="6">
        <v>10966081.192</v>
      </c>
      <c r="AP133" s="6">
        <v>523096.74400000001</v>
      </c>
      <c r="AQ133" s="6">
        <v>67539.615999999995</v>
      </c>
      <c r="AS133" s="6">
        <v>476318.07199999999</v>
      </c>
      <c r="AT133" s="6">
        <v>13003074.832000002</v>
      </c>
      <c r="AU133" s="4">
        <v>1.7476463198752397</v>
      </c>
      <c r="AW133" s="6">
        <v>80491.583999999988</v>
      </c>
      <c r="AX133" s="4">
        <v>0.77210556571976519</v>
      </c>
      <c r="AZ133" s="5">
        <v>86.36</v>
      </c>
      <c r="BE133" s="5">
        <v>86.36</v>
      </c>
      <c r="BF133" s="6">
        <v>5759.4428073935178</v>
      </c>
      <c r="BH133" s="6">
        <v>2466.848</v>
      </c>
      <c r="BI133" s="15">
        <v>582.16800000000001</v>
      </c>
      <c r="BK133" s="6">
        <v>6279.8959999999997</v>
      </c>
      <c r="BL133" s="6">
        <v>1556.5119999999999</v>
      </c>
      <c r="BM133" s="15">
        <v>295.65600000000001</v>
      </c>
      <c r="BN133" s="4">
        <v>8.1280000000000001</v>
      </c>
      <c r="BO133" s="6">
        <v>11189.208000000001</v>
      </c>
      <c r="BP133" s="4">
        <v>162.79409212125037</v>
      </c>
      <c r="BQ133" s="6">
        <v>15683.438230509608</v>
      </c>
      <c r="BS133" s="6">
        <v>1563</v>
      </c>
      <c r="BV133" s="6">
        <v>1563</v>
      </c>
      <c r="BW133" s="4">
        <v>2.4504158669225848</v>
      </c>
      <c r="BZ133" s="6">
        <v>4125.9759999999997</v>
      </c>
      <c r="CA133" s="6">
        <v>181830.47200000001</v>
      </c>
      <c r="CD133" s="6">
        <v>515104.88800000004</v>
      </c>
      <c r="CG133" s="6">
        <v>701061.33600000001</v>
      </c>
      <c r="CH133" s="4">
        <v>13.976371394937942</v>
      </c>
      <c r="CJ133" s="15">
        <v>846.32799999999997</v>
      </c>
      <c r="CK133" s="6">
        <v>3571.24</v>
      </c>
      <c r="CL133" s="5">
        <v>10.16</v>
      </c>
      <c r="CN133" s="6">
        <v>1621.5360000000001</v>
      </c>
      <c r="CR133" s="6">
        <v>6049.2639999999992</v>
      </c>
      <c r="CS133" s="4">
        <v>5.9671238278313794</v>
      </c>
      <c r="DD133" s="6">
        <v>1073.912</v>
      </c>
      <c r="DE133" s="6">
        <v>78554.072</v>
      </c>
      <c r="DG133" s="6">
        <v>1457.96</v>
      </c>
      <c r="DI133" s="6">
        <v>1216.58888</v>
      </c>
      <c r="DK133" s="6">
        <v>82302.532879999999</v>
      </c>
      <c r="DL133" s="5">
        <v>44.573707139847826</v>
      </c>
      <c r="DM133" s="6">
        <v>80698.794772186797</v>
      </c>
      <c r="DP133" s="6">
        <v>141691.35999999999</v>
      </c>
      <c r="DV133" s="6">
        <v>141691.35999999999</v>
      </c>
      <c r="DW133" s="5">
        <v>92.865434413786957</v>
      </c>
      <c r="DX133" s="6">
        <v>141691.35999999999</v>
      </c>
      <c r="DZ133" s="15">
        <v>746.72444000000007</v>
      </c>
      <c r="EA133" s="6">
        <v>1165.5988756874081</v>
      </c>
      <c r="EB133" s="15">
        <v>52.832000000000001</v>
      </c>
      <c r="EC133" s="6">
        <v>771.94139999999993</v>
      </c>
      <c r="ED133" s="5">
        <v>47.913544000000002</v>
      </c>
      <c r="EE133" s="5">
        <v>56.498516320474636</v>
      </c>
      <c r="EF133" s="6">
        <v>2841.5087760078827</v>
      </c>
      <c r="EG133" s="15">
        <v>322.10369383974063</v>
      </c>
      <c r="EZ133" s="5">
        <v>62.992000000000004</v>
      </c>
      <c r="FA133" s="15">
        <v>203.2</v>
      </c>
      <c r="FC133" s="6"/>
      <c r="FF133" s="15">
        <v>266.19200000000001</v>
      </c>
      <c r="FG133" s="5">
        <v>14.173228346456693</v>
      </c>
      <c r="FI133" s="200"/>
      <c r="FJ133" s="6">
        <v>52.832000000000001</v>
      </c>
      <c r="FK133" s="200"/>
      <c r="FL133" s="200"/>
      <c r="FM133" s="5">
        <f t="shared" si="354"/>
        <v>52.832000000000001</v>
      </c>
      <c r="FN133" s="5">
        <v>22.322500000000002</v>
      </c>
      <c r="FS133" s="4">
        <v>7.815384615384616</v>
      </c>
      <c r="FV133" s="4">
        <v>7.815384615384616</v>
      </c>
      <c r="FW133" s="6">
        <f>2*1192</f>
        <v>2384</v>
      </c>
      <c r="GE133" s="4">
        <v>4.5295569126007384</v>
      </c>
      <c r="GG133" s="4">
        <v>0.12941591178859252</v>
      </c>
      <c r="GK133" s="4">
        <f t="shared" si="355"/>
        <v>4.6589728243893314</v>
      </c>
      <c r="GL133" s="15">
        <v>186.07699667197767</v>
      </c>
      <c r="GN133" s="15">
        <v>832.10400000000004</v>
      </c>
      <c r="GO133" s="15">
        <v>203.2</v>
      </c>
      <c r="GP133" s="6">
        <v>1565.6559999999999</v>
      </c>
      <c r="GQ133" s="6">
        <v>5160.2640000000001</v>
      </c>
      <c r="GS133" s="115">
        <v>150000</v>
      </c>
      <c r="GT133" s="6">
        <v>157761.22399999999</v>
      </c>
      <c r="GU133" s="4">
        <v>5.4619670573195913</v>
      </c>
      <c r="GW133" s="4">
        <v>7.7439000000000009</v>
      </c>
      <c r="GX133" s="87">
        <v>5.8776201000000006</v>
      </c>
      <c r="GY133" s="86">
        <v>1.0067070000000001E-2</v>
      </c>
      <c r="GZ133" s="86">
        <v>9.0603630000000018E-2</v>
      </c>
      <c r="HA133" s="87">
        <v>0.1006707</v>
      </c>
      <c r="HG133" s="5">
        <v>54.445370500000003</v>
      </c>
      <c r="HH133" s="87">
        <v>0.16333611150000002</v>
      </c>
      <c r="HI133" s="87">
        <v>1.4700250035</v>
      </c>
      <c r="HJ133" s="84">
        <v>18.239199117500004</v>
      </c>
      <c r="HK133" s="84">
        <v>31.6327602605</v>
      </c>
      <c r="HO133" s="4">
        <v>5.8776201000000006</v>
      </c>
      <c r="HP133" s="17"/>
      <c r="HQ133" s="4">
        <v>0.17340318150000003</v>
      </c>
      <c r="HR133" s="4">
        <v>1.5606286334999999</v>
      </c>
      <c r="HS133" s="5">
        <v>18.239199117500004</v>
      </c>
      <c r="HT133" s="5">
        <v>31.733430960499998</v>
      </c>
      <c r="IC133" s="4">
        <v>2.3565509905666482</v>
      </c>
      <c r="IF133" s="4">
        <v>6.0396186327462837</v>
      </c>
      <c r="II133" s="5">
        <v>53.752428938740294</v>
      </c>
      <c r="IJ133" s="5">
        <v>62.148598562053223</v>
      </c>
      <c r="IK133" s="6">
        <v>1071.5242432360033</v>
      </c>
      <c r="MY133" s="3">
        <v>1.2700000000000001E-2</v>
      </c>
      <c r="MZ133" s="6">
        <v>1653.543307086614</v>
      </c>
      <c r="NA133" s="5">
        <v>1.6256000000000002</v>
      </c>
      <c r="NB133" s="6">
        <v>1122.0472440944882</v>
      </c>
      <c r="NC133" s="5">
        <v>0.10160000000000001</v>
      </c>
      <c r="ND133" s="6">
        <v>2474.4094488188975</v>
      </c>
      <c r="NJ133" s="4">
        <v>1.7399</v>
      </c>
      <c r="NK133" s="6">
        <v>1204.8968331513306</v>
      </c>
    </row>
    <row r="134" spans="1:375" x14ac:dyDescent="0.25">
      <c r="A134" s="2">
        <v>1922</v>
      </c>
      <c r="B134" s="6">
        <v>2506.1623999999997</v>
      </c>
      <c r="C134" s="15">
        <v>784.40420000000006</v>
      </c>
      <c r="D134" s="6">
        <v>3323.7192</v>
      </c>
      <c r="E134" s="15">
        <v>106.70410000000001</v>
      </c>
      <c r="F134" s="2">
        <v>31.1</v>
      </c>
      <c r="G134" s="6">
        <v>16739.4506</v>
      </c>
      <c r="H134" s="4">
        <v>3.5764999999999998</v>
      </c>
      <c r="I134" s="6">
        <v>23495.116999999998</v>
      </c>
      <c r="J134" s="15">
        <v>301.77940081886425</v>
      </c>
      <c r="K134" s="6">
        <v>22337.331982375003</v>
      </c>
      <c r="M134" s="6">
        <v>8491.4195999999993</v>
      </c>
      <c r="N134" s="6">
        <v>308292.02970000001</v>
      </c>
      <c r="O134" s="15">
        <v>217.01580000000001</v>
      </c>
      <c r="P134" s="6">
        <v>24711.593499999999</v>
      </c>
      <c r="Q134" s="5">
        <v>78.123199999999997</v>
      </c>
      <c r="R134" s="6">
        <v>3049.355</v>
      </c>
      <c r="T134" s="6">
        <v>344839.5368</v>
      </c>
      <c r="U134" s="4">
        <v>9.611262395927513</v>
      </c>
      <c r="V134" s="6">
        <v>367525.97107400006</v>
      </c>
      <c r="AN134" s="6">
        <v>973855.304</v>
      </c>
      <c r="AO134" s="6">
        <v>10346063.128</v>
      </c>
      <c r="AP134" s="6">
        <v>568232.54399999999</v>
      </c>
      <c r="AQ134" s="6">
        <v>70345.808000000005</v>
      </c>
      <c r="AS134" s="6">
        <v>445458.08799999999</v>
      </c>
      <c r="AT134" s="6">
        <v>12403954.872</v>
      </c>
      <c r="AU134" s="4">
        <v>1.6839321612614928</v>
      </c>
      <c r="AW134" s="6">
        <v>91848.432000000001</v>
      </c>
      <c r="AX134" s="4">
        <v>0.67892285847623401</v>
      </c>
      <c r="AZ134" s="15">
        <v>103.124</v>
      </c>
      <c r="BE134" s="15">
        <v>103.124</v>
      </c>
      <c r="BF134" s="6">
        <v>5884.4539691043847</v>
      </c>
      <c r="BH134" s="6">
        <v>5185.6639999999998</v>
      </c>
      <c r="BI134" s="15">
        <v>736.6</v>
      </c>
      <c r="BK134" s="6">
        <v>5705.8559999999998</v>
      </c>
      <c r="BL134" s="6">
        <v>1203.96</v>
      </c>
      <c r="BM134" s="2">
        <v>254</v>
      </c>
      <c r="BN134" s="5">
        <v>15.24</v>
      </c>
      <c r="BO134" s="6">
        <v>13101.32</v>
      </c>
      <c r="BP134" s="4">
        <v>121.81787059226292</v>
      </c>
      <c r="BQ134" s="6">
        <v>12326.558025333332</v>
      </c>
      <c r="BS134" s="6">
        <v>1000</v>
      </c>
      <c r="BV134" s="6">
        <v>1000</v>
      </c>
      <c r="BW134" s="4">
        <v>2.6</v>
      </c>
      <c r="CA134" s="6">
        <v>115146.32800000001</v>
      </c>
      <c r="CD134" s="6">
        <v>52245.768000000004</v>
      </c>
      <c r="CG134" s="6">
        <v>167392.09600000002</v>
      </c>
      <c r="CH134" s="4">
        <v>8.932083025679832</v>
      </c>
      <c r="CJ134" s="5">
        <v>68.072000000000003</v>
      </c>
      <c r="CK134" s="6">
        <v>2436.3679999999999</v>
      </c>
      <c r="CL134" s="15">
        <v>152.4</v>
      </c>
      <c r="CN134" s="15">
        <v>649.22400000000005</v>
      </c>
      <c r="CR134" s="6">
        <v>3306.0640000000003</v>
      </c>
      <c r="CS134" s="4">
        <v>5.9593573711879584</v>
      </c>
      <c r="DD134" s="6">
        <v>2845.8160000000003</v>
      </c>
      <c r="DE134" s="6">
        <v>143148.304</v>
      </c>
      <c r="DG134" s="6">
        <v>5004.8159999999998</v>
      </c>
      <c r="DI134" s="6">
        <v>3089.3512000000001</v>
      </c>
      <c r="DK134" s="6">
        <v>154088.28719999999</v>
      </c>
      <c r="DL134" s="5">
        <v>47.244094488188971</v>
      </c>
      <c r="DM134" s="6">
        <v>149664.59292320002</v>
      </c>
      <c r="DP134" s="6">
        <v>198661.52799999999</v>
      </c>
      <c r="DV134" s="6">
        <v>198661.52799999999</v>
      </c>
      <c r="DW134" s="15">
        <v>112.51004553978035</v>
      </c>
      <c r="DX134" s="6">
        <v>198661.52799999999</v>
      </c>
      <c r="DZ134" s="15">
        <v>780.57755999999995</v>
      </c>
      <c r="EA134" s="6">
        <v>806.01356357146369</v>
      </c>
      <c r="EB134" s="15">
        <v>75.615800000000007</v>
      </c>
      <c r="EC134" s="6">
        <v>656.04935999999998</v>
      </c>
      <c r="ED134" s="5">
        <v>29.024632</v>
      </c>
      <c r="EE134" s="5">
        <v>96.379821958456517</v>
      </c>
      <c r="EF134" s="6">
        <v>2443.66073752992</v>
      </c>
      <c r="EG134" s="15">
        <v>305.93876719088587</v>
      </c>
      <c r="FA134" s="15">
        <v>755.904</v>
      </c>
      <c r="FC134" s="6">
        <v>258.06400000000002</v>
      </c>
      <c r="FF134" s="6">
        <v>1013.9680000000001</v>
      </c>
      <c r="FG134" s="5">
        <v>20</v>
      </c>
      <c r="FI134" s="200"/>
      <c r="FJ134" s="6">
        <v>537.46400000000006</v>
      </c>
      <c r="FK134" s="200"/>
      <c r="FL134" s="200"/>
      <c r="FM134" s="15">
        <f t="shared" si="354"/>
        <v>537.46400000000006</v>
      </c>
      <c r="FN134" s="5">
        <v>23.215399999999999</v>
      </c>
      <c r="FQ134" s="2">
        <v>50.8</v>
      </c>
      <c r="FS134" s="4">
        <v>7.815384615384616</v>
      </c>
      <c r="FV134" s="5">
        <v>58.615384615384613</v>
      </c>
      <c r="FW134" s="2">
        <f>2*424</f>
        <v>848</v>
      </c>
      <c r="GE134" s="4">
        <v>0.56943001186980713</v>
      </c>
      <c r="GF134" s="4">
        <v>1.0353272943087402</v>
      </c>
      <c r="GG134" s="5">
        <v>6.8849265071531214</v>
      </c>
      <c r="GI134" s="4">
        <v>2.5883182357718497</v>
      </c>
      <c r="GJ134" s="3">
        <v>3.10598188292622E-2</v>
      </c>
      <c r="GK134" s="5">
        <f t="shared" si="355"/>
        <v>11.10906186793278</v>
      </c>
      <c r="GL134" s="15">
        <v>160.47605156995786</v>
      </c>
      <c r="GN134" s="15">
        <v>66.040000000000006</v>
      </c>
      <c r="GO134" s="15">
        <v>12.192</v>
      </c>
      <c r="GP134" s="6">
        <v>1113.5360000000001</v>
      </c>
      <c r="GQ134" s="6">
        <v>2758.44</v>
      </c>
      <c r="GS134" s="115">
        <v>150000</v>
      </c>
      <c r="GT134" s="6">
        <v>153950.20800000001</v>
      </c>
      <c r="GU134" s="4">
        <v>5.9335836462244469</v>
      </c>
      <c r="GW134" s="4">
        <v>2.488</v>
      </c>
      <c r="GX134" s="87">
        <v>1.8883920000000001</v>
      </c>
      <c r="GY134" s="85">
        <v>3.2343999999999997E-3</v>
      </c>
      <c r="GZ134" s="86">
        <v>2.9109599999999999E-2</v>
      </c>
      <c r="HA134" s="86">
        <v>3.2343999999999998E-2</v>
      </c>
      <c r="HG134" s="5">
        <v>36.509036400000006</v>
      </c>
      <c r="HH134" s="87">
        <v>0.10952710920000003</v>
      </c>
      <c r="HI134" s="87">
        <v>0.9857439828000002</v>
      </c>
      <c r="HJ134" s="84">
        <v>12.230527194000002</v>
      </c>
      <c r="HK134" s="84">
        <v>21.211750148400004</v>
      </c>
      <c r="HO134" s="4">
        <v>1.8883920000000001</v>
      </c>
      <c r="HP134" s="17"/>
      <c r="HQ134" s="4">
        <v>0.11276150920000003</v>
      </c>
      <c r="HR134" s="4">
        <v>1.0148535828000003</v>
      </c>
      <c r="HS134" s="5">
        <v>12.230527194000002</v>
      </c>
      <c r="HT134" s="5">
        <v>21.244094148400002</v>
      </c>
      <c r="IC134" s="4">
        <v>2.0947119916147989</v>
      </c>
      <c r="IF134" s="5">
        <v>11.249811882658939</v>
      </c>
      <c r="II134" s="5">
        <v>8.378362036238137</v>
      </c>
      <c r="IJ134" s="5">
        <v>21.722885910511877</v>
      </c>
      <c r="IK134" s="6">
        <v>1160.8179301723369</v>
      </c>
      <c r="IW134" s="5">
        <v>36.576000000000001</v>
      </c>
      <c r="IZ134" s="5">
        <v>36.576000000000001</v>
      </c>
      <c r="MY134" s="4">
        <v>0.91439999999999999</v>
      </c>
      <c r="MZ134" s="15">
        <v>640.8573928258968</v>
      </c>
      <c r="NA134" s="5">
        <v>1.016</v>
      </c>
      <c r="NB134" s="6">
        <v>1848.4251968503936</v>
      </c>
      <c r="NJ134" s="4">
        <v>1.9304000000000001</v>
      </c>
      <c r="NK134" s="6">
        <v>1276.419394944053</v>
      </c>
    </row>
    <row r="135" spans="1:375" x14ac:dyDescent="0.25">
      <c r="A135" s="2">
        <v>1923</v>
      </c>
      <c r="B135" s="6">
        <v>2759.3786</v>
      </c>
      <c r="C135" s="15">
        <v>585.70630000000006</v>
      </c>
      <c r="D135" s="6">
        <v>2967.0333000000001</v>
      </c>
      <c r="E135" s="15">
        <v>114.5724</v>
      </c>
      <c r="F135" s="5">
        <v>29.513900000000003</v>
      </c>
      <c r="G135" s="6">
        <v>15690.292100000002</v>
      </c>
      <c r="H135" s="4">
        <v>5.2248000000000001</v>
      </c>
      <c r="I135" s="6">
        <v>22151.721400000002</v>
      </c>
      <c r="J135" s="15">
        <v>284.53060934093128</v>
      </c>
      <c r="K135" s="6">
        <v>20766.537218749996</v>
      </c>
      <c r="M135" s="6">
        <v>14595.292200000002</v>
      </c>
      <c r="N135" s="6">
        <v>375313.36940000003</v>
      </c>
      <c r="O135" s="15">
        <v>196.05440000000002</v>
      </c>
      <c r="P135" s="6">
        <v>19860.522199999999</v>
      </c>
      <c r="Q135" s="4">
        <v>1.3372999999999999</v>
      </c>
      <c r="R135" s="6">
        <v>2367.4253000000003</v>
      </c>
      <c r="T135" s="6">
        <v>412334.00080000004</v>
      </c>
      <c r="U135" s="4">
        <v>9.2334515270072028</v>
      </c>
      <c r="V135" s="6">
        <v>313505.72389000002</v>
      </c>
      <c r="AN135" s="6">
        <v>1077632.5919999999</v>
      </c>
      <c r="AO135" s="6">
        <v>10646169.208000001</v>
      </c>
      <c r="AP135" s="6">
        <v>484452.16800000001</v>
      </c>
      <c r="AQ135" s="6">
        <v>82009.487999999998</v>
      </c>
      <c r="AS135" s="6">
        <v>427445.424</v>
      </c>
      <c r="AT135" s="6">
        <v>12717708.880000001</v>
      </c>
      <c r="AU135" s="4">
        <v>1.5825929440668913</v>
      </c>
      <c r="AW135" s="6">
        <v>117733.064</v>
      </c>
      <c r="AX135" s="4">
        <v>0.64027574414056498</v>
      </c>
      <c r="AZ135" s="15">
        <v>220.98</v>
      </c>
      <c r="BE135" s="15">
        <v>220.98</v>
      </c>
      <c r="BF135" s="6">
        <v>5312.9743727118494</v>
      </c>
      <c r="BH135" s="6">
        <v>6341.8720000000003</v>
      </c>
      <c r="BI135" s="6">
        <v>1249.68</v>
      </c>
      <c r="BK135" s="6">
        <v>6162.04</v>
      </c>
      <c r="BL135" s="6">
        <v>3579.3679999999999</v>
      </c>
      <c r="BM135" s="15">
        <v>956.05600000000004</v>
      </c>
      <c r="BN135" s="4">
        <v>1.016</v>
      </c>
      <c r="BO135" s="6">
        <v>18290.031999999999</v>
      </c>
      <c r="BP135" s="4">
        <v>128.59279287154928</v>
      </c>
      <c r="BQ135" s="6">
        <v>16579.983409415159</v>
      </c>
      <c r="BS135" s="2">
        <v>175</v>
      </c>
      <c r="BV135" s="2">
        <v>175</v>
      </c>
      <c r="BW135" s="4">
        <v>2.6285714285714286</v>
      </c>
      <c r="BZ135" s="15">
        <v>203.2</v>
      </c>
      <c r="CA135" s="6">
        <v>181300.12</v>
      </c>
      <c r="CD135" s="6">
        <v>390584.94400000002</v>
      </c>
      <c r="CG135" s="6">
        <v>572088.26399999997</v>
      </c>
      <c r="CH135" s="4">
        <v>14.763779527559054</v>
      </c>
      <c r="CJ135" s="5">
        <v>75.183999999999997</v>
      </c>
      <c r="CK135" s="6">
        <v>2596.8960000000002</v>
      </c>
      <c r="CN135" s="15">
        <v>170.68799999999999</v>
      </c>
      <c r="CR135" s="6">
        <v>2842.7680000000005</v>
      </c>
      <c r="CS135" s="4">
        <v>6.1473469166869608</v>
      </c>
      <c r="DD135" s="6">
        <v>5574.7920000000004</v>
      </c>
      <c r="DE135" s="6">
        <v>154954.22400000002</v>
      </c>
      <c r="DG135" s="6">
        <v>4860.5439999999999</v>
      </c>
      <c r="DH135" s="4">
        <v>1.016</v>
      </c>
      <c r="DI135" s="6">
        <v>2273.0663199999999</v>
      </c>
      <c r="DK135" s="6">
        <v>167663.64232000001</v>
      </c>
      <c r="DL135" s="15">
        <v>145.54870970622378</v>
      </c>
      <c r="DM135" s="6">
        <v>162283.59720000002</v>
      </c>
      <c r="DP135" s="6">
        <v>145505.424</v>
      </c>
      <c r="DV135" s="6">
        <v>145505.424</v>
      </c>
      <c r="DW135" s="15">
        <v>132.15465666577373</v>
      </c>
      <c r="DX135" s="6">
        <v>145505.424</v>
      </c>
      <c r="DZ135" s="15">
        <v>642.21360000000004</v>
      </c>
      <c r="EA135" s="6">
        <v>881.34570999999994</v>
      </c>
      <c r="EB135" s="15">
        <v>51.379119999999993</v>
      </c>
      <c r="EC135" s="6">
        <v>1139.1560800000002</v>
      </c>
      <c r="ED135" s="5">
        <v>37.281103999999999</v>
      </c>
      <c r="EE135" s="5">
        <v>68.961424332343924</v>
      </c>
      <c r="EF135" s="6">
        <v>2820.3370383323445</v>
      </c>
      <c r="EG135" s="15">
        <v>397.19180610236219</v>
      </c>
      <c r="FA135" s="15">
        <v>526.28800000000001</v>
      </c>
      <c r="FC135" s="6">
        <v>1762.76</v>
      </c>
      <c r="FF135" s="6">
        <v>2289.0479999999998</v>
      </c>
      <c r="FG135" s="5">
        <v>20</v>
      </c>
      <c r="FI135" s="200"/>
      <c r="FJ135" s="6">
        <v>1211.0720000000001</v>
      </c>
      <c r="FK135" s="200"/>
      <c r="FL135" s="200"/>
      <c r="FM135" s="15">
        <f t="shared" si="354"/>
        <v>1211.0720000000001</v>
      </c>
      <c r="FN135" s="5">
        <v>25.001200000000001</v>
      </c>
      <c r="FS135" s="4">
        <v>7.815384615384616</v>
      </c>
      <c r="FV135" s="4">
        <v>7.815384615384616</v>
      </c>
      <c r="FW135" s="6">
        <f>2*834</f>
        <v>1668</v>
      </c>
      <c r="GE135" s="4">
        <v>4.9695710126819526</v>
      </c>
      <c r="GF135" s="4">
        <v>4.9178046479665154</v>
      </c>
      <c r="GG135" s="5">
        <v>24.433724145686266</v>
      </c>
      <c r="GK135" s="5">
        <f t="shared" si="355"/>
        <v>34.321099806334736</v>
      </c>
      <c r="GL135" s="15">
        <v>191.7266510862128</v>
      </c>
      <c r="GO135" s="15">
        <v>75.183999999999997</v>
      </c>
      <c r="GP135" s="15">
        <v>724.40800000000002</v>
      </c>
      <c r="GQ135" s="15">
        <v>453.13600000000002</v>
      </c>
      <c r="GS135" s="115">
        <v>150000</v>
      </c>
      <c r="GT135" s="6">
        <v>151252.728</v>
      </c>
      <c r="GU135" s="4">
        <v>5.512631672650663</v>
      </c>
      <c r="GW135" s="5">
        <v>18.224600000000002</v>
      </c>
      <c r="GX135" s="84">
        <v>13.832471400000001</v>
      </c>
      <c r="GY135" s="86">
        <v>2.3691980000000001E-2</v>
      </c>
      <c r="GZ135" s="87">
        <v>0.21322782000000004</v>
      </c>
      <c r="HA135" s="87">
        <v>0.23691980000000001</v>
      </c>
      <c r="HG135" s="5">
        <v>20.9434553</v>
      </c>
      <c r="HH135" s="86">
        <v>6.2830365900000004E-2</v>
      </c>
      <c r="HI135" s="87">
        <v>0.56547329310000005</v>
      </c>
      <c r="HJ135" s="87">
        <v>7.0160575255000008</v>
      </c>
      <c r="HK135" s="84">
        <v>12.168147529299999</v>
      </c>
      <c r="HO135" s="5">
        <v>13.832471400000001</v>
      </c>
      <c r="HP135" s="17"/>
      <c r="HQ135" s="3">
        <v>8.6522345900000006E-2</v>
      </c>
      <c r="HR135" s="4">
        <v>0.77870111310000012</v>
      </c>
      <c r="HS135" s="4">
        <v>7.0160575255000008</v>
      </c>
      <c r="HT135" s="5">
        <v>12.4050673293</v>
      </c>
      <c r="ID135" s="4">
        <v>1.1682047645544067</v>
      </c>
      <c r="IF135" s="5">
        <v>56.576156747369929</v>
      </c>
      <c r="II135" s="4">
        <v>0.2225502415875755</v>
      </c>
      <c r="IJ135" s="5">
        <v>57.966911753511916</v>
      </c>
      <c r="IK135" s="6">
        <v>1241.1822484150371</v>
      </c>
      <c r="IN135" s="4">
        <v>3.584956</v>
      </c>
      <c r="IP135" s="4">
        <v>3.584956</v>
      </c>
      <c r="IQ135" s="6">
        <v>1033.5246555718995</v>
      </c>
      <c r="IW135" s="15">
        <v>124.966984</v>
      </c>
      <c r="IZ135" s="15">
        <v>124.966984</v>
      </c>
      <c r="MY135" s="4">
        <v>0.127</v>
      </c>
      <c r="MZ135" s="15">
        <v>787.40157480314963</v>
      </c>
      <c r="NA135" s="5">
        <v>1.2192000000000001</v>
      </c>
      <c r="NB135" s="6">
        <v>2690.2887139107611</v>
      </c>
      <c r="NJ135" s="4">
        <v>1.3462000000000001</v>
      </c>
      <c r="NK135" s="6">
        <v>2510.7710592779677</v>
      </c>
    </row>
    <row r="136" spans="1:375" x14ac:dyDescent="0.25">
      <c r="A136" s="2">
        <v>1924</v>
      </c>
      <c r="B136" s="6">
        <v>3073.9551000000001</v>
      </c>
      <c r="C136" s="15">
        <v>581.10350000000005</v>
      </c>
      <c r="D136" s="6">
        <v>2088.8937000000001</v>
      </c>
      <c r="E136" s="15">
        <v>143.86860000000001</v>
      </c>
      <c r="F136" s="5">
        <v>27.367999999999999</v>
      </c>
      <c r="G136" s="6">
        <v>15084.5885</v>
      </c>
      <c r="H136" s="5">
        <v>21.863299999999999</v>
      </c>
      <c r="I136" s="6">
        <v>21021.6407</v>
      </c>
      <c r="J136" s="15">
        <v>299.10356427968964</v>
      </c>
      <c r="K136" s="6">
        <v>19409.975890958329</v>
      </c>
      <c r="M136" s="6">
        <v>8603.8460999999988</v>
      </c>
      <c r="N136" s="6">
        <v>287882.4681</v>
      </c>
      <c r="O136" s="15">
        <v>131.11760000000001</v>
      </c>
      <c r="P136" s="6">
        <v>19971.113799999999</v>
      </c>
      <c r="Q136" s="5">
        <v>31.628700000000002</v>
      </c>
      <c r="R136" s="6">
        <v>2063.2051000000001</v>
      </c>
      <c r="T136" s="6">
        <v>318683.37940000003</v>
      </c>
      <c r="U136" s="4">
        <v>8.6759348471138207</v>
      </c>
      <c r="V136" s="6">
        <v>229494.28127400004</v>
      </c>
      <c r="AN136" s="6">
        <v>1141086.872</v>
      </c>
      <c r="AO136" s="6">
        <v>11804107.456</v>
      </c>
      <c r="AP136" s="6">
        <v>526608.04</v>
      </c>
      <c r="AQ136" s="6">
        <v>77203.808000000005</v>
      </c>
      <c r="AS136" s="6">
        <v>428613.82400000002</v>
      </c>
      <c r="AT136" s="6">
        <v>13977620</v>
      </c>
      <c r="AU136" s="4">
        <v>1.7002583137624119</v>
      </c>
      <c r="AW136" s="6">
        <v>128920.24</v>
      </c>
      <c r="AX136" s="4">
        <v>0.63484985390239035</v>
      </c>
      <c r="AZ136" s="15">
        <v>200.46696</v>
      </c>
      <c r="BE136" s="15">
        <v>200.46696</v>
      </c>
      <c r="BF136" s="6">
        <v>5187.9632110009825</v>
      </c>
      <c r="BH136" s="6">
        <v>5720.08</v>
      </c>
      <c r="BI136" s="6">
        <v>910.33600000000001</v>
      </c>
      <c r="BK136" s="6">
        <v>6805.1679999999997</v>
      </c>
      <c r="BL136" s="15">
        <v>411.48</v>
      </c>
      <c r="BM136" s="15">
        <v>581.15200000000004</v>
      </c>
      <c r="BN136" s="4">
        <v>8.1280000000000001</v>
      </c>
      <c r="BO136" s="6">
        <v>14436.344000000001</v>
      </c>
      <c r="BP136" s="4">
        <v>124.94159000718355</v>
      </c>
      <c r="BQ136" s="6">
        <v>13834.965707348238</v>
      </c>
      <c r="BS136" s="2">
        <v>284</v>
      </c>
      <c r="BV136" s="2">
        <v>284</v>
      </c>
      <c r="BW136" s="4">
        <v>3.507042253521127</v>
      </c>
      <c r="CA136" s="6">
        <v>147785.32800000001</v>
      </c>
      <c r="CD136" s="6">
        <v>589592.92799999996</v>
      </c>
      <c r="CG136" s="6">
        <v>737378.25599999994</v>
      </c>
      <c r="CH136" s="4">
        <v>13.779527559055119</v>
      </c>
      <c r="CK136" s="6">
        <v>4457.192</v>
      </c>
      <c r="CN136" s="15">
        <v>321.05599999999998</v>
      </c>
      <c r="CR136" s="6">
        <v>4778.2479999999996</v>
      </c>
      <c r="CS136" s="4">
        <v>6.0352194347799539</v>
      </c>
      <c r="DD136" s="6">
        <v>3754.12</v>
      </c>
      <c r="DE136" s="6">
        <v>141826.48800000001</v>
      </c>
      <c r="DG136" s="6">
        <v>4631.9440000000004</v>
      </c>
      <c r="DH136" s="4">
        <v>4.0640000000000001</v>
      </c>
      <c r="DI136" s="6">
        <v>3075.2491200000004</v>
      </c>
      <c r="DK136" s="6">
        <v>153291.86512</v>
      </c>
      <c r="DL136" s="15">
        <v>163.4074470934905</v>
      </c>
      <c r="DM136" s="6">
        <v>148858.22399999999</v>
      </c>
      <c r="DO136" s="15">
        <v>130.048</v>
      </c>
      <c r="DP136" s="6">
        <v>109950.504</v>
      </c>
      <c r="DR136" s="6">
        <v>2792.9839999999999</v>
      </c>
      <c r="DV136" s="6">
        <v>112873.53599999999</v>
      </c>
      <c r="DW136" s="15">
        <v>124.11822484150372</v>
      </c>
      <c r="DX136" s="6">
        <v>109950.504</v>
      </c>
      <c r="DZ136" s="15">
        <v>850.27515999999991</v>
      </c>
      <c r="EA136" s="6">
        <v>1179.6592437444933</v>
      </c>
      <c r="EB136" s="15">
        <v>25.095200000000006</v>
      </c>
      <c r="EC136" s="6">
        <v>1091.91536</v>
      </c>
      <c r="ED136" s="5">
        <v>57.685431999999992</v>
      </c>
      <c r="EE136" s="5">
        <v>78.100890207714741</v>
      </c>
      <c r="EF136" s="6">
        <v>3282.7312859522081</v>
      </c>
      <c r="EG136" s="15">
        <v>490.67938913975814</v>
      </c>
      <c r="FA136" s="15">
        <v>162.56</v>
      </c>
      <c r="FC136" s="6">
        <v>1348.232</v>
      </c>
      <c r="FF136" s="6">
        <v>1510.7919999999999</v>
      </c>
      <c r="FG136" s="5">
        <v>20</v>
      </c>
      <c r="FI136" s="200"/>
      <c r="FJ136" s="6">
        <v>785.36800000000005</v>
      </c>
      <c r="FK136" s="200"/>
      <c r="FL136" s="200"/>
      <c r="FM136" s="15">
        <f t="shared" si="354"/>
        <v>785.36800000000005</v>
      </c>
      <c r="FN136" s="5">
        <v>25.894100000000002</v>
      </c>
      <c r="FS136" s="4">
        <v>7.815384615384616</v>
      </c>
      <c r="FU136" s="4">
        <v>3.048</v>
      </c>
      <c r="FV136" s="5">
        <v>10.863384615384616</v>
      </c>
      <c r="FW136" s="6">
        <f>2*2429</f>
        <v>4858</v>
      </c>
      <c r="GA136" s="4">
        <v>0.13688729852744308</v>
      </c>
      <c r="GB136" s="4">
        <v>0.13688729852744308</v>
      </c>
      <c r="GE136" s="4">
        <v>1.4235750296745173</v>
      </c>
      <c r="GF136" s="4">
        <v>5.4354682951208844</v>
      </c>
      <c r="GG136" s="5">
        <v>20.55124679202849</v>
      </c>
      <c r="GK136" s="5">
        <f t="shared" si="355"/>
        <v>27.410290116823891</v>
      </c>
      <c r="GL136" s="15">
        <v>236.41561168788434</v>
      </c>
      <c r="GO136" s="15">
        <v>108.712</v>
      </c>
      <c r="GP136" s="15">
        <v>540.51200000000006</v>
      </c>
      <c r="GQ136" s="15">
        <v>85.343999999999994</v>
      </c>
      <c r="GS136" s="115">
        <v>150000</v>
      </c>
      <c r="GT136" s="6">
        <v>150734.568</v>
      </c>
      <c r="GU136" s="4">
        <v>5.1994346024974565</v>
      </c>
      <c r="GW136" s="5">
        <v>20.090600000000002</v>
      </c>
      <c r="GX136" s="84">
        <v>15.248765400000002</v>
      </c>
      <c r="GY136" s="86">
        <v>2.611778E-2</v>
      </c>
      <c r="GZ136" s="87">
        <v>0.23506002000000004</v>
      </c>
      <c r="HA136" s="87">
        <v>0.26117780000000002</v>
      </c>
      <c r="HG136" s="5">
        <v>11.345435500000001</v>
      </c>
      <c r="HH136" s="86">
        <v>3.4036306500000002E-2</v>
      </c>
      <c r="HI136" s="87">
        <v>0.30632675850000002</v>
      </c>
      <c r="HJ136" s="87">
        <v>3.8007208925000007</v>
      </c>
      <c r="HK136" s="87">
        <v>6.5916980255000004</v>
      </c>
      <c r="HO136" s="5">
        <v>15.248765400000002</v>
      </c>
      <c r="HP136" s="17"/>
      <c r="HQ136" s="3">
        <v>6.0154086500000002E-2</v>
      </c>
      <c r="HR136" s="4">
        <v>0.54138677850000005</v>
      </c>
      <c r="HS136" s="4">
        <v>3.8007208925000007</v>
      </c>
      <c r="HT136" s="4">
        <v>6.8528758255</v>
      </c>
      <c r="IC136" s="4">
        <v>0.201414614578346</v>
      </c>
      <c r="ID136" s="4">
        <v>5.256921440494831</v>
      </c>
      <c r="IF136" s="5">
        <v>31.541528642968988</v>
      </c>
      <c r="IJ136" s="5">
        <v>36.999864698042167</v>
      </c>
      <c r="IK136" s="6">
        <v>1053.6655058487365</v>
      </c>
      <c r="IW136" s="15">
        <v>161.54399999999998</v>
      </c>
      <c r="IZ136" s="15">
        <v>161.54399999999998</v>
      </c>
      <c r="MY136" s="4">
        <v>0.63500000000000001</v>
      </c>
      <c r="MZ136" s="15">
        <v>866.14173228346453</v>
      </c>
      <c r="NA136" s="5">
        <v>3.048</v>
      </c>
      <c r="NB136" s="6">
        <v>2057.0866141732281</v>
      </c>
      <c r="NJ136" s="4">
        <v>3.6829999999999998</v>
      </c>
      <c r="NK136" s="6">
        <v>1851.7512897094757</v>
      </c>
    </row>
    <row r="137" spans="1:375" x14ac:dyDescent="0.25">
      <c r="A137" s="2">
        <v>1925</v>
      </c>
      <c r="B137" s="6">
        <v>1443.2266000000002</v>
      </c>
      <c r="C137" s="15">
        <v>604.02420000000006</v>
      </c>
      <c r="D137" s="6">
        <v>1470.9056</v>
      </c>
      <c r="E137" s="15">
        <v>109.5964</v>
      </c>
      <c r="F137" s="5">
        <v>25.8752</v>
      </c>
      <c r="G137" s="6">
        <v>13722.9372</v>
      </c>
      <c r="H137" s="5">
        <v>14.1816</v>
      </c>
      <c r="I137" s="6">
        <v>17390.746800000001</v>
      </c>
      <c r="J137" s="15">
        <v>273.25336191679622</v>
      </c>
      <c r="K137" s="6">
        <v>16339.836735015004</v>
      </c>
      <c r="M137" s="6">
        <v>11988.707900000001</v>
      </c>
      <c r="N137" s="6">
        <v>286746.97600000002</v>
      </c>
      <c r="O137" s="5">
        <v>64.750200000000007</v>
      </c>
      <c r="P137" s="6">
        <v>22709.033400000004</v>
      </c>
      <c r="Q137" s="5">
        <v>45.343800000000002</v>
      </c>
      <c r="R137" s="6">
        <v>1882.4519000000003</v>
      </c>
      <c r="T137" s="6">
        <v>323437.26319999999</v>
      </c>
      <c r="U137" s="4">
        <v>8.2886683858388253</v>
      </c>
      <c r="V137" s="6">
        <v>272044.92527499999</v>
      </c>
      <c r="AN137" s="6">
        <v>1196007.7679999999</v>
      </c>
      <c r="AO137" s="6">
        <v>11578538.184</v>
      </c>
      <c r="AP137" s="6">
        <v>542793.93599999999</v>
      </c>
      <c r="AQ137" s="6">
        <v>83005.168000000005</v>
      </c>
      <c r="AS137" s="6">
        <v>444460.37599999999</v>
      </c>
      <c r="AT137" s="6">
        <v>13844805.432</v>
      </c>
      <c r="AU137" s="4">
        <v>1.6798178719177865</v>
      </c>
      <c r="AW137" s="6">
        <v>888197.36</v>
      </c>
      <c r="AX137" s="4">
        <v>0.3737351838673611</v>
      </c>
      <c r="AZ137" s="5">
        <v>91.44</v>
      </c>
      <c r="BE137" s="5">
        <v>91.44</v>
      </c>
      <c r="BF137" s="6">
        <v>4866.5059380301818</v>
      </c>
      <c r="BH137" s="6">
        <v>3971.5439999999999</v>
      </c>
      <c r="BI137" s="6">
        <v>666.49599999999998</v>
      </c>
      <c r="BK137" s="6">
        <v>6643.6239999999998</v>
      </c>
      <c r="BL137" s="15">
        <v>579.12</v>
      </c>
      <c r="BM137" s="15">
        <v>140.208</v>
      </c>
      <c r="BO137" s="6">
        <v>12000.992</v>
      </c>
      <c r="BP137" s="4">
        <v>124.43168714789311</v>
      </c>
      <c r="BQ137" s="6">
        <v>11073.583407359258</v>
      </c>
      <c r="BS137" s="2">
        <v>210</v>
      </c>
      <c r="BV137" s="2">
        <v>210</v>
      </c>
      <c r="BW137" s="4">
        <v>2.2857142857142856</v>
      </c>
      <c r="BZ137" s="15">
        <v>350.52</v>
      </c>
      <c r="CA137" s="6">
        <v>162172.90400000001</v>
      </c>
      <c r="CD137" s="6">
        <v>596038.43200000003</v>
      </c>
      <c r="CG137" s="6">
        <v>758561.85600000003</v>
      </c>
      <c r="CH137" s="4">
        <v>10.826771653543307</v>
      </c>
      <c r="CK137" s="6">
        <v>1182.624</v>
      </c>
      <c r="CR137" s="6">
        <v>1182.624</v>
      </c>
      <c r="CS137" s="4">
        <v>7.0175036356728286</v>
      </c>
      <c r="DD137" s="6">
        <v>5318.76</v>
      </c>
      <c r="DE137" s="6">
        <v>175079.152</v>
      </c>
      <c r="DG137" s="6">
        <v>5614.4160000000002</v>
      </c>
      <c r="DH137" s="5">
        <v>22.352</v>
      </c>
      <c r="DI137" s="6">
        <v>3512.4440800000002</v>
      </c>
      <c r="DJ137" s="5">
        <v>19.304000000000002</v>
      </c>
      <c r="DK137" s="6">
        <v>189566.42808000001</v>
      </c>
      <c r="DL137" s="15">
        <v>179.48031074203055</v>
      </c>
      <c r="DM137" s="6">
        <v>182188.6136256</v>
      </c>
      <c r="DO137" s="15">
        <v>173.73599999999999</v>
      </c>
      <c r="DP137" s="6">
        <v>141003.52799999999</v>
      </c>
      <c r="DR137" s="6">
        <v>3162.808</v>
      </c>
      <c r="DV137" s="6">
        <v>144340.07199999999</v>
      </c>
      <c r="DW137" s="15">
        <v>150.90633092240381</v>
      </c>
      <c r="DX137" s="6">
        <v>141384.56538879999</v>
      </c>
      <c r="DZ137" s="15">
        <v>719.5566</v>
      </c>
      <c r="EA137" s="6">
        <v>1051.6501076687116</v>
      </c>
      <c r="EB137" s="15">
        <v>45.567599999999999</v>
      </c>
      <c r="EC137" s="6">
        <v>1115.9805919999999</v>
      </c>
      <c r="ED137" s="5">
        <v>56.348376000000002</v>
      </c>
      <c r="EE137" s="5">
        <v>69.376854599406229</v>
      </c>
      <c r="EF137" s="6">
        <v>3058.480130268118</v>
      </c>
      <c r="EG137" s="15">
        <v>516.17999160763213</v>
      </c>
      <c r="EJ137" s="2">
        <v>0.23</v>
      </c>
      <c r="EM137" s="2">
        <v>0.23</v>
      </c>
      <c r="EN137" s="6">
        <f>2*172/EM137</f>
        <v>1495.6521739130435</v>
      </c>
      <c r="EZ137" s="5">
        <v>17.271999999999998</v>
      </c>
      <c r="FA137" s="5">
        <v>67.055999999999997</v>
      </c>
      <c r="FC137" s="6">
        <v>532.38400000000001</v>
      </c>
      <c r="FD137" s="15">
        <v>25.4</v>
      </c>
      <c r="FF137" s="15">
        <v>642.11199999999997</v>
      </c>
      <c r="FG137" s="5">
        <v>26.81238121096932</v>
      </c>
      <c r="FI137" s="200"/>
      <c r="FJ137" s="6">
        <v>978.40800000000002</v>
      </c>
      <c r="FK137" s="200"/>
      <c r="FL137" s="200"/>
      <c r="FM137" s="15">
        <f t="shared" si="354"/>
        <v>978.40800000000002</v>
      </c>
      <c r="FN137" s="5">
        <v>23.215399999999999</v>
      </c>
      <c r="FS137" s="4">
        <v>7.815384615384616</v>
      </c>
      <c r="FV137" s="4">
        <v>7.815384615384616</v>
      </c>
      <c r="FW137" s="6">
        <f>2*1115</f>
        <v>2230</v>
      </c>
      <c r="GA137" s="5">
        <v>1.071497129852744</v>
      </c>
      <c r="GB137" s="5">
        <v>1.071497129852744</v>
      </c>
      <c r="GE137" s="4">
        <v>1.55299094146311</v>
      </c>
      <c r="GF137" s="4">
        <v>3.10598188292622</v>
      </c>
      <c r="GG137" s="5">
        <v>16.668769438370717</v>
      </c>
      <c r="GK137" s="5">
        <f t="shared" si="355"/>
        <v>21.327742262760047</v>
      </c>
      <c r="GL137" s="15">
        <v>275.4838885284276</v>
      </c>
      <c r="GO137" s="15">
        <v>200.15200000000002</v>
      </c>
      <c r="GQ137" s="15">
        <v>753.87199999999996</v>
      </c>
      <c r="GS137" s="115">
        <v>150000</v>
      </c>
      <c r="GT137" s="6">
        <v>150954.024</v>
      </c>
      <c r="GU137" s="4">
        <v>4.629190587629834</v>
      </c>
      <c r="GW137" s="5">
        <v>17.8203</v>
      </c>
      <c r="GX137" s="84">
        <v>13.5256077</v>
      </c>
      <c r="GY137" s="86">
        <v>2.3166389999999999E-2</v>
      </c>
      <c r="GZ137" s="87">
        <v>0.20849751</v>
      </c>
      <c r="HA137" s="87">
        <v>0.23166389999999998</v>
      </c>
      <c r="HG137" s="15">
        <v>104.66838730000001</v>
      </c>
      <c r="HH137" s="87">
        <v>0.31400516190000005</v>
      </c>
      <c r="HI137" s="87">
        <v>2.8260464571000004</v>
      </c>
      <c r="HJ137" s="84">
        <v>35.063909745500005</v>
      </c>
      <c r="HK137" s="84">
        <v>60.812333021299999</v>
      </c>
      <c r="HO137" s="5">
        <v>13.5256077</v>
      </c>
      <c r="HP137" s="17"/>
      <c r="HQ137" s="4">
        <v>0.33717155190000003</v>
      </c>
      <c r="HR137" s="4">
        <v>3.0345439671000003</v>
      </c>
      <c r="HS137" s="5">
        <v>35.063909745500005</v>
      </c>
      <c r="HT137" s="5">
        <v>61.0439969213</v>
      </c>
      <c r="IC137" s="4">
        <v>2.6445738894136834</v>
      </c>
      <c r="ID137" s="4">
        <v>4.0887166759404243</v>
      </c>
      <c r="IF137" s="15">
        <v>101.73311192122053</v>
      </c>
      <c r="IJ137" s="15">
        <v>108.46640248657464</v>
      </c>
      <c r="IK137" s="6">
        <v>1312.617197964104</v>
      </c>
      <c r="IN137" s="4">
        <v>3.584956</v>
      </c>
      <c r="IP137" s="4">
        <v>3.584956</v>
      </c>
      <c r="IQ137" s="6">
        <v>1517.2382298366549</v>
      </c>
      <c r="IW137" s="15">
        <v>181.86400000000003</v>
      </c>
      <c r="IZ137" s="15">
        <v>181.86400000000003</v>
      </c>
      <c r="MY137" s="4">
        <v>0.254</v>
      </c>
      <c r="MZ137" s="15">
        <v>311.02362204724409</v>
      </c>
      <c r="NA137" s="5">
        <v>2.2352000000000003</v>
      </c>
      <c r="NB137" s="6">
        <v>2639.5848246241944</v>
      </c>
      <c r="NJ137" s="4">
        <v>2.4892000000000003</v>
      </c>
      <c r="NK137" s="6">
        <v>2401.9765386469544</v>
      </c>
    </row>
    <row r="138" spans="1:375" x14ac:dyDescent="0.25">
      <c r="A138" s="2">
        <v>1926</v>
      </c>
      <c r="B138" s="15">
        <v>321.54290000000003</v>
      </c>
      <c r="C138" s="15">
        <v>604.42849999999999</v>
      </c>
      <c r="D138" s="6">
        <v>1526.3258000000001</v>
      </c>
      <c r="E138" s="15">
        <v>131.33530000000002</v>
      </c>
      <c r="F138" s="5">
        <v>23.573799999999999</v>
      </c>
      <c r="G138" s="6">
        <v>13601.3673</v>
      </c>
      <c r="H138" s="4">
        <v>4.3540000000000001</v>
      </c>
      <c r="I138" s="6">
        <v>16212.927599999999</v>
      </c>
      <c r="J138" s="15">
        <v>273.16579421458312</v>
      </c>
      <c r="K138" s="6">
        <v>15185.326526565004</v>
      </c>
      <c r="M138" s="6">
        <v>7853.9939999999997</v>
      </c>
      <c r="N138" s="6">
        <v>301972.94510000001</v>
      </c>
      <c r="O138" s="5">
        <v>73.800300000000007</v>
      </c>
      <c r="P138" s="6">
        <v>23842.908299999999</v>
      </c>
      <c r="Q138" s="5">
        <v>10.978300000000001</v>
      </c>
      <c r="R138" s="6">
        <v>1376.5793000000001</v>
      </c>
      <c r="T138" s="6">
        <v>335131.20530000003</v>
      </c>
      <c r="U138" s="4">
        <v>7.7787208616344534</v>
      </c>
      <c r="V138" s="6">
        <v>274524.08696600003</v>
      </c>
      <c r="AN138" s="6">
        <v>1240595.9439999999</v>
      </c>
      <c r="AO138" s="6">
        <v>11059938.256000001</v>
      </c>
      <c r="AP138" s="6">
        <v>600457.01600000006</v>
      </c>
      <c r="AQ138" s="6">
        <v>103995.728</v>
      </c>
      <c r="AS138" s="6">
        <v>482416.10399999999</v>
      </c>
      <c r="AT138" s="6">
        <v>13487403.048000002</v>
      </c>
      <c r="AU138" s="4">
        <v>1.7788275061463559</v>
      </c>
      <c r="AW138" s="6">
        <v>969957.92799999996</v>
      </c>
      <c r="AX138" s="4">
        <v>0.38817709468476502</v>
      </c>
      <c r="AZ138" s="5">
        <v>28.6004</v>
      </c>
      <c r="BE138" s="5">
        <v>28.6004</v>
      </c>
      <c r="BF138" s="6">
        <v>4696.8479328511476</v>
      </c>
      <c r="BH138" s="6">
        <v>1236.472</v>
      </c>
      <c r="BI138" s="6">
        <v>1016</v>
      </c>
      <c r="BK138" s="6">
        <v>7025.64</v>
      </c>
      <c r="BL138" s="15">
        <v>234.696</v>
      </c>
      <c r="BN138" s="4">
        <v>2.032</v>
      </c>
      <c r="BO138" s="6">
        <v>9514.84</v>
      </c>
      <c r="BP138" s="4">
        <v>123.91649573215113</v>
      </c>
      <c r="BQ138" s="6">
        <v>9089.7233540622092</v>
      </c>
      <c r="BS138" s="2">
        <v>64</v>
      </c>
      <c r="BV138" s="2">
        <v>64</v>
      </c>
      <c r="BW138" s="4">
        <v>2.40625</v>
      </c>
      <c r="BZ138" s="2">
        <v>4482.5919999999996</v>
      </c>
      <c r="CA138" s="6">
        <v>163075.11199999999</v>
      </c>
      <c r="CD138" s="6">
        <v>593084.92000000004</v>
      </c>
      <c r="CG138" s="6">
        <v>760642.62400000007</v>
      </c>
      <c r="CH138" s="4">
        <v>10.826762297624937</v>
      </c>
      <c r="CJ138" s="5">
        <v>20.32</v>
      </c>
      <c r="CK138" s="6">
        <v>1310.6400000000001</v>
      </c>
      <c r="CR138" s="6">
        <v>1330.96</v>
      </c>
      <c r="CS138" s="4">
        <v>6.6952708755716914</v>
      </c>
      <c r="DD138" s="6">
        <v>3794.76</v>
      </c>
      <c r="DE138" s="6">
        <v>171984.416</v>
      </c>
      <c r="DG138" s="6">
        <v>5987.2880000000005</v>
      </c>
      <c r="DH138" s="5">
        <v>17.271999999999998</v>
      </c>
      <c r="DI138" s="6">
        <v>2506.5431199999998</v>
      </c>
      <c r="DJ138" s="5">
        <v>14.224</v>
      </c>
      <c r="DK138" s="6">
        <v>184304.50311999998</v>
      </c>
      <c r="DL138" s="15">
        <v>166.08625770158051</v>
      </c>
      <c r="DM138" s="6">
        <v>179912.6415456</v>
      </c>
      <c r="DO138" s="15">
        <v>203.2</v>
      </c>
      <c r="DP138" s="6">
        <v>145771.61600000001</v>
      </c>
      <c r="DR138" s="6">
        <v>5464.0479999999998</v>
      </c>
      <c r="DV138" s="6">
        <v>151438.86400000003</v>
      </c>
      <c r="DW138" s="15">
        <v>145.54870970622378</v>
      </c>
      <c r="DX138" s="6">
        <v>151440.71149440002</v>
      </c>
      <c r="DZ138" s="15">
        <v>752.52071999999987</v>
      </c>
      <c r="EA138" s="6">
        <v>1146.862705</v>
      </c>
      <c r="EB138" s="15">
        <v>19.151599999999998</v>
      </c>
      <c r="EC138" s="6">
        <v>833.01600000000008</v>
      </c>
      <c r="ED138" s="5">
        <v>68.865495999999993</v>
      </c>
      <c r="EE138" s="5">
        <v>77.270029673590116</v>
      </c>
      <c r="EF138" s="6">
        <v>2897.6865506735899</v>
      </c>
      <c r="EG138" s="15">
        <v>566.72429835159494</v>
      </c>
      <c r="EY138" s="2">
        <v>5.08</v>
      </c>
      <c r="EZ138" s="5">
        <v>48.768000000000001</v>
      </c>
      <c r="FB138" s="4">
        <v>2.032</v>
      </c>
      <c r="FC138" s="6">
        <v>243.84</v>
      </c>
      <c r="FD138" s="15">
        <v>139.69999999999999</v>
      </c>
      <c r="FF138" s="15">
        <v>439.42</v>
      </c>
      <c r="FG138" s="5">
        <v>28.624363131079203</v>
      </c>
      <c r="FI138" s="200"/>
      <c r="FJ138" s="6">
        <v>606.55200000000002</v>
      </c>
      <c r="FK138" s="200"/>
      <c r="FL138" s="200"/>
      <c r="FM138" s="15">
        <f t="shared" si="354"/>
        <v>606.55200000000002</v>
      </c>
      <c r="FN138" s="5">
        <v>22.322500000000002</v>
      </c>
      <c r="FS138" s="4">
        <v>7.815384615384616</v>
      </c>
      <c r="FV138" s="4">
        <v>7.815384615384616</v>
      </c>
      <c r="FW138" s="6">
        <f>2*828</f>
        <v>1656</v>
      </c>
      <c r="GF138" s="4">
        <v>0.20706545886174801</v>
      </c>
      <c r="GG138" s="5">
        <v>20.344181333166738</v>
      </c>
      <c r="GK138" s="5">
        <f t="shared" si="355"/>
        <v>20.551246792028486</v>
      </c>
      <c r="GL138" s="15">
        <v>102.80497053700422</v>
      </c>
      <c r="GO138" s="15">
        <v>257.048</v>
      </c>
      <c r="GP138" s="6">
        <v>121.92</v>
      </c>
      <c r="GQ138" s="15">
        <v>896.11199999999997</v>
      </c>
      <c r="GS138" s="115">
        <v>150000</v>
      </c>
      <c r="GT138" s="6">
        <v>151275.07999999999</v>
      </c>
      <c r="GU138" s="4">
        <v>4.4515775696423434</v>
      </c>
      <c r="GW138" s="5">
        <v>12.3467</v>
      </c>
      <c r="GX138" s="87">
        <v>9.3711453000000002</v>
      </c>
      <c r="GY138" s="86">
        <v>1.6050709999999999E-2</v>
      </c>
      <c r="GZ138" s="87">
        <v>0.14445639000000002</v>
      </c>
      <c r="HA138" s="87">
        <v>0.16050709999999999</v>
      </c>
      <c r="HG138" s="5">
        <v>98.664749999999998</v>
      </c>
      <c r="HH138" s="87">
        <v>0.29599425000000001</v>
      </c>
      <c r="HI138" s="87">
        <v>2.6639482499999998</v>
      </c>
      <c r="HJ138" s="84">
        <v>33.052691250000002</v>
      </c>
      <c r="HK138" s="84">
        <v>57.324219749999997</v>
      </c>
      <c r="HO138" s="4">
        <v>9.3711453000000002</v>
      </c>
      <c r="HP138" s="17"/>
      <c r="HQ138" s="4">
        <v>0.31204496000000004</v>
      </c>
      <c r="HR138" s="4">
        <v>2.80840464</v>
      </c>
      <c r="HS138" s="5">
        <v>33.052691250000002</v>
      </c>
      <c r="HT138" s="5">
        <v>57.484726849999994</v>
      </c>
      <c r="IC138" s="4">
        <v>0.26183899895184987</v>
      </c>
      <c r="IF138" s="5">
        <v>48.56811308634947</v>
      </c>
      <c r="IJ138" s="5">
        <v>48.829952085301322</v>
      </c>
      <c r="IK138" s="6">
        <v>1375.1227788195376</v>
      </c>
      <c r="IN138" s="5">
        <v>17.207788799999999</v>
      </c>
      <c r="IP138" s="5">
        <v>17.207788799999999</v>
      </c>
      <c r="IQ138" s="6">
        <v>1799.8426278445966</v>
      </c>
      <c r="IW138" s="15">
        <v>162.7909368</v>
      </c>
      <c r="IZ138" s="15">
        <v>162.7909368</v>
      </c>
      <c r="NA138" s="5">
        <v>1.6764000000000001</v>
      </c>
      <c r="NB138" s="15">
        <v>922.21426867096147</v>
      </c>
      <c r="NJ138" s="4">
        <v>1.6764000000000001</v>
      </c>
      <c r="NK138" s="15">
        <v>922.21426867096147</v>
      </c>
    </row>
    <row r="139" spans="1:375" x14ac:dyDescent="0.25">
      <c r="A139" s="2">
        <v>1927</v>
      </c>
      <c r="B139" s="6">
        <v>1181.1469000000002</v>
      </c>
      <c r="C139" s="15">
        <v>560.79520000000002</v>
      </c>
      <c r="D139" s="6">
        <v>1198.5318</v>
      </c>
      <c r="E139" s="15">
        <v>151.1771</v>
      </c>
      <c r="F139" s="5">
        <v>12.9998</v>
      </c>
      <c r="G139" s="6">
        <v>12699.7783</v>
      </c>
      <c r="H139" s="4">
        <v>3.4209999999999998</v>
      </c>
      <c r="I139" s="6">
        <v>15807.8501</v>
      </c>
      <c r="J139" s="15">
        <v>273.1660412353263</v>
      </c>
      <c r="K139" s="6">
        <v>15072.867363708334</v>
      </c>
      <c r="M139" s="6">
        <v>2616.0698000000002</v>
      </c>
      <c r="N139" s="6">
        <v>318502.65730000002</v>
      </c>
      <c r="O139" s="5">
        <v>45.748100000000001</v>
      </c>
      <c r="P139" s="6">
        <v>23069.4202</v>
      </c>
      <c r="Q139" s="4">
        <v>5.5669000000000004</v>
      </c>
      <c r="R139" s="15">
        <v>971.25300000000004</v>
      </c>
      <c r="T139" s="6">
        <v>345210.71530000004</v>
      </c>
      <c r="U139" s="4">
        <v>6.4296641102530874</v>
      </c>
      <c r="V139" s="6">
        <v>314651.080288</v>
      </c>
      <c r="Z139" s="15">
        <v>935.73599999999999</v>
      </c>
      <c r="AC139" s="15">
        <f>SUM(X139:AB139)</f>
        <v>935.73599999999999</v>
      </c>
      <c r="AE139" s="4">
        <v>2</v>
      </c>
      <c r="AN139" s="6">
        <v>1116624.6399999999</v>
      </c>
      <c r="AO139" s="6">
        <v>11304131.824000001</v>
      </c>
      <c r="AP139" s="6">
        <v>695192.92</v>
      </c>
      <c r="AQ139" s="6">
        <v>113848.89600000001</v>
      </c>
      <c r="AS139" s="6">
        <v>509529.08</v>
      </c>
      <c r="AT139" s="6">
        <v>13739327.360000001</v>
      </c>
      <c r="AU139" s="4">
        <v>1.8152880749561873</v>
      </c>
      <c r="AW139" s="6">
        <v>1478769.7120000001</v>
      </c>
      <c r="AX139" s="4">
        <v>0.2975486963449519</v>
      </c>
      <c r="BH139" s="6">
        <v>3800.8560000000002</v>
      </c>
      <c r="BI139" s="6">
        <v>1253.7439999999999</v>
      </c>
      <c r="BK139" s="6">
        <v>5903.9759999999997</v>
      </c>
      <c r="BL139" s="15">
        <v>204.21600000000001</v>
      </c>
      <c r="BO139" s="6">
        <v>11162.791999999999</v>
      </c>
      <c r="BP139" s="4">
        <v>66.253769475624054</v>
      </c>
      <c r="BQ139" s="6">
        <v>10977.504418990256</v>
      </c>
      <c r="BS139" s="2">
        <v>199</v>
      </c>
      <c r="BV139" s="2">
        <v>199</v>
      </c>
      <c r="BW139" s="4">
        <v>2.2814070351758793</v>
      </c>
      <c r="BZ139" s="15">
        <v>514.096</v>
      </c>
      <c r="CA139" s="6">
        <v>188080.90400000001</v>
      </c>
      <c r="CD139" s="6">
        <v>733983.8</v>
      </c>
      <c r="CG139" s="6">
        <v>922578.8</v>
      </c>
      <c r="CH139" s="4">
        <v>10.826763379111243</v>
      </c>
      <c r="CJ139" s="15">
        <v>245.87200000000001</v>
      </c>
      <c r="CK139" s="6">
        <v>1221.232</v>
      </c>
      <c r="CL139" s="5">
        <v>15.24</v>
      </c>
      <c r="CR139" s="6">
        <v>1482.3440000000001</v>
      </c>
      <c r="CS139" s="4">
        <v>7.9922949545469901</v>
      </c>
      <c r="DB139" s="15">
        <v>87.5792</v>
      </c>
      <c r="DD139" s="15">
        <v>928.62400000000002</v>
      </c>
      <c r="DE139" s="6">
        <v>191867.53599999999</v>
      </c>
      <c r="DF139" s="4">
        <v>6.0960000000000001</v>
      </c>
      <c r="DG139" s="6">
        <v>5672.3280000000004</v>
      </c>
      <c r="DH139" s="4">
        <v>3.048</v>
      </c>
      <c r="DI139" s="15">
        <v>832.80503999999996</v>
      </c>
      <c r="DJ139" s="5">
        <v>19.304000000000002</v>
      </c>
      <c r="DK139" s="6">
        <v>199329.74104000002</v>
      </c>
      <c r="DL139" s="15">
        <v>133.94053040450041</v>
      </c>
      <c r="DM139" s="6">
        <v>194805.06631999998</v>
      </c>
      <c r="DP139" s="6">
        <v>166096.696</v>
      </c>
      <c r="DR139" s="6">
        <v>6427.2160000000003</v>
      </c>
      <c r="DV139" s="6">
        <v>172523.91200000001</v>
      </c>
      <c r="DW139" s="15">
        <v>123.22528797214038</v>
      </c>
      <c r="DX139" s="6">
        <v>171614.75456</v>
      </c>
      <c r="DZ139" s="15">
        <v>790.60548000000006</v>
      </c>
      <c r="EA139" s="6">
        <v>953.27971551385565</v>
      </c>
      <c r="EB139" s="15">
        <v>41.274999999999999</v>
      </c>
      <c r="EC139" s="6">
        <v>1569.68</v>
      </c>
      <c r="ED139" s="5">
        <v>68.118735999999998</v>
      </c>
      <c r="EE139" s="5">
        <v>56.498516320474636</v>
      </c>
      <c r="EF139" s="6">
        <v>3479.4574478343307</v>
      </c>
      <c r="EG139" s="15">
        <v>549.53558596437585</v>
      </c>
      <c r="EJ139" s="2">
        <v>0.19</v>
      </c>
      <c r="EM139" s="2">
        <v>0.19</v>
      </c>
      <c r="EN139" s="6">
        <f>2*1088/EM139</f>
        <v>11452.631578947368</v>
      </c>
      <c r="EZ139" s="5">
        <v>64.007999999999996</v>
      </c>
      <c r="FC139" s="6">
        <v>224.536</v>
      </c>
      <c r="FD139" s="15">
        <v>640.58799999999997</v>
      </c>
      <c r="FF139" s="15">
        <v>929.13199999999995</v>
      </c>
      <c r="FG139" s="15">
        <v>157.48031496062993</v>
      </c>
      <c r="FI139" s="200"/>
      <c r="FJ139" s="200"/>
      <c r="FK139" s="200"/>
      <c r="FL139" s="200"/>
      <c r="FN139" s="5">
        <v>22.322500000000002</v>
      </c>
      <c r="FQ139" s="5">
        <v>10.16</v>
      </c>
      <c r="FS139" s="4">
        <v>7.815384615384616</v>
      </c>
      <c r="FV139" s="5">
        <v>17.975384615384616</v>
      </c>
      <c r="FW139" s="6">
        <f>2*728</f>
        <v>1456</v>
      </c>
      <c r="GE139" s="4">
        <v>0.51766364715437008</v>
      </c>
      <c r="GK139" s="4">
        <f t="shared" si="355"/>
        <v>0.51766364715437008</v>
      </c>
      <c r="GL139" s="15">
        <v>149.19257919394516</v>
      </c>
      <c r="GO139" s="15">
        <v>132.08000000000001</v>
      </c>
      <c r="GQ139" s="15">
        <v>760.98400000000004</v>
      </c>
      <c r="GS139" s="115">
        <v>150000</v>
      </c>
      <c r="GT139" s="6">
        <v>150893.06400000001</v>
      </c>
      <c r="GU139" s="4">
        <v>3.926489874809028</v>
      </c>
      <c r="GW139" s="4">
        <v>7.0286</v>
      </c>
      <c r="GX139" s="87">
        <v>5.3347074000000001</v>
      </c>
      <c r="GY139" s="85">
        <v>9.13718E-3</v>
      </c>
      <c r="GZ139" s="86">
        <v>8.2234620000000008E-2</v>
      </c>
      <c r="HA139" s="86">
        <v>9.1371799999999989E-2</v>
      </c>
      <c r="HG139" s="5">
        <v>19.676565700000001</v>
      </c>
      <c r="HH139" s="86">
        <v>5.9029697100000007E-2</v>
      </c>
      <c r="HI139" s="87">
        <v>0.53126727390000006</v>
      </c>
      <c r="HJ139" s="87">
        <v>6.5916495095000007</v>
      </c>
      <c r="HK139" s="84">
        <v>11.4320846717</v>
      </c>
      <c r="HO139" s="4">
        <v>5.3347074000000001</v>
      </c>
      <c r="HP139" s="17"/>
      <c r="HQ139" s="3">
        <v>6.8166877100000009E-2</v>
      </c>
      <c r="HR139" s="4">
        <v>0.61350189390000009</v>
      </c>
      <c r="HS139" s="4">
        <v>6.5916495095000007</v>
      </c>
      <c r="HT139" s="5">
        <v>11.523456471699999</v>
      </c>
      <c r="IC139" s="4">
        <v>1.1581340338254897</v>
      </c>
      <c r="IF139" s="5">
        <v>86.780090934924118</v>
      </c>
      <c r="IJ139" s="5">
        <v>87.938224968749608</v>
      </c>
      <c r="IK139" s="6">
        <v>1285.829091883204</v>
      </c>
      <c r="IN139" s="5">
        <v>12.188850399999998</v>
      </c>
      <c r="IO139" s="3">
        <v>1.8639129599999998E-2</v>
      </c>
      <c r="IP139" s="5">
        <v>12.207489529599998</v>
      </c>
      <c r="IQ139" s="6">
        <v>1655.088645593509</v>
      </c>
      <c r="IT139" s="3">
        <v>7.9540607999999992E-3</v>
      </c>
      <c r="IU139" s="3">
        <f t="shared" ref="IU139:IU147" si="357">IS139+IT139</f>
        <v>7.9540607999999992E-3</v>
      </c>
      <c r="IW139" s="15">
        <v>157.25546400000002</v>
      </c>
      <c r="IZ139" s="15">
        <v>157.25546400000002</v>
      </c>
      <c r="MY139" s="5">
        <v>2.9210000000000003</v>
      </c>
      <c r="NA139" s="4">
        <v>0.15240000000000001</v>
      </c>
      <c r="NB139" s="6">
        <v>2677.1653543307084</v>
      </c>
      <c r="NJ139" s="4">
        <v>3.0734000000000004</v>
      </c>
      <c r="NK139" s="15">
        <v>132.75200104119216</v>
      </c>
    </row>
    <row r="140" spans="1:375" x14ac:dyDescent="0.25">
      <c r="A140" s="2">
        <v>1928</v>
      </c>
      <c r="B140" s="15">
        <v>412.91470000000004</v>
      </c>
      <c r="C140" s="15">
        <v>399.04410000000001</v>
      </c>
      <c r="D140" s="6">
        <v>1054.8187</v>
      </c>
      <c r="E140" s="15">
        <v>112.05330000000001</v>
      </c>
      <c r="F140" s="5">
        <v>16.545200000000001</v>
      </c>
      <c r="G140" s="6">
        <v>12234.988800000001</v>
      </c>
      <c r="H140" s="4">
        <v>3.1411000000000002</v>
      </c>
      <c r="I140" s="6">
        <v>14233.505900000002</v>
      </c>
      <c r="J140" s="15">
        <v>273.16590900554911</v>
      </c>
      <c r="K140" s="6">
        <v>13732.151807220002</v>
      </c>
      <c r="M140" s="15">
        <v>685.25740000000008</v>
      </c>
      <c r="N140" s="6">
        <v>259028.63449999999</v>
      </c>
      <c r="O140" s="5">
        <v>45.2194</v>
      </c>
      <c r="P140" s="6">
        <v>20816.0386</v>
      </c>
      <c r="R140" s="6">
        <v>1152.0062</v>
      </c>
      <c r="T140" s="6">
        <v>281727.15610000002</v>
      </c>
      <c r="U140" s="4">
        <v>7.0212208147691682</v>
      </c>
      <c r="V140" s="6">
        <v>263970.09235200001</v>
      </c>
      <c r="Z140" s="15">
        <v>196.08799999999999</v>
      </c>
      <c r="AC140" s="15">
        <f t="shared" ref="AC140:AC203" si="358">SUM(X140:AB140)</f>
        <v>196.08799999999999</v>
      </c>
      <c r="AE140" s="4">
        <v>2</v>
      </c>
      <c r="AN140" s="6">
        <v>1093561.44</v>
      </c>
      <c r="AO140" s="6">
        <v>9599368.1520000007</v>
      </c>
      <c r="AP140" s="6">
        <v>668856.16800000006</v>
      </c>
      <c r="AQ140" s="6">
        <v>130556</v>
      </c>
      <c r="AS140" s="6">
        <v>536874.72</v>
      </c>
      <c r="AT140" s="6">
        <v>12029216.48</v>
      </c>
      <c r="AU140" s="4">
        <v>1.800269526718967</v>
      </c>
      <c r="AW140" s="6">
        <v>1617327.7280000001</v>
      </c>
      <c r="AX140" s="4">
        <v>0.25028075200352962</v>
      </c>
      <c r="AZ140" s="4">
        <v>7.9349599999999993</v>
      </c>
      <c r="BE140" s="4">
        <v>7.9349599999999993</v>
      </c>
      <c r="BF140" s="6">
        <v>4589.6955085275476</v>
      </c>
      <c r="BH140" s="6">
        <v>2830.576</v>
      </c>
      <c r="BI140" s="6">
        <v>1270</v>
      </c>
      <c r="BK140" s="6">
        <v>6523.7359999999999</v>
      </c>
      <c r="BL140" s="15">
        <v>195.072</v>
      </c>
      <c r="BM140" s="4">
        <v>6.0960000000000001</v>
      </c>
      <c r="BO140" s="6">
        <v>10825.48</v>
      </c>
      <c r="BP140" s="4">
        <v>125.16105941302791</v>
      </c>
      <c r="BQ140" s="6">
        <v>10634.421200000003</v>
      </c>
      <c r="BS140" s="2">
        <v>28</v>
      </c>
      <c r="BV140" s="2">
        <v>28</v>
      </c>
      <c r="BW140" s="4">
        <v>4.2857142857142856</v>
      </c>
      <c r="CA140" s="6">
        <v>90285.824000000008</v>
      </c>
      <c r="CD140" s="6">
        <v>628209.05599999998</v>
      </c>
      <c r="CG140" s="6">
        <v>718494.88</v>
      </c>
      <c r="CH140" s="4">
        <v>10.826771653543307</v>
      </c>
      <c r="CK140" s="15">
        <v>203.2</v>
      </c>
      <c r="CR140" s="15">
        <v>203.2</v>
      </c>
      <c r="CS140" s="4">
        <v>5.9055118110236222</v>
      </c>
      <c r="CW140" s="5">
        <v>87.5792</v>
      </c>
      <c r="CY140" s="5">
        <v>87.5792</v>
      </c>
      <c r="CZ140" s="17"/>
      <c r="DA140" s="15">
        <v>816</v>
      </c>
      <c r="DB140" s="15">
        <v>10.16</v>
      </c>
      <c r="DD140" s="5">
        <v>42.671999999999997</v>
      </c>
      <c r="DE140" s="6">
        <v>173272.704</v>
      </c>
      <c r="DG140" s="6">
        <v>4863.5919999999996</v>
      </c>
      <c r="DI140" s="5">
        <v>21.335999999999999</v>
      </c>
      <c r="DJ140" s="4">
        <v>1.016</v>
      </c>
      <c r="DK140" s="6">
        <v>178201.32</v>
      </c>
      <c r="DL140" s="15">
        <v>124.11822484150372</v>
      </c>
      <c r="DM140" s="6">
        <v>174579.12556800002</v>
      </c>
      <c r="DP140" s="6">
        <v>141923.008</v>
      </c>
      <c r="DR140" s="6">
        <v>7225.7920000000004</v>
      </c>
      <c r="DV140" s="6">
        <v>149148.79999999999</v>
      </c>
      <c r="DW140" s="15">
        <v>118.7606036253237</v>
      </c>
      <c r="DX140" s="6">
        <v>146292.2989312</v>
      </c>
      <c r="DZ140" s="15">
        <v>721.90355999999997</v>
      </c>
      <c r="EA140" s="6">
        <v>1040.6544197414571</v>
      </c>
      <c r="EB140" s="15">
        <v>56.464199999999998</v>
      </c>
      <c r="EC140" s="6">
        <v>1306.296</v>
      </c>
      <c r="ED140" s="5">
        <v>64.022224000000008</v>
      </c>
      <c r="EE140" s="5">
        <v>42.789317507418403</v>
      </c>
      <c r="EF140" s="6">
        <v>3232.1297212488753</v>
      </c>
      <c r="EG140" s="15">
        <v>447.43515516442801</v>
      </c>
      <c r="EZ140" s="5">
        <v>47.752000000000002</v>
      </c>
      <c r="FC140" s="6"/>
      <c r="FD140" s="15">
        <v>864.87</v>
      </c>
      <c r="FF140" s="15">
        <v>912.62199999999996</v>
      </c>
      <c r="FG140" s="15">
        <v>155.66971240894355</v>
      </c>
      <c r="FI140" s="200"/>
      <c r="FJ140" s="200"/>
      <c r="FK140" s="200"/>
      <c r="FL140" s="200"/>
      <c r="FN140" s="5">
        <v>22.322500000000002</v>
      </c>
      <c r="FS140" s="4">
        <v>7.815384615384616</v>
      </c>
      <c r="FV140" s="4">
        <v>7.815384615384616</v>
      </c>
      <c r="FW140" s="6">
        <f>2*542</f>
        <v>1084</v>
      </c>
      <c r="GF140" s="4">
        <v>1.0353272943087402</v>
      </c>
      <c r="GK140" s="4">
        <f t="shared" si="355"/>
        <v>1.0353272943087402</v>
      </c>
      <c r="GL140" s="15">
        <v>195.58018785088612</v>
      </c>
      <c r="GO140" s="15">
        <v>141.22399999999999</v>
      </c>
      <c r="GS140" s="115">
        <v>150000</v>
      </c>
      <c r="GT140" s="6">
        <v>150141.22399999999</v>
      </c>
      <c r="GU140" s="4">
        <v>3.5759013982464438</v>
      </c>
      <c r="GW140" s="5">
        <v>11.009399999999999</v>
      </c>
      <c r="GX140" s="87">
        <v>8.356134599999999</v>
      </c>
      <c r="GY140" s="86">
        <v>1.4312219999999999E-2</v>
      </c>
      <c r="GZ140" s="87">
        <v>0.12880997999999999</v>
      </c>
      <c r="HA140" s="87">
        <v>0.14312219999999998</v>
      </c>
      <c r="HG140" s="5">
        <v>50.605484600000004</v>
      </c>
      <c r="HH140" s="87">
        <v>0.15181645380000003</v>
      </c>
      <c r="HI140" s="87">
        <v>1.3663480842000002</v>
      </c>
      <c r="HJ140" s="84">
        <v>16.952837341000002</v>
      </c>
      <c r="HK140" s="84">
        <v>29.401786552600001</v>
      </c>
      <c r="HO140" s="4">
        <v>8.356134599999999</v>
      </c>
      <c r="HP140" s="17"/>
      <c r="HQ140" s="4">
        <v>0.16612867380000002</v>
      </c>
      <c r="HR140" s="4">
        <v>1.4951580642000002</v>
      </c>
      <c r="HS140" s="5">
        <v>16.952837341000002</v>
      </c>
      <c r="HT140" s="5">
        <v>29.544908752600001</v>
      </c>
      <c r="IC140" s="5">
        <v>14.13930594339989</v>
      </c>
      <c r="IF140" s="15">
        <v>102.88963463812939</v>
      </c>
      <c r="IJ140" s="15">
        <v>117.02894058152928</v>
      </c>
      <c r="IK140" s="6">
        <v>1294.7584605768373</v>
      </c>
      <c r="IN140" s="4">
        <v>7.8869031999999999</v>
      </c>
      <c r="IO140" s="3">
        <v>8.7870182399999996E-2</v>
      </c>
      <c r="IP140" s="4">
        <v>7.9747733823999996</v>
      </c>
      <c r="IQ140" s="6">
        <v>1877.0872609455289</v>
      </c>
      <c r="IT140" s="3">
        <v>3.7497715200000004E-2</v>
      </c>
      <c r="IU140" s="3">
        <f t="shared" si="357"/>
        <v>3.7497715200000004E-2</v>
      </c>
      <c r="IW140" s="15">
        <v>174.80279999999999</v>
      </c>
      <c r="IZ140" s="15">
        <v>174.80279999999999</v>
      </c>
      <c r="MY140" s="4">
        <v>0.43180000000000002</v>
      </c>
      <c r="MZ140" s="15">
        <v>164.42797591477535</v>
      </c>
      <c r="NA140" s="5">
        <v>1.3716000000000002</v>
      </c>
      <c r="NB140" s="15">
        <v>540.97404491105272</v>
      </c>
      <c r="NJ140" s="4">
        <v>1.8034000000000001</v>
      </c>
      <c r="NK140" s="15">
        <v>450.81512698236662</v>
      </c>
    </row>
    <row r="141" spans="1:375" x14ac:dyDescent="0.25">
      <c r="A141" s="2">
        <v>1929</v>
      </c>
      <c r="B141" s="15">
        <v>294.70360000000005</v>
      </c>
      <c r="C141" s="15">
        <v>233.12560000000002</v>
      </c>
      <c r="D141" s="15">
        <v>817.15250000000003</v>
      </c>
      <c r="E141" s="15">
        <v>174.06670000000003</v>
      </c>
      <c r="F141" s="5">
        <v>31.379900000000003</v>
      </c>
      <c r="G141" s="6">
        <v>11730.1736</v>
      </c>
      <c r="H141" s="4">
        <v>4.0741000000000005</v>
      </c>
      <c r="I141" s="6">
        <v>13284.675999999999</v>
      </c>
      <c r="J141" s="15">
        <v>273.1658907727728</v>
      </c>
      <c r="K141" s="6">
        <v>12888.601589066666</v>
      </c>
      <c r="M141" s="6">
        <v>1637.8193000000001</v>
      </c>
      <c r="N141" s="6">
        <v>262968.56910000002</v>
      </c>
      <c r="O141" s="5">
        <v>28.2699</v>
      </c>
      <c r="P141" s="6">
        <v>26881.4094</v>
      </c>
      <c r="Q141" s="5">
        <v>37.506599999999999</v>
      </c>
      <c r="R141" s="6">
        <v>1085.1101000000001</v>
      </c>
      <c r="T141" s="6">
        <v>292638.68440000003</v>
      </c>
      <c r="U141" s="4">
        <v>5.6383366619177107</v>
      </c>
      <c r="V141" s="6">
        <v>278345.210547</v>
      </c>
      <c r="Z141" s="15">
        <v>554.73599999999999</v>
      </c>
      <c r="AC141" s="15">
        <f t="shared" si="358"/>
        <v>554.73599999999999</v>
      </c>
      <c r="AE141" s="4">
        <v>2</v>
      </c>
      <c r="AN141" s="6">
        <v>1390644.92</v>
      </c>
      <c r="AO141" s="6">
        <v>7739619.7760000005</v>
      </c>
      <c r="AP141" s="6">
        <v>715089.24800000002</v>
      </c>
      <c r="AQ141" s="6">
        <v>132375.65599999999</v>
      </c>
      <c r="AS141" s="6">
        <v>553434.50399999996</v>
      </c>
      <c r="AT141" s="6">
        <v>10531164.104</v>
      </c>
      <c r="AU141" s="4">
        <v>1.6343844429098511</v>
      </c>
      <c r="AW141" s="6">
        <v>1769034.8159999999</v>
      </c>
      <c r="AX141" s="4">
        <v>0.20129846896128017</v>
      </c>
      <c r="AZ141" s="4">
        <v>20.309839999999998</v>
      </c>
      <c r="BE141" s="4">
        <v>20.309839999999998</v>
      </c>
      <c r="BF141" s="6">
        <v>4411.1081346548799</v>
      </c>
      <c r="BH141" s="6">
        <v>4011.1680000000001</v>
      </c>
      <c r="BI141" s="6">
        <v>1261.8720000000001</v>
      </c>
      <c r="BJ141" s="4">
        <v>1.016</v>
      </c>
      <c r="BK141" s="6">
        <v>8829.0400000000009</v>
      </c>
      <c r="BL141" s="15">
        <v>281.43200000000002</v>
      </c>
      <c r="BM141" s="5">
        <v>18.288</v>
      </c>
      <c r="BO141" s="6">
        <v>14402.816000000001</v>
      </c>
      <c r="BP141" s="4">
        <v>158.63233715103794</v>
      </c>
      <c r="BQ141" s="6">
        <v>13866.511828631883</v>
      </c>
      <c r="BS141" s="2">
        <v>119</v>
      </c>
      <c r="BV141" s="2">
        <v>119</v>
      </c>
      <c r="BW141" s="4">
        <v>2.4873949579831933</v>
      </c>
      <c r="BZ141" s="6">
        <v>1255.7760000000001</v>
      </c>
      <c r="CA141" s="6">
        <v>11408.664000000001</v>
      </c>
      <c r="CD141" s="6">
        <v>861378.00800000003</v>
      </c>
      <c r="CG141" s="6">
        <v>874042.44799999997</v>
      </c>
      <c r="CH141" s="4">
        <v>8.8585193790177907</v>
      </c>
      <c r="CK141" s="15">
        <v>203.2</v>
      </c>
      <c r="CR141" s="15">
        <v>203.2</v>
      </c>
      <c r="CS141" s="4">
        <v>6</v>
      </c>
      <c r="CW141" s="5">
        <v>10.16</v>
      </c>
      <c r="CY141" s="5">
        <v>10.16</v>
      </c>
      <c r="CZ141" s="17"/>
      <c r="DA141" s="15">
        <v>772</v>
      </c>
      <c r="DB141" s="15">
        <v>86.807040000000001</v>
      </c>
      <c r="DD141" s="15">
        <v>395.22399999999999</v>
      </c>
      <c r="DE141" s="6">
        <v>188081.92000000001</v>
      </c>
      <c r="DG141" s="6">
        <v>6078.7280000000001</v>
      </c>
      <c r="DH141" s="4">
        <v>3.048</v>
      </c>
      <c r="DI141" s="15">
        <v>350.52</v>
      </c>
      <c r="DJ141" s="2">
        <v>5.08</v>
      </c>
      <c r="DK141" s="6">
        <v>194914.52</v>
      </c>
      <c r="DL141" s="15">
        <v>134.83346727386376</v>
      </c>
      <c r="DM141" s="6">
        <v>190797.062144</v>
      </c>
      <c r="DP141" s="6">
        <v>148386.79999999999</v>
      </c>
      <c r="DR141" s="6">
        <v>7088.6320000000005</v>
      </c>
      <c r="DV141" s="6">
        <v>155475.432</v>
      </c>
      <c r="DW141" s="15">
        <v>127.68997231895706</v>
      </c>
      <c r="DX141" s="6">
        <v>153391.99395200002</v>
      </c>
      <c r="DZ141" s="15">
        <v>702.31</v>
      </c>
      <c r="EA141" s="6">
        <v>924.60670385164792</v>
      </c>
      <c r="EB141" s="15">
        <v>16.6751</v>
      </c>
      <c r="EC141" s="6">
        <v>612.27199999999993</v>
      </c>
      <c r="ED141" s="5">
        <v>39.940992000000001</v>
      </c>
      <c r="EE141" s="5">
        <v>24.925816023738872</v>
      </c>
      <c r="EF141" s="6">
        <v>2320.7306118753863</v>
      </c>
      <c r="EG141" s="15">
        <v>402.97214588005193</v>
      </c>
      <c r="EZ141" s="2">
        <v>25.4</v>
      </c>
      <c r="FA141" s="4">
        <v>1.016</v>
      </c>
      <c r="FC141" s="6">
        <v>1312.672</v>
      </c>
      <c r="FD141" s="15">
        <v>714.50200000000007</v>
      </c>
      <c r="FF141" s="6">
        <v>2053.59</v>
      </c>
      <c r="FG141" s="15">
        <v>146.3319560302487</v>
      </c>
      <c r="FI141" s="200"/>
      <c r="FJ141" s="6">
        <v>131.06399999999999</v>
      </c>
      <c r="FK141" s="200"/>
      <c r="FL141" s="200"/>
      <c r="FM141" s="5">
        <f t="shared" si="354"/>
        <v>131.06399999999999</v>
      </c>
      <c r="FN141" s="5">
        <v>24.1083</v>
      </c>
      <c r="FQ141" s="2">
        <v>50.8</v>
      </c>
      <c r="FS141" s="4">
        <v>7.815384615384616</v>
      </c>
      <c r="FV141" s="5">
        <v>58.615384615384613</v>
      </c>
      <c r="FW141" s="6">
        <f>2*602</f>
        <v>1204</v>
      </c>
      <c r="GF141" s="4">
        <v>0.25883182357718504</v>
      </c>
      <c r="GK141" s="4">
        <f t="shared" si="355"/>
        <v>0.25883182357718504</v>
      </c>
      <c r="GL141" s="5">
        <v>92.273729652725763</v>
      </c>
      <c r="GO141" s="15">
        <v>71.12</v>
      </c>
      <c r="GS141" s="115">
        <v>150000</v>
      </c>
      <c r="GT141" s="6">
        <v>150071.12</v>
      </c>
      <c r="GU141" s="4">
        <v>3.7653938712780533</v>
      </c>
      <c r="GW141" s="4">
        <v>3.9808000000000003</v>
      </c>
      <c r="GX141" s="87">
        <v>3.0214272000000002</v>
      </c>
      <c r="GY141" s="85">
        <v>5.1750400000000005E-3</v>
      </c>
      <c r="GZ141" s="86">
        <v>4.6575360000000003E-2</v>
      </c>
      <c r="HA141" s="86">
        <v>5.1750400000000002E-2</v>
      </c>
      <c r="HG141" s="5">
        <v>42.295999999999999</v>
      </c>
      <c r="HH141" s="87">
        <v>0.126888</v>
      </c>
      <c r="HI141" s="87">
        <v>1.1419919999999999</v>
      </c>
      <c r="HJ141" s="84">
        <v>14.16916</v>
      </c>
      <c r="HK141" s="84">
        <v>24.573975999999998</v>
      </c>
      <c r="HO141" s="4">
        <v>3.0214272000000002</v>
      </c>
      <c r="HP141" s="17"/>
      <c r="HQ141" s="4">
        <v>0.13206303999999999</v>
      </c>
      <c r="HR141" s="4">
        <v>1.18856736</v>
      </c>
      <c r="HS141" s="5">
        <v>14.16916</v>
      </c>
      <c r="HT141" s="5">
        <v>24.625726399999998</v>
      </c>
      <c r="IC141" s="5">
        <v>10.211720959122143</v>
      </c>
      <c r="ID141" s="5">
        <v>12.407140258026114</v>
      </c>
      <c r="IF141" s="5">
        <v>88.701787772616129</v>
      </c>
      <c r="IJ141" s="15">
        <v>111.32064898976438</v>
      </c>
      <c r="IK141" s="6">
        <v>1634.0744709349051</v>
      </c>
      <c r="IN141" s="5">
        <v>17.207788799999999</v>
      </c>
      <c r="IO141" s="4">
        <v>0.25828508159999997</v>
      </c>
      <c r="IP141" s="5">
        <v>17.4660738816</v>
      </c>
      <c r="IQ141" s="6">
        <v>2223.9057056970446</v>
      </c>
      <c r="IT141" s="4">
        <v>0.11022055679999999</v>
      </c>
      <c r="IU141" s="4">
        <f t="shared" si="357"/>
        <v>0.11022055679999999</v>
      </c>
      <c r="IW141" s="15">
        <v>202.25146239999998</v>
      </c>
      <c r="IZ141" s="15">
        <v>202.25146239999998</v>
      </c>
      <c r="MY141" s="3">
        <v>5.0800000000000005E-2</v>
      </c>
      <c r="MZ141" s="15">
        <v>944.88188976377944</v>
      </c>
      <c r="NA141" s="4">
        <v>0.6604000000000001</v>
      </c>
      <c r="NB141" s="6">
        <v>6096.3052695336155</v>
      </c>
      <c r="NJ141" s="4">
        <v>0.71120000000000005</v>
      </c>
      <c r="NK141" s="6">
        <v>5728.3464566929133</v>
      </c>
    </row>
    <row r="142" spans="1:375" x14ac:dyDescent="0.25">
      <c r="A142" s="2">
        <v>1930</v>
      </c>
      <c r="B142" s="15">
        <v>243.23310000000001</v>
      </c>
      <c r="C142" s="15">
        <v>388.53230000000002</v>
      </c>
      <c r="D142" s="15">
        <v>750.10090000000002</v>
      </c>
      <c r="E142" s="15">
        <v>138.92370000000003</v>
      </c>
      <c r="F142" s="5">
        <v>40.772100000000002</v>
      </c>
      <c r="G142" s="6">
        <v>12984.809800000001</v>
      </c>
      <c r="H142" s="4">
        <v>0.40429999999999999</v>
      </c>
      <c r="I142" s="6">
        <v>14546.776200000002</v>
      </c>
      <c r="J142" s="15">
        <v>287.17272363924394</v>
      </c>
      <c r="K142" s="6">
        <v>14359.876660251333</v>
      </c>
      <c r="M142" s="6">
        <v>2171.0288000000005</v>
      </c>
      <c r="N142" s="6">
        <v>271224.40619999997</v>
      </c>
      <c r="O142" s="5">
        <v>25.284300000000002</v>
      </c>
      <c r="P142" s="6">
        <v>22131.350900000001</v>
      </c>
      <c r="Q142" s="5">
        <v>32.903800000000004</v>
      </c>
      <c r="R142" s="6">
        <v>1073.4165</v>
      </c>
      <c r="T142" s="6">
        <v>296658.39049999998</v>
      </c>
      <c r="U142" s="4">
        <v>3.2458257101003531</v>
      </c>
      <c r="V142" s="6">
        <v>281268.23548099998</v>
      </c>
      <c r="Z142" s="15">
        <v>801.62400000000002</v>
      </c>
      <c r="AC142" s="15">
        <f t="shared" si="358"/>
        <v>801.62400000000002</v>
      </c>
      <c r="AE142" s="4">
        <v>2</v>
      </c>
      <c r="AN142" s="6">
        <v>1112190.8160000001</v>
      </c>
      <c r="AO142" s="6">
        <v>7206543.8799999999</v>
      </c>
      <c r="AP142" s="6">
        <v>714742.79200000002</v>
      </c>
      <c r="AQ142" s="6">
        <v>140935.45600000001</v>
      </c>
      <c r="AS142" s="6">
        <v>509447.8</v>
      </c>
      <c r="AT142" s="6">
        <v>9683860.7440000009</v>
      </c>
      <c r="AU142" s="4">
        <v>1.5256523107633919</v>
      </c>
      <c r="AW142" s="6">
        <v>1860811.112</v>
      </c>
      <c r="AX142" s="4">
        <v>0.18670675264110312</v>
      </c>
      <c r="AZ142" s="4">
        <v>4.3688000000000002</v>
      </c>
      <c r="BE142" s="4">
        <v>4.3688000000000002</v>
      </c>
      <c r="BF142" s="6">
        <v>4455.7549781230473</v>
      </c>
      <c r="BH142" s="6">
        <v>2976.88</v>
      </c>
      <c r="BI142" s="6">
        <v>1324.864</v>
      </c>
      <c r="BK142" s="6">
        <v>10100.056</v>
      </c>
      <c r="BL142" s="15">
        <v>100.584</v>
      </c>
      <c r="BN142" s="5">
        <v>15.24</v>
      </c>
      <c r="BO142" s="6">
        <v>14517.624</v>
      </c>
      <c r="BP142" s="4">
        <v>67.897117199193076</v>
      </c>
      <c r="BQ142" s="6">
        <v>16348.486179046366</v>
      </c>
      <c r="BS142" s="2">
        <v>667</v>
      </c>
      <c r="BV142" s="2">
        <v>667</v>
      </c>
      <c r="BW142" s="4">
        <v>2.1409295352323836</v>
      </c>
      <c r="BZ142" s="6">
        <v>2455.672</v>
      </c>
      <c r="CA142" s="6">
        <v>3860.8</v>
      </c>
      <c r="CD142" s="6">
        <v>943246.272</v>
      </c>
      <c r="CG142" s="6">
        <v>949562.74399999995</v>
      </c>
      <c r="CH142" s="4">
        <v>8</v>
      </c>
      <c r="CK142" s="2">
        <v>127</v>
      </c>
      <c r="CR142" s="2">
        <v>127</v>
      </c>
      <c r="CS142" s="4">
        <v>6.3140692319120486</v>
      </c>
      <c r="CW142" s="5">
        <v>86.807040000000001</v>
      </c>
      <c r="CY142" s="5">
        <v>86.807040000000001</v>
      </c>
      <c r="CZ142" s="17"/>
      <c r="DA142" s="15">
        <v>772</v>
      </c>
      <c r="DB142" s="15">
        <v>119.4816</v>
      </c>
      <c r="DD142" s="15">
        <v>234.696</v>
      </c>
      <c r="DE142" s="6">
        <v>192789.04800000001</v>
      </c>
      <c r="DG142" s="6">
        <v>4305.808</v>
      </c>
      <c r="DI142" s="5">
        <v>25.867360000000001</v>
      </c>
      <c r="DJ142" s="4">
        <v>3.048</v>
      </c>
      <c r="DK142" s="6">
        <v>197358.46736000001</v>
      </c>
      <c r="DL142" s="15">
        <v>108.93829806232701</v>
      </c>
      <c r="DM142" s="6">
        <v>194362.22971520002</v>
      </c>
      <c r="DP142" s="6">
        <v>121526.808</v>
      </c>
      <c r="DR142" s="15">
        <v>958.08799999999997</v>
      </c>
      <c r="DV142" s="6">
        <v>122484.89600000001</v>
      </c>
      <c r="DW142" s="5">
        <v>90.186623805696939</v>
      </c>
      <c r="DX142" s="6">
        <v>126007.49235840001</v>
      </c>
      <c r="DZ142" s="15">
        <v>429.03140000000002</v>
      </c>
      <c r="EA142" s="6">
        <v>550.57879085578452</v>
      </c>
      <c r="EC142" s="6">
        <v>523.73599999999999</v>
      </c>
      <c r="ED142" s="5">
        <v>9.2811600000000016</v>
      </c>
      <c r="EE142" s="5">
        <v>24.510385756676556</v>
      </c>
      <c r="EF142" s="6">
        <v>1537.1377366124611</v>
      </c>
      <c r="EG142" s="15">
        <v>282.93073535299612</v>
      </c>
      <c r="EZ142" s="5">
        <v>56.896000000000001</v>
      </c>
      <c r="FC142" s="6"/>
      <c r="FD142" s="15">
        <v>764.28600000000006</v>
      </c>
      <c r="FF142" s="15">
        <v>821.18200000000002</v>
      </c>
      <c r="FG142" s="5">
        <v>96.990783128853082</v>
      </c>
      <c r="FI142" s="200"/>
      <c r="FJ142" s="6">
        <v>155.44800000000001</v>
      </c>
      <c r="FK142" s="200"/>
      <c r="FL142" s="200"/>
      <c r="FM142" s="5">
        <f t="shared" si="354"/>
        <v>155.44800000000001</v>
      </c>
      <c r="FN142" s="5">
        <v>30.358599999999999</v>
      </c>
      <c r="GE142" s="4">
        <v>1.0353272943087402</v>
      </c>
      <c r="GF142" s="4">
        <v>1.6306404885362658</v>
      </c>
      <c r="GK142" s="4">
        <f t="shared" si="355"/>
        <v>2.6659677828450059</v>
      </c>
      <c r="GL142" s="15">
        <v>134.24438929409936</v>
      </c>
      <c r="GO142" s="15">
        <v>26.416</v>
      </c>
      <c r="GS142" s="115">
        <v>150000</v>
      </c>
      <c r="GT142" s="6">
        <v>150026.416</v>
      </c>
      <c r="GU142" s="4">
        <v>3.8327570398238033</v>
      </c>
      <c r="GW142" s="4">
        <v>4.8205</v>
      </c>
      <c r="GX142" s="87">
        <v>3.6587594999999999</v>
      </c>
      <c r="GY142" s="85">
        <v>6.2666499999999995E-3</v>
      </c>
      <c r="GZ142" s="86">
        <v>5.6399850000000001E-2</v>
      </c>
      <c r="HA142" s="86">
        <v>6.26665E-2</v>
      </c>
      <c r="HG142" s="5">
        <v>29.628970000000002</v>
      </c>
      <c r="HH142" s="86">
        <v>8.8886910000000013E-2</v>
      </c>
      <c r="HI142" s="87">
        <v>0.79998219000000004</v>
      </c>
      <c r="HJ142" s="87">
        <v>9.9257049500000019</v>
      </c>
      <c r="HK142" s="84">
        <v>17.214431569999999</v>
      </c>
      <c r="HO142" s="4">
        <v>3.6587594999999999</v>
      </c>
      <c r="HP142" s="17"/>
      <c r="HQ142" s="3">
        <v>9.5153560000000012E-2</v>
      </c>
      <c r="HR142" s="4">
        <v>0.85638204000000007</v>
      </c>
      <c r="HS142" s="4">
        <v>9.9257049500000019</v>
      </c>
      <c r="HT142" s="5">
        <v>17.277098069999997</v>
      </c>
      <c r="IC142" s="5">
        <v>11.587382776692245</v>
      </c>
      <c r="ID142" s="4">
        <v>8.4996967352062036</v>
      </c>
      <c r="IF142" s="5">
        <v>65.769928244413109</v>
      </c>
      <c r="II142" s="4">
        <v>0.56946679465056083</v>
      </c>
      <c r="IJ142" s="5">
        <v>86.426474550962126</v>
      </c>
      <c r="IK142" s="6">
        <v>1500.1339405304047</v>
      </c>
      <c r="IN142" s="4">
        <v>2.1509735999999999</v>
      </c>
      <c r="IO142" s="4">
        <v>0.71893785600000004</v>
      </c>
      <c r="IP142" s="4">
        <v>2.8699114560000001</v>
      </c>
      <c r="IQ142" s="6">
        <v>3139.6315845134745</v>
      </c>
      <c r="IT142" s="4">
        <v>0.30679948800000001</v>
      </c>
      <c r="IU142" s="4">
        <f t="shared" si="357"/>
        <v>0.30679948800000001</v>
      </c>
      <c r="IW142" s="15">
        <v>231.13908560000002</v>
      </c>
      <c r="IZ142" s="15">
        <v>231.13908560000002</v>
      </c>
      <c r="MY142" s="4">
        <v>0.83820000000000006</v>
      </c>
      <c r="MZ142" s="15">
        <v>931.75853018372698</v>
      </c>
      <c r="NA142" s="4">
        <v>0.30480000000000002</v>
      </c>
      <c r="NB142" s="6">
        <v>3333.333333333333</v>
      </c>
      <c r="NC142" s="4">
        <v>0.98551999999999995</v>
      </c>
      <c r="ND142" s="15">
        <v>963.9581134832373</v>
      </c>
      <c r="NJ142" s="4">
        <v>2.12852</v>
      </c>
      <c r="NK142" s="6">
        <v>1290.5680942626802</v>
      </c>
    </row>
    <row r="143" spans="1:375" x14ac:dyDescent="0.25">
      <c r="A143" s="2">
        <v>1931</v>
      </c>
      <c r="B143" s="15">
        <v>408.87170000000003</v>
      </c>
      <c r="C143" s="15">
        <v>611.83030000000008</v>
      </c>
      <c r="D143" s="6">
        <v>1357.1107</v>
      </c>
      <c r="E143" s="15">
        <v>148.036</v>
      </c>
      <c r="F143" s="5">
        <v>86.520200000000003</v>
      </c>
      <c r="G143" s="6">
        <v>15878.789200000001</v>
      </c>
      <c r="H143" s="5">
        <v>17.167200000000001</v>
      </c>
      <c r="I143" s="6">
        <v>18508.3253</v>
      </c>
      <c r="J143" s="15">
        <v>377.62789653479678</v>
      </c>
      <c r="K143" s="6">
        <v>17636.331720000002</v>
      </c>
      <c r="M143" s="6">
        <v>33851.665800000002</v>
      </c>
      <c r="N143" s="6">
        <v>206467.33310000002</v>
      </c>
      <c r="O143" s="5">
        <v>47.023200000000003</v>
      </c>
      <c r="P143" s="6">
        <v>12182.865200000002</v>
      </c>
      <c r="Q143" s="4">
        <v>2.1148000000000002</v>
      </c>
      <c r="R143" s="6">
        <v>1343.8621000000001</v>
      </c>
      <c r="T143" s="6">
        <v>253894.86420000001</v>
      </c>
      <c r="U143" s="4">
        <v>4.0243214098177482</v>
      </c>
      <c r="V143" s="6">
        <v>209475.361798</v>
      </c>
      <c r="Y143" s="15">
        <v>199.136</v>
      </c>
      <c r="Z143" s="6">
        <v>1406.144</v>
      </c>
      <c r="AC143" s="6">
        <f t="shared" si="358"/>
        <v>1605.28</v>
      </c>
      <c r="AE143" s="4">
        <v>2</v>
      </c>
      <c r="AN143" s="6">
        <v>854768.92799999996</v>
      </c>
      <c r="AO143" s="6">
        <v>6535300.1119999997</v>
      </c>
      <c r="AP143" s="6">
        <v>580483.47199999995</v>
      </c>
      <c r="AQ143" s="6">
        <v>125809.24800000001</v>
      </c>
      <c r="AS143" s="6">
        <v>439318.4</v>
      </c>
      <c r="AT143" s="6">
        <v>8535680.1600000001</v>
      </c>
      <c r="AU143" s="4">
        <v>1.4518801117475424</v>
      </c>
      <c r="AW143" s="6">
        <v>2229564.2480000001</v>
      </c>
      <c r="AX143" s="4">
        <v>0.2256144896704497</v>
      </c>
      <c r="AZ143" s="4">
        <v>1.1277600000000001</v>
      </c>
      <c r="BE143" s="4">
        <v>1.1277600000000001</v>
      </c>
      <c r="BF143" s="6">
        <v>3232.4314670952767</v>
      </c>
      <c r="BH143" s="6">
        <v>3185.16</v>
      </c>
      <c r="BI143" s="15">
        <v>660.4</v>
      </c>
      <c r="BK143" s="6">
        <v>9990.3279999999995</v>
      </c>
      <c r="BL143" s="5">
        <v>22.352</v>
      </c>
      <c r="BO143" s="6">
        <v>13858.24</v>
      </c>
      <c r="BP143" s="4">
        <v>87.138137307697889</v>
      </c>
      <c r="BQ143" s="6">
        <v>15921.555200000001</v>
      </c>
      <c r="BS143" s="2">
        <v>725</v>
      </c>
      <c r="BV143" s="2">
        <v>725</v>
      </c>
      <c r="BW143" s="4">
        <v>1.9144827586206896</v>
      </c>
      <c r="BZ143" s="6">
        <v>4628.8959999999997</v>
      </c>
      <c r="CA143" s="6">
        <v>3723.64</v>
      </c>
      <c r="CD143" s="6">
        <v>293805.864</v>
      </c>
      <c r="CG143" s="6">
        <v>302158.40000000002</v>
      </c>
      <c r="CH143" s="4">
        <v>8</v>
      </c>
      <c r="CN143" s="5">
        <v>13.208</v>
      </c>
      <c r="CR143" s="5">
        <v>13.208</v>
      </c>
      <c r="CS143" s="4">
        <v>6.8363547579808346</v>
      </c>
      <c r="CW143" s="15">
        <v>119.4816</v>
      </c>
      <c r="CY143" s="15">
        <v>119.4816</v>
      </c>
      <c r="CZ143" s="17"/>
      <c r="DA143" s="15">
        <v>772</v>
      </c>
      <c r="DB143" s="5">
        <v>0.20320000000000002</v>
      </c>
      <c r="DD143" s="6">
        <v>17458.944</v>
      </c>
      <c r="DE143" s="6">
        <v>131125.976</v>
      </c>
      <c r="DG143" s="6">
        <v>2224.0239999999999</v>
      </c>
      <c r="DJ143" s="2">
        <v>5.08</v>
      </c>
      <c r="DK143" s="6">
        <v>150814.02399999998</v>
      </c>
      <c r="DL143" s="5">
        <v>83.936065720153593</v>
      </c>
      <c r="DM143" s="6">
        <v>148989.34896</v>
      </c>
      <c r="DP143" s="6">
        <v>75399.392000000007</v>
      </c>
      <c r="DV143" s="6">
        <v>75399.392000000007</v>
      </c>
      <c r="DW143" s="5">
        <v>71.434949549066886</v>
      </c>
      <c r="DX143" s="6">
        <v>76781.964800000002</v>
      </c>
      <c r="DZ143" s="15">
        <v>340.20251999999999</v>
      </c>
      <c r="EA143" s="6">
        <v>703.3117125</v>
      </c>
      <c r="EB143" s="15">
        <v>3.7973000000000003</v>
      </c>
      <c r="EC143" s="6">
        <v>603.27199999999993</v>
      </c>
      <c r="ED143" s="5">
        <v>4.4805600000000005</v>
      </c>
      <c r="EE143" s="5">
        <v>19.109792284866469</v>
      </c>
      <c r="EF143" s="6">
        <v>1674.1738847848662</v>
      </c>
      <c r="EG143" s="15">
        <v>255.63527638390286</v>
      </c>
      <c r="EZ143" s="5">
        <v>46.736000000000004</v>
      </c>
      <c r="FC143" s="6"/>
      <c r="FD143" s="15">
        <v>474.47199999999998</v>
      </c>
      <c r="FF143" s="15">
        <v>521.20799999999997</v>
      </c>
      <c r="FG143" s="5">
        <v>60.035598998401063</v>
      </c>
      <c r="FI143" s="200"/>
      <c r="FJ143" s="6">
        <v>26.416</v>
      </c>
      <c r="FK143" s="200"/>
      <c r="FL143" s="200"/>
      <c r="FM143" s="5">
        <f t="shared" si="354"/>
        <v>26.416</v>
      </c>
      <c r="FN143" s="5">
        <v>41.073399999999999</v>
      </c>
      <c r="FQ143" s="5">
        <v>60.96</v>
      </c>
      <c r="FV143" s="5">
        <v>60.96</v>
      </c>
      <c r="FW143" s="6">
        <f>2*517</f>
        <v>1034</v>
      </c>
      <c r="GE143" s="4">
        <v>0.15529909414631102</v>
      </c>
      <c r="GF143" s="4">
        <v>0.15529909414631102</v>
      </c>
      <c r="GK143" s="4">
        <f t="shared" si="355"/>
        <v>0.31059818829262203</v>
      </c>
      <c r="GL143" s="15">
        <v>216.6426696194431</v>
      </c>
      <c r="GO143" s="15">
        <v>95.504000000000005</v>
      </c>
      <c r="GQ143" s="15">
        <v>523.24</v>
      </c>
      <c r="GS143" s="115">
        <v>150000</v>
      </c>
      <c r="GT143" s="6">
        <v>150618.74400000001</v>
      </c>
      <c r="GU143" s="4">
        <v>2.376852642918168</v>
      </c>
      <c r="GW143" s="4">
        <v>8.8013000000000012</v>
      </c>
      <c r="GX143" s="87">
        <v>6.680186700000001</v>
      </c>
      <c r="GY143" s="86">
        <v>1.1441690000000001E-2</v>
      </c>
      <c r="GZ143" s="87">
        <v>0.10297521000000001</v>
      </c>
      <c r="HA143" s="87">
        <v>0.11441690000000002</v>
      </c>
      <c r="HG143" s="5">
        <v>39.793694000000002</v>
      </c>
      <c r="HH143" s="87">
        <v>0.11938108200000001</v>
      </c>
      <c r="HI143" s="87">
        <v>1.0744297380000001</v>
      </c>
      <c r="HJ143" s="84">
        <v>13.330887490000002</v>
      </c>
      <c r="HK143" s="84">
        <v>23.120136213999999</v>
      </c>
      <c r="HO143" s="4">
        <v>6.680186700000001</v>
      </c>
      <c r="HP143" s="17"/>
      <c r="HQ143" s="4">
        <v>0.130822772</v>
      </c>
      <c r="HR143" s="4">
        <v>1.1774049480000002</v>
      </c>
      <c r="HS143" s="5">
        <v>13.330887490000002</v>
      </c>
      <c r="HT143" s="5">
        <v>23.234553113999997</v>
      </c>
      <c r="IC143" s="4">
        <v>1.3091949947592489</v>
      </c>
      <c r="ID143" s="5">
        <v>32.362293197375749</v>
      </c>
      <c r="IF143" s="4">
        <v>0.16938969086038896</v>
      </c>
      <c r="II143" s="5">
        <v>7.2001548748921484</v>
      </c>
      <c r="IJ143" s="5">
        <v>41.041032757887542</v>
      </c>
      <c r="IK143" s="6">
        <v>1366.1934101259042</v>
      </c>
      <c r="IN143" s="4">
        <v>8.6038943999999997</v>
      </c>
      <c r="IO143" s="4">
        <v>0.37810805759999999</v>
      </c>
      <c r="IP143" s="4">
        <v>8.9820024576000002</v>
      </c>
      <c r="IQ143" s="6">
        <v>1848.3516884107437</v>
      </c>
      <c r="IT143" s="4">
        <v>0.1613538048</v>
      </c>
      <c r="IU143" s="4">
        <f t="shared" si="357"/>
        <v>0.1613538048</v>
      </c>
      <c r="IW143" s="15">
        <v>201.8792</v>
      </c>
      <c r="IZ143" s="15">
        <v>201.8792</v>
      </c>
      <c r="MY143" s="3">
        <v>8.1280000000000005E-2</v>
      </c>
      <c r="MZ143" s="15">
        <v>455.21653543307082</v>
      </c>
      <c r="NA143" s="5">
        <v>7.620000000000001</v>
      </c>
      <c r="NB143" s="6">
        <v>1413.9107611548554</v>
      </c>
      <c r="NC143" s="4">
        <v>1.778</v>
      </c>
      <c r="ND143" s="6">
        <v>1141.732283464567</v>
      </c>
      <c r="NE143" s="4">
        <v>0.21908736278690014</v>
      </c>
      <c r="NF143" s="15">
        <v>940.26418219461686</v>
      </c>
      <c r="NJ143" s="4">
        <v>9.698367362786902</v>
      </c>
      <c r="NK143" s="6">
        <v>1345.2779743178178</v>
      </c>
    </row>
    <row r="144" spans="1:375" x14ac:dyDescent="0.25">
      <c r="A144" s="2">
        <v>1932</v>
      </c>
      <c r="B144" s="15">
        <v>723.47930000000008</v>
      </c>
      <c r="C144" s="15">
        <v>868.96510000000012</v>
      </c>
      <c r="D144" s="6">
        <v>1484.8695</v>
      </c>
      <c r="E144" s="15">
        <v>184.64070000000001</v>
      </c>
      <c r="F144" s="5">
        <v>93.735400000000013</v>
      </c>
      <c r="G144" s="6">
        <v>18832.947100000001</v>
      </c>
      <c r="H144" s="5">
        <v>20.961400000000001</v>
      </c>
      <c r="I144" s="6">
        <v>22209.5985</v>
      </c>
      <c r="J144" s="15">
        <v>467.65267993561451</v>
      </c>
      <c r="K144" s="6">
        <v>20846.45501160833</v>
      </c>
      <c r="M144" s="6">
        <v>71585.420200000008</v>
      </c>
      <c r="N144" s="6">
        <v>188908.45970000001</v>
      </c>
      <c r="O144" s="5">
        <v>64.750200000000007</v>
      </c>
      <c r="P144" s="6">
        <v>14414.4768</v>
      </c>
      <c r="R144" s="6">
        <v>1808.9314999999999</v>
      </c>
      <c r="T144" s="6">
        <v>276782.03840000002</v>
      </c>
      <c r="U144" s="4">
        <v>4.8033599261406783</v>
      </c>
      <c r="V144" s="6">
        <v>289573.77535700001</v>
      </c>
      <c r="Z144" s="6">
        <v>1147.0640000000001</v>
      </c>
      <c r="AC144" s="6">
        <f t="shared" si="358"/>
        <v>1147.0640000000001</v>
      </c>
      <c r="AE144" s="4">
        <v>2</v>
      </c>
      <c r="AN144" s="6">
        <v>855178.37600000005</v>
      </c>
      <c r="AO144" s="6">
        <v>6892769.5520000001</v>
      </c>
      <c r="AP144" s="6">
        <v>439270.64799999999</v>
      </c>
      <c r="AQ144" s="6">
        <v>113642.648</v>
      </c>
      <c r="AS144" s="6">
        <v>422370.50400000002</v>
      </c>
      <c r="AT144" s="6">
        <v>8723231.7280000001</v>
      </c>
      <c r="AU144" s="4">
        <v>1.317615650142828</v>
      </c>
      <c r="AW144" s="6">
        <v>2654312.1919999998</v>
      </c>
      <c r="AX144" s="4">
        <v>0.20856551903296236</v>
      </c>
      <c r="AZ144" s="4">
        <v>3.1800799999999998</v>
      </c>
      <c r="BE144" s="4">
        <v>3.1800799999999998</v>
      </c>
      <c r="BF144" s="6">
        <v>2678.8106080900084</v>
      </c>
      <c r="BH144" s="6">
        <v>3186.1759999999999</v>
      </c>
      <c r="BI144" s="6">
        <v>748.79200000000003</v>
      </c>
      <c r="BK144" s="6">
        <v>11173.968000000001</v>
      </c>
      <c r="BN144" s="4">
        <v>4.0640000000000001</v>
      </c>
      <c r="BO144" s="6">
        <v>15113</v>
      </c>
      <c r="BP144" s="4">
        <v>67.854206119804644</v>
      </c>
      <c r="BQ144" s="6">
        <v>17673.055840000001</v>
      </c>
      <c r="BS144" s="2">
        <v>251</v>
      </c>
      <c r="BV144" s="2">
        <v>251</v>
      </c>
      <c r="BW144" s="4">
        <v>2.0079681274900398</v>
      </c>
      <c r="BZ144" s="6">
        <v>8363.7119999999995</v>
      </c>
      <c r="CA144" s="6">
        <v>3114.04</v>
      </c>
      <c r="CD144" s="6">
        <v>546534.848</v>
      </c>
      <c r="CG144" s="6">
        <v>558012.6</v>
      </c>
      <c r="CH144" s="4">
        <v>8</v>
      </c>
      <c r="CK144" s="15">
        <v>107.696</v>
      </c>
      <c r="CR144" s="15">
        <v>107.696</v>
      </c>
      <c r="CS144" s="4">
        <v>5.9055118110236222</v>
      </c>
      <c r="CW144" s="4">
        <v>0.20320000000000002</v>
      </c>
      <c r="CY144" s="4">
        <v>0.20320000000000002</v>
      </c>
      <c r="CZ144" s="17"/>
      <c r="DA144" s="15">
        <v>772</v>
      </c>
      <c r="DB144" s="5">
        <v>0.55880000000000007</v>
      </c>
      <c r="DD144" s="6">
        <v>48479.455999999998</v>
      </c>
      <c r="DE144" s="6">
        <v>161299.144</v>
      </c>
      <c r="DG144" s="6">
        <v>2737.1039999999998</v>
      </c>
      <c r="DK144" s="6">
        <v>212515.704</v>
      </c>
      <c r="DL144" s="5">
        <v>62.505580855433529</v>
      </c>
      <c r="DM144" s="6">
        <v>209842.46575999999</v>
      </c>
      <c r="DP144" s="6">
        <v>117522.75200000001</v>
      </c>
      <c r="DV144" s="6">
        <v>117522.75200000001</v>
      </c>
      <c r="DW144" s="5">
        <v>57.147959639253507</v>
      </c>
      <c r="DX144" s="6">
        <v>117522.75200000001</v>
      </c>
      <c r="DZ144" s="15">
        <v>503.74295999999993</v>
      </c>
      <c r="EA144" s="6">
        <v>676.96461000000011</v>
      </c>
      <c r="EB144" s="15">
        <v>15.519400000000001</v>
      </c>
      <c r="EC144" s="6">
        <v>680.60799999999995</v>
      </c>
      <c r="ED144" s="5">
        <v>10.845799999999999</v>
      </c>
      <c r="EE144" s="5">
        <v>17.448071216617212</v>
      </c>
      <c r="EF144" s="6">
        <v>1905.128841216617</v>
      </c>
      <c r="EG144" s="15">
        <v>298.18987002412842</v>
      </c>
      <c r="EJ144" s="2">
        <v>0.15</v>
      </c>
      <c r="EM144" s="2">
        <v>0.15</v>
      </c>
      <c r="EN144" s="6">
        <f>2*1050/EM144</f>
        <v>14000</v>
      </c>
      <c r="EZ144" s="5">
        <v>65.024000000000001</v>
      </c>
      <c r="FC144" s="6"/>
      <c r="FD144" s="15">
        <v>289.05200000000002</v>
      </c>
      <c r="FF144" s="15">
        <v>354.07600000000002</v>
      </c>
      <c r="FG144" s="5">
        <v>61.709786276715406</v>
      </c>
      <c r="FI144" s="200"/>
      <c r="FJ144" s="6">
        <v>98.552000000000007</v>
      </c>
      <c r="FK144" s="200"/>
      <c r="FL144" s="200"/>
      <c r="FM144" s="5">
        <f t="shared" si="354"/>
        <v>98.552000000000007</v>
      </c>
      <c r="FN144" s="5">
        <v>47.323700000000002</v>
      </c>
      <c r="FS144" s="5">
        <v>70.7136</v>
      </c>
      <c r="FV144" s="5">
        <v>70.7136</v>
      </c>
      <c r="FW144" s="2">
        <f>2*282</f>
        <v>564</v>
      </c>
      <c r="GE144" s="4">
        <v>1.0353272943087402</v>
      </c>
      <c r="GF144" s="4">
        <v>1.8118227650402952</v>
      </c>
      <c r="GK144" s="4">
        <f t="shared" si="355"/>
        <v>2.8471500593490351</v>
      </c>
      <c r="GL144" s="15">
        <v>201.74132197366129</v>
      </c>
      <c r="GO144" s="15">
        <v>228.6</v>
      </c>
      <c r="GQ144" s="15">
        <v>654.30399999999997</v>
      </c>
      <c r="GS144" s="115">
        <v>150000</v>
      </c>
      <c r="GT144" s="6">
        <v>150882.90400000001</v>
      </c>
      <c r="GU144" s="4">
        <v>2.6909035891401194</v>
      </c>
      <c r="GW144" s="5">
        <v>10.4496</v>
      </c>
      <c r="GX144" s="87">
        <v>7.9312464</v>
      </c>
      <c r="GY144" s="86">
        <v>1.3584479999999999E-2</v>
      </c>
      <c r="GZ144" s="87">
        <v>0.12226032000000001</v>
      </c>
      <c r="HA144" s="87">
        <v>0.13584479999999999</v>
      </c>
      <c r="HG144" s="5">
        <v>24.411945000000003</v>
      </c>
      <c r="HH144" s="86">
        <v>7.3235835000000013E-2</v>
      </c>
      <c r="HI144" s="87">
        <v>0.65912251500000008</v>
      </c>
      <c r="HJ144" s="87">
        <v>8.1780015750000015</v>
      </c>
      <c r="HK144" s="84">
        <v>14.183340045000001</v>
      </c>
      <c r="HO144" s="4">
        <v>7.9312464</v>
      </c>
      <c r="HP144" s="17"/>
      <c r="HQ144" s="3">
        <v>8.6820315000000009E-2</v>
      </c>
      <c r="HR144" s="4">
        <v>0.78138283500000005</v>
      </c>
      <c r="HS144" s="4">
        <v>8.1780015750000015</v>
      </c>
      <c r="HT144" s="5">
        <v>14.319184845000001</v>
      </c>
      <c r="IC144" s="4">
        <v>3.8752171844873766</v>
      </c>
      <c r="ID144" s="5">
        <v>14.310508365791485</v>
      </c>
      <c r="II144" s="5">
        <v>17.804019327006039</v>
      </c>
      <c r="IJ144" s="5">
        <v>35.989744877284899</v>
      </c>
      <c r="IK144" s="6">
        <v>1142.9591927850702</v>
      </c>
      <c r="IN144" s="4">
        <v>7.1699120000000001</v>
      </c>
      <c r="IO144" s="4">
        <v>0.2023676928</v>
      </c>
      <c r="IP144" s="4">
        <v>7.3722796928000003</v>
      </c>
      <c r="IQ144" s="6">
        <v>2015.9739647928623</v>
      </c>
      <c r="IT144" s="3">
        <v>8.6358374400000007E-2</v>
      </c>
      <c r="IU144" s="3">
        <f t="shared" si="357"/>
        <v>8.6358374400000007E-2</v>
      </c>
      <c r="IW144" s="15">
        <v>160.83280000000002</v>
      </c>
      <c r="IZ144" s="15">
        <v>160.83280000000002</v>
      </c>
      <c r="JV144" s="2" t="s">
        <v>1276</v>
      </c>
      <c r="MY144" s="3">
        <v>2.5400000000000002E-2</v>
      </c>
      <c r="MZ144" s="15">
        <v>472.44094488188972</v>
      </c>
      <c r="NA144" s="5">
        <v>3.8608000000000007</v>
      </c>
      <c r="NB144" s="6">
        <v>1100.8081226688766</v>
      </c>
      <c r="NC144" s="4">
        <v>1.0363200000000001</v>
      </c>
      <c r="ND144" s="6">
        <v>1044.0790489424114</v>
      </c>
      <c r="NE144" s="4">
        <v>0.21545858659167197</v>
      </c>
      <c r="NF144" s="6">
        <v>1011.7953684210526</v>
      </c>
      <c r="NJ144" s="4">
        <v>5.1379785865916725</v>
      </c>
      <c r="NK144" s="6">
        <v>1082.5268938478791</v>
      </c>
    </row>
    <row r="145" spans="1:375" x14ac:dyDescent="0.25">
      <c r="A145" s="2">
        <v>1933</v>
      </c>
      <c r="B145" s="6">
        <v>2861.1067000000003</v>
      </c>
      <c r="C145" s="15">
        <v>909.73720000000003</v>
      </c>
      <c r="D145" s="6">
        <v>1809.4913000000001</v>
      </c>
      <c r="E145" s="15">
        <v>207.53030000000001</v>
      </c>
      <c r="F145" s="15">
        <v>197.8271</v>
      </c>
      <c r="G145" s="6">
        <v>19817.137699999999</v>
      </c>
      <c r="H145" s="5">
        <v>18.473400000000002</v>
      </c>
      <c r="I145" s="6">
        <v>25821.3037</v>
      </c>
      <c r="J145" s="15">
        <v>493.13389619875608</v>
      </c>
      <c r="K145" s="6">
        <v>24579.160876024416</v>
      </c>
      <c r="M145" s="6">
        <v>69937.804400000008</v>
      </c>
      <c r="N145" s="6">
        <v>255681.52810000003</v>
      </c>
      <c r="O145" s="5">
        <v>75.728499999999997</v>
      </c>
      <c r="P145" s="6">
        <v>15218.163</v>
      </c>
      <c r="R145" s="6">
        <v>2037.9829999999999</v>
      </c>
      <c r="T145" s="6">
        <v>342951.20699999999</v>
      </c>
      <c r="U145" s="4">
        <v>5.2464707731069975</v>
      </c>
      <c r="V145" s="6">
        <v>316315.651808</v>
      </c>
      <c r="Z145" s="15">
        <v>680.72</v>
      </c>
      <c r="AC145" s="15">
        <f t="shared" si="358"/>
        <v>680.72</v>
      </c>
      <c r="AE145" s="4">
        <v>2</v>
      </c>
      <c r="AN145" s="6">
        <v>889576.07200000004</v>
      </c>
      <c r="AO145" s="6">
        <v>7232331.9920000006</v>
      </c>
      <c r="AP145" s="6">
        <v>531368</v>
      </c>
      <c r="AQ145" s="6">
        <v>118438.16800000001</v>
      </c>
      <c r="AS145" s="6">
        <v>465733.38400000002</v>
      </c>
      <c r="AT145" s="6">
        <v>9237447.6159999985</v>
      </c>
      <c r="AU145" s="4">
        <v>1.2497221331205282</v>
      </c>
      <c r="AW145" s="6">
        <v>2621340.96</v>
      </c>
      <c r="AX145" s="4">
        <v>0.20703907209384925</v>
      </c>
      <c r="AZ145" s="5">
        <v>10.556240000000001</v>
      </c>
      <c r="BE145" s="5">
        <v>10.556240000000001</v>
      </c>
      <c r="BF145" s="6">
        <v>2276.9890168765069</v>
      </c>
      <c r="BH145" s="6">
        <v>2988.056</v>
      </c>
      <c r="BI145" s="6">
        <v>1145.0319999999999</v>
      </c>
      <c r="BK145" s="6">
        <v>10910.824000000001</v>
      </c>
      <c r="BL145" s="5">
        <v>73.152000000000001</v>
      </c>
      <c r="BO145" s="6">
        <v>15117.064</v>
      </c>
      <c r="BP145" s="4">
        <v>74.655372398563486</v>
      </c>
      <c r="BQ145" s="6">
        <v>17363.335420000003</v>
      </c>
      <c r="BS145" s="2">
        <v>123</v>
      </c>
      <c r="BV145" s="2">
        <v>123</v>
      </c>
      <c r="BW145" s="4">
        <v>2</v>
      </c>
      <c r="BZ145" s="6">
        <v>8689.848</v>
      </c>
      <c r="CA145" s="6">
        <v>5453.8879999999999</v>
      </c>
      <c r="CD145" s="6">
        <v>732723.96</v>
      </c>
      <c r="CG145" s="6">
        <v>746867.696</v>
      </c>
      <c r="CH145" s="4">
        <v>8</v>
      </c>
      <c r="CK145" s="15">
        <v>131.06399999999999</v>
      </c>
      <c r="CN145" s="5">
        <v>20.32</v>
      </c>
      <c r="CR145" s="15">
        <v>151.38399999999999</v>
      </c>
      <c r="CS145" s="4">
        <v>5.9055118110236222</v>
      </c>
      <c r="CW145" s="4">
        <v>0.55880000000000007</v>
      </c>
      <c r="CY145" s="4">
        <v>0.55880000000000007</v>
      </c>
      <c r="CZ145" s="17"/>
      <c r="DA145" s="15">
        <v>772</v>
      </c>
      <c r="DB145" s="15">
        <v>8.7884000000000011</v>
      </c>
      <c r="DD145" s="6">
        <v>45872.4</v>
      </c>
      <c r="DE145" s="6">
        <v>175794.416</v>
      </c>
      <c r="DG145" s="6">
        <v>2686.3040000000001</v>
      </c>
      <c r="DI145" s="4">
        <v>2.032</v>
      </c>
      <c r="DJ145" s="5">
        <v>12.192</v>
      </c>
      <c r="DK145" s="6">
        <v>224367.34400000001</v>
      </c>
      <c r="DL145" s="5">
        <v>75.899633895883568</v>
      </c>
      <c r="DM145" s="6">
        <v>222746.84432</v>
      </c>
      <c r="DP145" s="6">
        <v>125682.24800000001</v>
      </c>
      <c r="DV145" s="6">
        <v>125682.24800000001</v>
      </c>
      <c r="DW145" s="5">
        <v>79.471381373336911</v>
      </c>
      <c r="DX145" s="6">
        <v>125682.24800000001</v>
      </c>
      <c r="DZ145" s="15">
        <v>608.50272000000007</v>
      </c>
      <c r="EA145" s="6">
        <v>1056.0812000000001</v>
      </c>
      <c r="EB145" s="15">
        <v>6.4389000000000003</v>
      </c>
      <c r="EC145" s="6">
        <v>917.25599999999997</v>
      </c>
      <c r="ED145" s="5">
        <v>4.2956479999999999</v>
      </c>
      <c r="EE145" s="5">
        <v>47.359050445103819</v>
      </c>
      <c r="EF145" s="6">
        <v>2639.9335184451038</v>
      </c>
      <c r="EG145" s="15">
        <v>378.51469006902767</v>
      </c>
      <c r="EY145" s="4">
        <v>0.50800000000000001</v>
      </c>
      <c r="EZ145" s="2">
        <v>50.8</v>
      </c>
      <c r="FC145" s="6"/>
      <c r="FD145" s="6">
        <v>1021.08</v>
      </c>
      <c r="FF145" s="6">
        <v>1072.3880000000001</v>
      </c>
      <c r="FG145" s="5">
        <v>75.58376323649199</v>
      </c>
      <c r="FI145" s="200"/>
      <c r="FJ145" s="6">
        <v>905.25599999999997</v>
      </c>
      <c r="FK145" s="200"/>
      <c r="FL145" s="200"/>
      <c r="FM145" s="15">
        <f t="shared" si="354"/>
        <v>905.25599999999997</v>
      </c>
      <c r="FN145" s="5">
        <v>35.716000000000001</v>
      </c>
      <c r="FQ145" s="5">
        <v>30.48</v>
      </c>
      <c r="FS145" s="4">
        <v>4.2671999999999999</v>
      </c>
      <c r="FV145" s="5">
        <v>34.747199999999999</v>
      </c>
      <c r="FW145" s="2">
        <f>2*497</f>
        <v>994</v>
      </c>
      <c r="GE145" s="4">
        <v>2.5365518710564134</v>
      </c>
      <c r="GF145" s="4">
        <v>2.8471500593490346</v>
      </c>
      <c r="GK145" s="4">
        <f t="shared" si="355"/>
        <v>5.3837019304054481</v>
      </c>
      <c r="GL145" s="15">
        <v>221.56636665624862</v>
      </c>
      <c r="GO145" s="15">
        <v>71.12</v>
      </c>
      <c r="GQ145" s="15">
        <v>26.416</v>
      </c>
      <c r="GS145" s="115">
        <v>150000</v>
      </c>
      <c r="GT145" s="6">
        <v>150097.53599999999</v>
      </c>
      <c r="GU145" s="4">
        <v>2.782961646985056</v>
      </c>
      <c r="GW145" s="4">
        <v>3.5143</v>
      </c>
      <c r="GX145" s="87">
        <v>2.6673537</v>
      </c>
      <c r="GY145" s="85">
        <v>4.56859E-3</v>
      </c>
      <c r="GZ145" s="86">
        <v>4.1117310000000004E-2</v>
      </c>
      <c r="HA145" s="86">
        <v>4.5685899999999995E-2</v>
      </c>
      <c r="HG145" s="5">
        <v>17.0428</v>
      </c>
      <c r="HH145" s="86">
        <v>5.1128399999999997E-2</v>
      </c>
      <c r="HI145" s="87">
        <v>0.4601556</v>
      </c>
      <c r="HJ145" s="87">
        <v>5.7093380000000007</v>
      </c>
      <c r="HK145" s="87">
        <v>9.9018667999999987</v>
      </c>
      <c r="HO145" s="4">
        <v>2.6673537</v>
      </c>
      <c r="HP145" s="17"/>
      <c r="HQ145" s="3">
        <v>5.5696989999999995E-2</v>
      </c>
      <c r="HR145" s="4">
        <v>0.50127290999999996</v>
      </c>
      <c r="HS145" s="4">
        <v>5.7093380000000007</v>
      </c>
      <c r="HT145" s="4">
        <v>9.9475526999999992</v>
      </c>
      <c r="IC145" s="4">
        <v>6.8078139727480957</v>
      </c>
      <c r="ID145" s="4">
        <v>0.14602559556930084</v>
      </c>
      <c r="IF145" s="5">
        <v>60.746647756829162</v>
      </c>
      <c r="IJ145" s="5">
        <v>67.700487325146554</v>
      </c>
      <c r="IK145" s="6">
        <v>1187.6060362532371</v>
      </c>
      <c r="IN145" s="4">
        <v>5.7359296000000004</v>
      </c>
      <c r="IP145" s="4">
        <v>5.7359296000000004</v>
      </c>
      <c r="IQ145" s="6">
        <v>2037.3805437781816</v>
      </c>
      <c r="IW145" s="15">
        <v>162.06216000000001</v>
      </c>
      <c r="IZ145" s="15">
        <v>162.06216000000001</v>
      </c>
      <c r="JN145" s="15">
        <v>558.79999999999995</v>
      </c>
      <c r="JV145" s="15">
        <v>558.79999999999995</v>
      </c>
      <c r="NA145" s="4">
        <v>0.20320000000000002</v>
      </c>
      <c r="NB145" s="15">
        <v>984.25196850393695</v>
      </c>
      <c r="NC145" s="4">
        <v>1.3411200000000001</v>
      </c>
      <c r="ND145" s="6">
        <v>1051.3600572655689</v>
      </c>
      <c r="NE145" s="4">
        <v>0.34201215640025401</v>
      </c>
      <c r="NF145" s="15">
        <v>877.16180371352789</v>
      </c>
      <c r="NJ145" s="4">
        <v>1.8863321564002542</v>
      </c>
      <c r="NK145" s="6">
        <v>1012.547018042099</v>
      </c>
    </row>
    <row r="146" spans="1:375" x14ac:dyDescent="0.25">
      <c r="A146" s="2">
        <v>1934</v>
      </c>
      <c r="B146" s="6">
        <v>3591.1480999999999</v>
      </c>
      <c r="C146" s="6">
        <v>1123.4253000000001</v>
      </c>
      <c r="D146" s="6">
        <v>2183.0956000000001</v>
      </c>
      <c r="E146" s="15">
        <v>174.8442</v>
      </c>
      <c r="F146" s="15">
        <v>213.65700000000001</v>
      </c>
      <c r="G146" s="6">
        <v>20256.611800000002</v>
      </c>
      <c r="H146" s="5">
        <v>30.757900000000003</v>
      </c>
      <c r="I146" s="6">
        <v>27573.539900000003</v>
      </c>
      <c r="J146" s="15">
        <v>540.54599164288402</v>
      </c>
      <c r="K146" s="6">
        <v>25343.927839316657</v>
      </c>
      <c r="M146" s="6">
        <v>70272.751400000008</v>
      </c>
      <c r="N146" s="6">
        <v>255253.872</v>
      </c>
      <c r="O146" s="5">
        <v>96.596600000000009</v>
      </c>
      <c r="P146" s="6">
        <v>8853.7657000000017</v>
      </c>
      <c r="R146" s="6">
        <v>1423.2915</v>
      </c>
      <c r="T146" s="6">
        <v>335900.27720000001</v>
      </c>
      <c r="U146" s="4">
        <v>6.1395170099471787</v>
      </c>
      <c r="V146" s="6">
        <v>331706.00400100002</v>
      </c>
      <c r="Y146" s="15">
        <v>160.52799999999999</v>
      </c>
      <c r="Z146" s="15">
        <v>970.28</v>
      </c>
      <c r="AC146" s="6">
        <f t="shared" si="358"/>
        <v>1130.808</v>
      </c>
      <c r="AE146" s="4">
        <v>2</v>
      </c>
      <c r="AN146" s="6">
        <v>971862.92799999996</v>
      </c>
      <c r="AO146" s="6">
        <v>7999150.8799999999</v>
      </c>
      <c r="AP146" s="6">
        <v>362669.32799999998</v>
      </c>
      <c r="AQ146" s="6">
        <v>115451.128</v>
      </c>
      <c r="AS146" s="6">
        <v>508348.48800000001</v>
      </c>
      <c r="AT146" s="6">
        <v>9957482.7520000003</v>
      </c>
      <c r="AU146" s="4">
        <v>1.1905722771862868</v>
      </c>
      <c r="AW146" s="6">
        <v>2659414.5440000002</v>
      </c>
      <c r="AX146" s="4">
        <v>0.19868433117811812</v>
      </c>
      <c r="AZ146" s="4">
        <v>8.2295999999999996</v>
      </c>
      <c r="BE146" s="4">
        <v>8.2295999999999996</v>
      </c>
      <c r="BF146" s="6">
        <v>2098.40164300384</v>
      </c>
      <c r="BH146" s="6">
        <v>2952.4960000000001</v>
      </c>
      <c r="BI146" s="6">
        <v>1220.2160000000001</v>
      </c>
      <c r="BK146" s="6">
        <v>8339.3279999999995</v>
      </c>
      <c r="BL146" s="15">
        <v>210.31200000000001</v>
      </c>
      <c r="BO146" s="6">
        <v>12721.335999999999</v>
      </c>
      <c r="BP146" s="4">
        <v>64.34499741586356</v>
      </c>
      <c r="BQ146" s="6">
        <v>14615.498159999999</v>
      </c>
      <c r="BS146" s="2">
        <v>49</v>
      </c>
      <c r="BV146" s="2">
        <v>49</v>
      </c>
      <c r="BW146" s="4">
        <v>2.1224489795918369</v>
      </c>
      <c r="BZ146" s="6">
        <v>3281.68</v>
      </c>
      <c r="CA146" s="6">
        <v>4280.4080000000004</v>
      </c>
      <c r="CD146" s="6">
        <v>1264142.76</v>
      </c>
      <c r="CG146" s="6">
        <v>1271704.848</v>
      </c>
      <c r="CH146" s="4">
        <v>8</v>
      </c>
      <c r="CK146" s="15">
        <v>104.648</v>
      </c>
      <c r="CN146" s="2">
        <v>2.032</v>
      </c>
      <c r="CR146" s="15">
        <v>106.67999999999999</v>
      </c>
      <c r="CS146" s="4">
        <v>6.643700787401575</v>
      </c>
      <c r="CW146" s="4">
        <v>8.7884000000000011</v>
      </c>
      <c r="CY146" s="4">
        <v>8.7884000000000011</v>
      </c>
      <c r="CZ146" s="17"/>
      <c r="DA146" s="15">
        <v>772</v>
      </c>
      <c r="DD146" s="6">
        <v>43141.392</v>
      </c>
      <c r="DE146" s="6">
        <v>187181.74400000001</v>
      </c>
      <c r="DG146" s="6">
        <v>1531.1120000000001</v>
      </c>
      <c r="DI146" s="4">
        <v>3.048</v>
      </c>
      <c r="DJ146" s="4">
        <v>1.016</v>
      </c>
      <c r="DK146" s="6">
        <v>231858.31200000001</v>
      </c>
      <c r="DL146" s="5">
        <v>75.899633895883568</v>
      </c>
      <c r="DM146" s="6">
        <v>230312.43244</v>
      </c>
      <c r="DP146" s="6">
        <v>138948.16</v>
      </c>
      <c r="DV146" s="6">
        <v>138948.16</v>
      </c>
      <c r="DW146" s="5">
        <v>82.150191981426914</v>
      </c>
      <c r="DX146" s="6">
        <v>139049.76</v>
      </c>
      <c r="DZ146" s="15">
        <v>751.02719999999999</v>
      </c>
      <c r="EA146" s="6">
        <v>1115.34067</v>
      </c>
      <c r="EB146" s="15">
        <v>14.858999999999998</v>
      </c>
      <c r="EC146" s="6">
        <v>887.57599999999991</v>
      </c>
      <c r="ED146" s="5">
        <v>9.2598240000000001</v>
      </c>
      <c r="EE146" s="5">
        <v>28.249258160237385</v>
      </c>
      <c r="EF146" s="6">
        <v>2806.3119521602375</v>
      </c>
      <c r="EG146" s="15">
        <v>547.85852150160622</v>
      </c>
      <c r="EZ146" s="4">
        <v>9.1440000000000001</v>
      </c>
      <c r="FC146" s="6"/>
      <c r="FD146" s="15">
        <v>669.54399999999998</v>
      </c>
      <c r="FF146" s="15">
        <v>678.68799999999999</v>
      </c>
      <c r="FG146" s="5">
        <v>82.48968878890139</v>
      </c>
      <c r="FI146" s="200"/>
      <c r="FJ146" s="6">
        <v>1743.4560000000001</v>
      </c>
      <c r="FK146" s="200"/>
      <c r="FL146" s="200"/>
      <c r="FM146" s="15">
        <f t="shared" si="354"/>
        <v>1743.4560000000001</v>
      </c>
      <c r="FN146" s="5">
        <v>34.823100000000004</v>
      </c>
      <c r="FS146" s="5">
        <v>49.174399999999999</v>
      </c>
      <c r="FV146" s="5">
        <v>49.174399999999999</v>
      </c>
      <c r="FW146" s="2">
        <f>2*410</f>
        <v>820</v>
      </c>
      <c r="FY146" s="4">
        <v>0.354018875502008</v>
      </c>
      <c r="GB146" s="4">
        <v>0.354018875502008</v>
      </c>
      <c r="GE146" s="4">
        <v>0.62119637658524407</v>
      </c>
      <c r="GF146" s="4">
        <v>1.6824068532517025</v>
      </c>
      <c r="GK146" s="4">
        <f t="shared" si="355"/>
        <v>2.3036032298369467</v>
      </c>
      <c r="GL146" s="15">
        <v>173.74618660362742</v>
      </c>
      <c r="GO146" s="15">
        <v>210.31200000000001</v>
      </c>
      <c r="GS146" s="115">
        <v>150000</v>
      </c>
      <c r="GT146" s="6">
        <v>150210.31200000001</v>
      </c>
      <c r="GU146" s="4">
        <v>2.8908691804427047</v>
      </c>
      <c r="GW146" s="4">
        <v>5.5979999999999999</v>
      </c>
      <c r="GX146" s="87">
        <v>4.248882</v>
      </c>
      <c r="GY146" s="85">
        <v>7.2773999999999998E-3</v>
      </c>
      <c r="GZ146" s="86">
        <v>6.5496600000000002E-2</v>
      </c>
      <c r="HA146" s="86">
        <v>7.2773999999999991E-2</v>
      </c>
      <c r="HG146" s="5">
        <v>15.167470000000002</v>
      </c>
      <c r="HH146" s="86">
        <v>4.5502410000000007E-2</v>
      </c>
      <c r="HI146" s="87">
        <v>0.40952169000000005</v>
      </c>
      <c r="HJ146" s="87">
        <v>5.0811024500000013</v>
      </c>
      <c r="HK146" s="87">
        <v>8.8123000700000009</v>
      </c>
      <c r="HO146" s="4">
        <v>4.248882</v>
      </c>
      <c r="HP146" s="17"/>
      <c r="HQ146" s="3">
        <v>5.277981000000001E-2</v>
      </c>
      <c r="HR146" s="4">
        <v>0.47501829000000007</v>
      </c>
      <c r="HS146" s="4">
        <v>5.0811024500000013</v>
      </c>
      <c r="HT146" s="4">
        <v>8.8850740700000017</v>
      </c>
      <c r="IC146" s="5">
        <v>19.376085922436886</v>
      </c>
      <c r="ID146" s="5">
        <v>30.886931145589365</v>
      </c>
      <c r="IF146" s="15">
        <v>113.42684161441014</v>
      </c>
      <c r="II146" s="5">
        <v>20.945905090595339</v>
      </c>
      <c r="IJ146" s="15">
        <v>184.63576377303173</v>
      </c>
      <c r="IK146" s="6">
        <v>1812.6618448075724</v>
      </c>
      <c r="IN146" s="4">
        <v>6.4529208000000002</v>
      </c>
      <c r="IO146" s="4">
        <v>0.1011838464</v>
      </c>
      <c r="IP146" s="4">
        <v>6.5541046463999999</v>
      </c>
      <c r="IQ146" s="6">
        <v>2495.3478037467539</v>
      </c>
      <c r="IT146" s="3">
        <v>4.3179187200000003E-2</v>
      </c>
      <c r="IU146" s="3">
        <f t="shared" si="357"/>
        <v>4.3179187200000003E-2</v>
      </c>
      <c r="IW146" s="15">
        <v>175.35022079999999</v>
      </c>
      <c r="IZ146" s="15">
        <v>175.35022079999999</v>
      </c>
      <c r="LO146" s="15">
        <v>32.385000000000005</v>
      </c>
      <c r="LQ146" s="5">
        <v>29.087540528022227</v>
      </c>
      <c r="MC146" s="15">
        <v>32.385000000000005</v>
      </c>
      <c r="MY146" s="5">
        <v>6.0198</v>
      </c>
      <c r="MZ146" s="15">
        <v>663.14495498189308</v>
      </c>
      <c r="NA146" s="4">
        <v>0.55880000000000007</v>
      </c>
      <c r="NB146" s="6">
        <v>1725.1252684323549</v>
      </c>
      <c r="NE146" s="4">
        <v>0.24857116937312893</v>
      </c>
      <c r="NF146" s="15">
        <v>691.95474452554743</v>
      </c>
      <c r="NJ146" s="4">
        <v>6.8271711693731287</v>
      </c>
      <c r="NK146" s="15">
        <v>751.11636617583929</v>
      </c>
    </row>
    <row r="147" spans="1:375" x14ac:dyDescent="0.25">
      <c r="A147" s="2">
        <v>1935</v>
      </c>
      <c r="B147" s="6">
        <v>3202.989</v>
      </c>
      <c r="C147" s="6">
        <v>1558.1722000000002</v>
      </c>
      <c r="D147" s="6">
        <v>2724.6399000000001</v>
      </c>
      <c r="E147" s="15">
        <v>259.46730000000002</v>
      </c>
      <c r="F147" s="15">
        <v>228.05630000000002</v>
      </c>
      <c r="G147" s="6">
        <v>20185.423900000002</v>
      </c>
      <c r="H147" s="15">
        <v>157.55260000000001</v>
      </c>
      <c r="I147" s="6">
        <v>28316.301200000002</v>
      </c>
      <c r="J147" s="15">
        <v>564.97681074856723</v>
      </c>
      <c r="K147" s="6">
        <v>26420.245352500013</v>
      </c>
      <c r="M147" s="6">
        <v>74925.031499999997</v>
      </c>
      <c r="N147" s="6">
        <v>282759.52060000005</v>
      </c>
      <c r="O147" s="15">
        <v>122.78280000000001</v>
      </c>
      <c r="P147" s="6">
        <v>10073.321099999999</v>
      </c>
      <c r="R147" s="6">
        <v>1572.4782000000002</v>
      </c>
      <c r="T147" s="6">
        <v>369453.13419999997</v>
      </c>
      <c r="U147" s="4">
        <v>8.3852118775544007</v>
      </c>
      <c r="V147" s="6">
        <v>339670.453072</v>
      </c>
      <c r="Y147" s="15">
        <v>110.744</v>
      </c>
      <c r="Z147" s="6">
        <v>1063.752</v>
      </c>
      <c r="AC147" s="6">
        <f t="shared" si="358"/>
        <v>1174.4959999999999</v>
      </c>
      <c r="AE147" s="4">
        <v>2.4561150039731272</v>
      </c>
      <c r="AN147" s="6">
        <v>1068809.648</v>
      </c>
      <c r="AO147" s="6">
        <v>8837756.2640000004</v>
      </c>
      <c r="AP147" s="6">
        <v>484118.92</v>
      </c>
      <c r="AQ147" s="6">
        <v>125693.424</v>
      </c>
      <c r="AS147" s="6">
        <v>545783.00800000003</v>
      </c>
      <c r="AT147" s="6">
        <v>11062161.264</v>
      </c>
      <c r="AU147" s="4">
        <v>1.1721121893614974</v>
      </c>
      <c r="AW147" s="6">
        <v>2257059.2400000002</v>
      </c>
      <c r="AX147" s="4">
        <v>0.28128991421598659</v>
      </c>
      <c r="BH147" s="6">
        <v>2946.4</v>
      </c>
      <c r="BI147" s="6">
        <v>1119.6320000000001</v>
      </c>
      <c r="BK147" s="6">
        <v>13244.576000000001</v>
      </c>
      <c r="BL147" s="15">
        <v>260.096</v>
      </c>
      <c r="BO147" s="6">
        <v>17570.704000000002</v>
      </c>
      <c r="BP147" s="4">
        <v>69.152899403929652</v>
      </c>
      <c r="BQ147" s="6">
        <v>19957.675896000001</v>
      </c>
      <c r="BV147" s="15"/>
      <c r="BZ147" s="6">
        <v>1136.904</v>
      </c>
      <c r="CA147" s="6">
        <v>12262.103999999999</v>
      </c>
      <c r="CD147" s="6">
        <v>1898618.504</v>
      </c>
      <c r="CG147" s="6">
        <v>1912017.5119999999</v>
      </c>
      <c r="CH147" s="4">
        <v>7.8740157480314963</v>
      </c>
      <c r="CK147" s="15">
        <v>150.36799999999999</v>
      </c>
      <c r="CR147" s="15">
        <v>150.36799999999999</v>
      </c>
      <c r="CS147" s="4">
        <v>5.9239090440797701</v>
      </c>
      <c r="DA147" s="15">
        <v>772</v>
      </c>
      <c r="DD147" s="6">
        <v>33481.264000000003</v>
      </c>
      <c r="DE147" s="6">
        <v>189677.04</v>
      </c>
      <c r="DG147" s="6">
        <v>1511.808</v>
      </c>
      <c r="DK147" s="6">
        <v>224670.11199999999</v>
      </c>
      <c r="DL147" s="5">
        <v>80.36431824270025</v>
      </c>
      <c r="DM147" s="6">
        <v>223108.06280000001</v>
      </c>
      <c r="DO147" s="6">
        <v>4481.576</v>
      </c>
      <c r="DP147" s="6">
        <v>143959.07200000001</v>
      </c>
      <c r="DV147" s="6">
        <v>148440.64800000002</v>
      </c>
      <c r="DW147" s="5">
        <v>85.721939458880271</v>
      </c>
      <c r="DX147" s="6">
        <v>148440.64800000002</v>
      </c>
      <c r="DZ147" s="15">
        <v>845.61680000000013</v>
      </c>
      <c r="EA147" s="6">
        <v>1015.48184</v>
      </c>
      <c r="EB147" s="15">
        <v>13.208</v>
      </c>
      <c r="EC147" s="6">
        <v>1306.08</v>
      </c>
      <c r="ED147" s="5">
        <v>13.029184000000003</v>
      </c>
      <c r="EE147" s="5">
        <v>20.771513353115729</v>
      </c>
      <c r="EF147" s="6">
        <v>3214.1873373531157</v>
      </c>
      <c r="EG147" s="15">
        <v>517.07353870912118</v>
      </c>
      <c r="EZ147" s="2">
        <v>25.4</v>
      </c>
      <c r="FA147" s="2">
        <v>5.08</v>
      </c>
      <c r="FC147" s="6"/>
      <c r="FD147" s="15">
        <v>733.80600000000004</v>
      </c>
      <c r="FF147" s="15">
        <v>764.28600000000006</v>
      </c>
      <c r="FG147" s="5">
        <v>31.335368793186568</v>
      </c>
      <c r="FI147" s="200"/>
      <c r="FJ147" s="6">
        <v>590.29600000000005</v>
      </c>
      <c r="FK147" s="200"/>
      <c r="FL147" s="200"/>
      <c r="FM147" s="15">
        <f t="shared" si="354"/>
        <v>590.29600000000005</v>
      </c>
      <c r="FN147" s="5">
        <v>40.180500000000002</v>
      </c>
      <c r="FP147" s="5">
        <v>14.224</v>
      </c>
      <c r="FQ147" s="5">
        <v>30.48</v>
      </c>
      <c r="FV147" s="5">
        <v>44.704000000000001</v>
      </c>
      <c r="FW147" s="2">
        <f>2*385</f>
        <v>770</v>
      </c>
      <c r="GE147" s="4">
        <v>5.4872346598363224</v>
      </c>
      <c r="GK147" s="4">
        <f t="shared" si="355"/>
        <v>5.4872346598363224</v>
      </c>
      <c r="GL147" s="15">
        <v>149.19257919394516</v>
      </c>
      <c r="GO147" s="15">
        <v>238.76</v>
      </c>
      <c r="GS147" s="115">
        <v>150000</v>
      </c>
      <c r="GT147" s="6">
        <v>150238.76</v>
      </c>
      <c r="GU147" s="4">
        <v>2.7083169741382465</v>
      </c>
      <c r="GW147" s="4">
        <v>3.0478000000000001</v>
      </c>
      <c r="GX147" s="87">
        <v>2.3132801999999999</v>
      </c>
      <c r="GY147" s="85">
        <v>3.9621400000000003E-3</v>
      </c>
      <c r="GZ147" s="86">
        <v>3.5659260000000005E-2</v>
      </c>
      <c r="HA147" s="86">
        <v>3.9621400000000001E-2</v>
      </c>
      <c r="HG147" s="4">
        <v>7.3085000000000004</v>
      </c>
      <c r="HH147" s="86">
        <v>2.1925500000000001E-2</v>
      </c>
      <c r="HI147" s="87">
        <v>0.19732950000000002</v>
      </c>
      <c r="HJ147" s="87">
        <v>2.4483475000000001</v>
      </c>
      <c r="HK147" s="87">
        <v>4.2462384999999996</v>
      </c>
      <c r="HO147" s="4">
        <v>2.3132801999999999</v>
      </c>
      <c r="HP147" s="17"/>
      <c r="HQ147" s="3">
        <v>2.588764E-2</v>
      </c>
      <c r="HR147" s="4">
        <v>0.23298876000000002</v>
      </c>
      <c r="HS147" s="4">
        <v>2.4483475000000001</v>
      </c>
      <c r="HT147" s="4">
        <v>4.2858598999999993</v>
      </c>
      <c r="IC147" s="5">
        <v>13.144317747382861</v>
      </c>
      <c r="ID147" s="5">
        <v>34.356297881701373</v>
      </c>
      <c r="IF147" s="15">
        <v>135.51175268831119</v>
      </c>
      <c r="II147" s="5">
        <v>48.332675996548744</v>
      </c>
      <c r="IJ147" s="15">
        <v>231.34504431394419</v>
      </c>
      <c r="IK147" s="6">
        <v>1660.8625770158051</v>
      </c>
      <c r="IN147" s="4">
        <v>5.7359296000000004</v>
      </c>
      <c r="IO147" s="4">
        <v>0.28491240960000003</v>
      </c>
      <c r="IP147" s="4">
        <v>6.0208420096000008</v>
      </c>
      <c r="IQ147" s="6">
        <v>4487.8705065712938</v>
      </c>
      <c r="IT147" s="4">
        <v>0.12158350080000001</v>
      </c>
      <c r="IU147" s="4">
        <f t="shared" si="357"/>
        <v>0.12158350080000001</v>
      </c>
      <c r="IW147" s="15">
        <v>222.09841280000001</v>
      </c>
      <c r="IZ147" s="15">
        <v>222.09841280000001</v>
      </c>
      <c r="LO147" s="6">
        <v>2042.6680000000001</v>
      </c>
      <c r="LQ147" s="5">
        <v>12.425905727215582</v>
      </c>
      <c r="MC147" s="6">
        <v>2042.6680000000001</v>
      </c>
      <c r="MY147" s="5">
        <v>9.3471999999999991</v>
      </c>
      <c r="MZ147" s="15">
        <v>817.25008558712773</v>
      </c>
      <c r="NA147" s="4">
        <v>0.96520000000000017</v>
      </c>
      <c r="NB147" s="15">
        <v>590.55118110236208</v>
      </c>
      <c r="NC147" s="4">
        <v>0.33324800000000004</v>
      </c>
      <c r="ND147" s="15">
        <v>876.22431342423647</v>
      </c>
      <c r="NJ147" s="5">
        <v>10.645647999999998</v>
      </c>
      <c r="NK147" s="15">
        <v>798.54227755792806</v>
      </c>
    </row>
    <row r="148" spans="1:375" x14ac:dyDescent="0.25">
      <c r="A148" s="2">
        <v>1936</v>
      </c>
      <c r="B148" s="6">
        <v>3768.5114000000003</v>
      </c>
      <c r="C148" s="6">
        <v>1888.9829000000002</v>
      </c>
      <c r="D148" s="6">
        <v>3657.2356</v>
      </c>
      <c r="E148" s="15">
        <v>547.36</v>
      </c>
      <c r="F148" s="15">
        <v>238.87909999999999</v>
      </c>
      <c r="G148" s="6">
        <v>26317.068800000001</v>
      </c>
      <c r="H148" s="15">
        <v>272.2183</v>
      </c>
      <c r="I148" s="6">
        <v>36690.256100000006</v>
      </c>
      <c r="J148" s="15">
        <v>560.36186141381052</v>
      </c>
      <c r="K148" s="6">
        <v>34333.111285351391</v>
      </c>
      <c r="M148" s="6">
        <v>95912.648799999995</v>
      </c>
      <c r="N148" s="6">
        <v>266147.67330000002</v>
      </c>
      <c r="O148" s="15">
        <v>247.68040000000002</v>
      </c>
      <c r="P148" s="6">
        <v>28190.843800000002</v>
      </c>
      <c r="Q148" s="5">
        <v>48.515999999999998</v>
      </c>
      <c r="R148" s="6">
        <v>2388.5733000000005</v>
      </c>
      <c r="T148" s="6">
        <v>392935.93560000003</v>
      </c>
      <c r="U148" s="4">
        <v>5.8019307498606212</v>
      </c>
      <c r="V148" s="6">
        <v>367905.29964000004</v>
      </c>
      <c r="Z148" s="15">
        <v>751.84</v>
      </c>
      <c r="AC148" s="15">
        <f t="shared" si="358"/>
        <v>751.84</v>
      </c>
      <c r="AE148" s="4">
        <v>1.4741940995544043</v>
      </c>
      <c r="AN148" s="6">
        <v>1063629.064</v>
      </c>
      <c r="AO148" s="6">
        <v>9346657.4560000002</v>
      </c>
      <c r="AP148" s="6">
        <v>433552.6</v>
      </c>
      <c r="AQ148" s="6">
        <v>134380.22399999999</v>
      </c>
      <c r="AS148" s="6">
        <v>574116.19999999995</v>
      </c>
      <c r="AT148" s="6">
        <v>11552335.543999998</v>
      </c>
      <c r="AU148" s="4">
        <v>1.1561138055524181</v>
      </c>
      <c r="AW148" s="6">
        <v>3093615.352</v>
      </c>
      <c r="AX148" s="4">
        <v>0.20940806347537158</v>
      </c>
      <c r="BH148" s="6">
        <v>3889.248</v>
      </c>
      <c r="BI148" s="6">
        <v>2105.152</v>
      </c>
      <c r="BK148" s="6">
        <v>13248.64</v>
      </c>
      <c r="BL148" s="15">
        <v>457.2</v>
      </c>
      <c r="BN148" s="5">
        <v>49.783999999999999</v>
      </c>
      <c r="BO148" s="6">
        <v>19750.024000000001</v>
      </c>
      <c r="BP148" s="4">
        <v>76.972374993548229</v>
      </c>
      <c r="BQ148" s="6">
        <v>19209.9772232</v>
      </c>
      <c r="BS148" s="2">
        <v>650</v>
      </c>
      <c r="BV148" s="15">
        <v>650</v>
      </c>
      <c r="BW148" s="4">
        <v>2</v>
      </c>
      <c r="BZ148" s="6">
        <v>2337.8160000000003</v>
      </c>
      <c r="CA148" s="6">
        <v>3495.04</v>
      </c>
      <c r="CD148" s="6">
        <v>1917494.7679999999</v>
      </c>
      <c r="CG148" s="6">
        <v>1923327.6239999998</v>
      </c>
      <c r="CH148" s="4">
        <v>7.5</v>
      </c>
      <c r="CK148" s="5">
        <v>73.152000000000001</v>
      </c>
      <c r="CR148" s="5">
        <v>73.152000000000001</v>
      </c>
      <c r="CS148" s="4">
        <v>6.6820775843386553</v>
      </c>
      <c r="DA148" s="15">
        <v>772</v>
      </c>
      <c r="DD148" s="6">
        <v>36335.207999999999</v>
      </c>
      <c r="DE148" s="6">
        <v>189140.592</v>
      </c>
      <c r="DG148" s="6">
        <v>7684.0079999999998</v>
      </c>
      <c r="DH148" s="4">
        <v>6.0960000000000001</v>
      </c>
      <c r="DI148" s="15">
        <v>122.93600000000001</v>
      </c>
      <c r="DK148" s="6">
        <v>233288.83999999997</v>
      </c>
      <c r="DL148" s="5">
        <v>92.865434413786957</v>
      </c>
      <c r="DM148" s="6">
        <v>230370.77919199999</v>
      </c>
      <c r="DO148" s="6">
        <v>30930.088</v>
      </c>
      <c r="DP148" s="6">
        <v>143426.68799999999</v>
      </c>
      <c r="DR148" s="6">
        <v>19069.304</v>
      </c>
      <c r="DV148" s="6">
        <v>193426.08</v>
      </c>
      <c r="DW148" s="5">
        <v>96.4371818912403</v>
      </c>
      <c r="DX148" s="6">
        <v>182093.77600000001</v>
      </c>
      <c r="DZ148" s="15">
        <v>787.93848000000014</v>
      </c>
      <c r="EA148" s="6">
        <v>1050.3807459869465</v>
      </c>
      <c r="EB148" s="15">
        <v>56.464199999999998</v>
      </c>
      <c r="EC148" s="6">
        <v>1008.136</v>
      </c>
      <c r="ED148" s="5">
        <v>19.09572</v>
      </c>
      <c r="EE148" s="5">
        <v>32.818991097922847</v>
      </c>
      <c r="EF148" s="6">
        <v>2954.8341370848689</v>
      </c>
      <c r="EG148" s="15">
        <v>474.37410763510934</v>
      </c>
      <c r="EY148" s="2">
        <v>5.08</v>
      </c>
      <c r="EZ148" s="5">
        <v>46.736000000000004</v>
      </c>
      <c r="FA148" s="5">
        <v>88.391999999999996</v>
      </c>
      <c r="FC148" s="6"/>
      <c r="FD148" s="15">
        <v>463.80400000000003</v>
      </c>
      <c r="FF148" s="15">
        <v>604.01200000000006</v>
      </c>
      <c r="FG148" s="5">
        <v>37.915097569325567</v>
      </c>
      <c r="FI148" s="200"/>
      <c r="FJ148" s="6">
        <v>421.64</v>
      </c>
      <c r="FK148" s="200"/>
      <c r="FL148" s="200"/>
      <c r="FM148" s="15">
        <f t="shared" si="354"/>
        <v>421.64</v>
      </c>
      <c r="FN148" s="5">
        <v>40.180500000000002</v>
      </c>
      <c r="FP148" s="5">
        <v>23.368000000000002</v>
      </c>
      <c r="FV148" s="5">
        <v>23.368000000000002</v>
      </c>
      <c r="FW148" s="6">
        <f>2*630</f>
        <v>1260</v>
      </c>
      <c r="GE148" s="5">
        <v>10.353272943087399</v>
      </c>
      <c r="GF148" s="4">
        <v>7.7649547073155509E-2</v>
      </c>
      <c r="GK148" s="5">
        <f t="shared" si="355"/>
        <v>10.430922490160555</v>
      </c>
      <c r="GL148" s="15">
        <v>140.41654512371309</v>
      </c>
      <c r="GO148" s="15">
        <v>177.8</v>
      </c>
      <c r="GS148" s="115">
        <v>150000</v>
      </c>
      <c r="GT148" s="6">
        <v>150177.79999999999</v>
      </c>
      <c r="GU148" s="4">
        <v>2.5547169379567056</v>
      </c>
      <c r="GW148" s="4">
        <v>1.4617</v>
      </c>
      <c r="GX148" s="87">
        <v>1.1094303000000001</v>
      </c>
      <c r="GY148" s="85">
        <v>1.9002099999999998E-3</v>
      </c>
      <c r="GZ148" s="86">
        <v>1.7101890000000002E-2</v>
      </c>
      <c r="HA148" s="86">
        <v>1.9002099999999997E-2</v>
      </c>
      <c r="HG148" s="4">
        <v>8.7266600000000025</v>
      </c>
      <c r="HH148" s="86">
        <v>2.6179980000000009E-2</v>
      </c>
      <c r="HI148" s="87">
        <v>0.23561982000000006</v>
      </c>
      <c r="HJ148" s="87">
        <v>2.9234311000000011</v>
      </c>
      <c r="HK148" s="87">
        <v>5.0701894600000008</v>
      </c>
      <c r="HO148" s="4">
        <v>1.1094303000000001</v>
      </c>
      <c r="HP148" s="17"/>
      <c r="HQ148" s="3">
        <v>2.8080190000000008E-2</v>
      </c>
      <c r="HR148" s="4">
        <v>0.25272171000000004</v>
      </c>
      <c r="HS148" s="4">
        <v>2.9234311000000011</v>
      </c>
      <c r="HT148" s="4">
        <v>5.0891915600000006</v>
      </c>
      <c r="IC148" s="5">
        <v>10.56782199769666</v>
      </c>
      <c r="ID148" s="4">
        <v>8.9881271755586898</v>
      </c>
      <c r="IF148" s="15">
        <v>120.98512644107714</v>
      </c>
      <c r="II148" s="5">
        <v>45.05333273080241</v>
      </c>
      <c r="IJ148" s="15">
        <v>185.59440834513492</v>
      </c>
      <c r="IK148" s="6">
        <v>1839.4499508884724</v>
      </c>
      <c r="IN148" s="5">
        <v>10.037876799999999</v>
      </c>
      <c r="IP148" s="5">
        <v>10.037876799999999</v>
      </c>
      <c r="IQ148" s="6">
        <v>4727.6885718955464</v>
      </c>
      <c r="IW148" s="15">
        <v>251.81366960000003</v>
      </c>
      <c r="IZ148" s="15">
        <v>251.81366960000003</v>
      </c>
      <c r="LO148" s="6">
        <v>2896.616</v>
      </c>
      <c r="LQ148" s="4">
        <v>3.3577112050751636</v>
      </c>
      <c r="MC148" s="6">
        <v>2896.616</v>
      </c>
      <c r="MY148" s="5">
        <v>9.2455999999999996</v>
      </c>
      <c r="MZ148" s="15">
        <v>881.50038937440513</v>
      </c>
      <c r="NA148" s="3">
        <v>3.8570601226993864E-2</v>
      </c>
      <c r="NB148" s="15">
        <v>881.50038937440513</v>
      </c>
      <c r="NJ148" s="4">
        <v>9.2841706012269931</v>
      </c>
      <c r="NK148" s="15">
        <v>881.50038937440524</v>
      </c>
    </row>
    <row r="149" spans="1:375" x14ac:dyDescent="0.25">
      <c r="A149" s="2">
        <v>1937</v>
      </c>
      <c r="B149" s="6">
        <v>3958.4391000000001</v>
      </c>
      <c r="C149" s="6">
        <v>2133.6777000000002</v>
      </c>
      <c r="D149" s="6">
        <v>4534.3489</v>
      </c>
      <c r="E149" s="15">
        <v>630.58359999999993</v>
      </c>
      <c r="F149" s="15">
        <v>216.51820000000001</v>
      </c>
      <c r="G149" s="6">
        <v>31120.121700000003</v>
      </c>
      <c r="H149" s="15">
        <v>491.62880000000007</v>
      </c>
      <c r="I149" s="6">
        <v>43085.318000000007</v>
      </c>
      <c r="J149" s="15">
        <v>561.93592485378406</v>
      </c>
      <c r="K149" s="6">
        <v>40678.731372470844</v>
      </c>
      <c r="M149" s="6">
        <v>101541.3134</v>
      </c>
      <c r="N149" s="6">
        <v>304173.51890000002</v>
      </c>
      <c r="O149" s="15">
        <v>169.27730000000003</v>
      </c>
      <c r="P149" s="6">
        <v>32990.413500000002</v>
      </c>
      <c r="Q149" s="5">
        <v>11.0405</v>
      </c>
      <c r="R149" s="6">
        <v>5174.5424000000003</v>
      </c>
      <c r="T149" s="6">
        <v>444060.10600000003</v>
      </c>
      <c r="U149" s="4">
        <v>5.79837132062005</v>
      </c>
      <c r="V149" s="6">
        <v>412897.85095300002</v>
      </c>
      <c r="Y149" s="6">
        <v>6792.9759999999997</v>
      </c>
      <c r="Z149" s="6">
        <v>1097.28</v>
      </c>
      <c r="AC149" s="6">
        <f t="shared" si="358"/>
        <v>7890.2559999999994</v>
      </c>
      <c r="AE149" s="4">
        <v>0.49227319513568135</v>
      </c>
      <c r="AN149" s="6">
        <v>1138101.8640000001</v>
      </c>
      <c r="AO149" s="6">
        <v>10212343.304</v>
      </c>
      <c r="AP149" s="6">
        <v>262072.12</v>
      </c>
      <c r="AQ149" s="6">
        <v>92578.936000000002</v>
      </c>
      <c r="AS149" s="6">
        <v>562366.16</v>
      </c>
      <c r="AT149" s="6">
        <v>12267462.384</v>
      </c>
      <c r="AU149" s="4">
        <v>1.2058913215210465</v>
      </c>
      <c r="AW149" s="6">
        <v>3448221.7039999999</v>
      </c>
      <c r="AX149" s="4">
        <v>0.18905396925139242</v>
      </c>
      <c r="BD149" s="5">
        <v>14.224</v>
      </c>
      <c r="BE149" s="5">
        <v>14.224</v>
      </c>
      <c r="BH149" s="6">
        <v>5231.384</v>
      </c>
      <c r="BI149" s="6">
        <v>1723.136</v>
      </c>
      <c r="BK149" s="6">
        <v>12618.72</v>
      </c>
      <c r="BL149" s="15">
        <v>345.44</v>
      </c>
      <c r="BN149" s="4">
        <v>2.032</v>
      </c>
      <c r="BO149" s="6">
        <v>19920.712</v>
      </c>
      <c r="BP149" s="4">
        <v>39.297352098977697</v>
      </c>
      <c r="BQ149" s="6">
        <v>20028.882740000001</v>
      </c>
      <c r="BS149" s="2">
        <v>200</v>
      </c>
      <c r="BV149" s="15">
        <v>200</v>
      </c>
      <c r="BW149" s="4">
        <v>2</v>
      </c>
      <c r="BZ149" s="6">
        <v>4550.6639999999998</v>
      </c>
      <c r="CA149" s="6">
        <v>677.67200000000003</v>
      </c>
      <c r="CC149" s="5">
        <v>61.975999999999999</v>
      </c>
      <c r="CD149" s="6">
        <v>1896276.6240000001</v>
      </c>
      <c r="CG149" s="6">
        <v>1901566.936</v>
      </c>
      <c r="CH149" s="4">
        <v>7.5</v>
      </c>
      <c r="CJ149" s="6">
        <v>1938.528</v>
      </c>
      <c r="CK149" s="15">
        <v>109.72800000000001</v>
      </c>
      <c r="CR149" s="6">
        <v>2048.2559999999999</v>
      </c>
      <c r="CS149" s="4">
        <v>6.4313450544709303</v>
      </c>
      <c r="DA149" s="15">
        <v>772</v>
      </c>
      <c r="DD149" s="6">
        <v>39089.584000000003</v>
      </c>
      <c r="DE149" s="6">
        <v>199625.712</v>
      </c>
      <c r="DG149" s="6">
        <v>9779</v>
      </c>
      <c r="DH149" s="4">
        <v>7.1120000000000001</v>
      </c>
      <c r="DI149" s="15">
        <v>352.55200000000002</v>
      </c>
      <c r="DK149" s="6">
        <v>248853.96</v>
      </c>
      <c r="DL149" s="15">
        <v>117.86766675596037</v>
      </c>
      <c r="DM149" s="6">
        <v>248024.72823199999</v>
      </c>
      <c r="DO149" s="6">
        <v>28039.567999999999</v>
      </c>
      <c r="DP149" s="6">
        <v>149300.18400000001</v>
      </c>
      <c r="DR149" s="6">
        <v>29648.912</v>
      </c>
      <c r="DV149" s="6">
        <v>206988.66400000002</v>
      </c>
      <c r="DW149" s="15">
        <v>128.5829091883204</v>
      </c>
      <c r="DX149" s="6">
        <v>201475.94959999999</v>
      </c>
      <c r="DZ149" s="15">
        <v>832.45960000000002</v>
      </c>
      <c r="EA149" s="6">
        <v>1072.6658447369118</v>
      </c>
      <c r="EB149" s="15">
        <v>143.637</v>
      </c>
      <c r="EC149" s="6">
        <v>1080.528</v>
      </c>
      <c r="ED149" s="5">
        <v>38.603936000000004</v>
      </c>
      <c r="EE149" s="5">
        <v>12.878338278931748</v>
      </c>
      <c r="EF149" s="6">
        <v>3180.7727190158434</v>
      </c>
      <c r="EG149" s="15">
        <v>579.74938172098564</v>
      </c>
      <c r="EY149" s="4">
        <v>0.50800000000000001</v>
      </c>
      <c r="EZ149" s="5">
        <v>83.311999999999998</v>
      </c>
      <c r="FA149" s="15">
        <v>141.22399999999999</v>
      </c>
      <c r="FB149" s="15">
        <v>570.99199999999996</v>
      </c>
      <c r="FC149" s="6"/>
      <c r="FD149" s="15">
        <v>525.78</v>
      </c>
      <c r="FF149" s="6">
        <v>1321.8159999999998</v>
      </c>
      <c r="FG149" s="5">
        <v>47.325973334788962</v>
      </c>
      <c r="FI149" s="200"/>
      <c r="FJ149" s="6">
        <v>466.34399999999999</v>
      </c>
      <c r="FK149" s="200"/>
      <c r="FL149" s="200"/>
      <c r="FM149" s="15">
        <f t="shared" si="354"/>
        <v>466.34399999999999</v>
      </c>
      <c r="FN149" s="5">
        <v>38.3947</v>
      </c>
      <c r="FP149" s="5">
        <v>12.192</v>
      </c>
      <c r="FS149" s="4">
        <v>1.8288</v>
      </c>
      <c r="FV149" s="5">
        <v>14.020799999999999</v>
      </c>
      <c r="FW149" s="6">
        <f>2*810</f>
        <v>1620</v>
      </c>
      <c r="GE149" s="5">
        <v>12.035679796339101</v>
      </c>
      <c r="GF149" s="4">
        <v>4.2966082713812712</v>
      </c>
      <c r="GG149" s="5">
        <v>15.012245767476729</v>
      </c>
      <c r="GK149" s="5">
        <f t="shared" si="355"/>
        <v>31.344533835197105</v>
      </c>
      <c r="GL149" s="5">
        <v>71.39930575710234</v>
      </c>
      <c r="GO149" s="15">
        <v>20.32</v>
      </c>
      <c r="GS149" s="115">
        <v>150000</v>
      </c>
      <c r="GT149" s="6">
        <v>150020.32</v>
      </c>
      <c r="GU149" s="4">
        <v>2.4342134809594098</v>
      </c>
      <c r="GW149" s="4">
        <v>1.4306000000000001</v>
      </c>
      <c r="GX149" s="87">
        <v>1.0858254000000001</v>
      </c>
      <c r="GY149" s="85">
        <v>1.8597800000000001E-3</v>
      </c>
      <c r="GZ149" s="86">
        <v>1.6738020000000003E-2</v>
      </c>
      <c r="HA149" s="86">
        <v>1.8597800000000001E-2</v>
      </c>
      <c r="HG149" s="5">
        <v>18.237662</v>
      </c>
      <c r="HH149" s="86">
        <v>5.4712986000000005E-2</v>
      </c>
      <c r="HI149" s="87">
        <v>0.492416874</v>
      </c>
      <c r="HJ149" s="87">
        <v>6.1096167700000006</v>
      </c>
      <c r="HK149" s="84">
        <v>10.596081622</v>
      </c>
      <c r="HO149" s="4">
        <v>1.0858254000000001</v>
      </c>
      <c r="HP149" s="17"/>
      <c r="HQ149" s="3">
        <v>5.6572766000000003E-2</v>
      </c>
      <c r="HR149" s="4">
        <v>0.50915489400000002</v>
      </c>
      <c r="HS149" s="4">
        <v>6.1096167700000006</v>
      </c>
      <c r="HT149" s="5">
        <v>10.614679422</v>
      </c>
      <c r="IC149" s="5">
        <v>52.393983690265159</v>
      </c>
      <c r="ID149" s="5">
        <v>31.556634739062364</v>
      </c>
      <c r="IF149" s="15">
        <v>169.99715733795728</v>
      </c>
      <c r="II149" s="5">
        <v>71.778998507333895</v>
      </c>
      <c r="IJ149" s="15">
        <v>325.72677427461866</v>
      </c>
      <c r="IK149" s="6">
        <v>2419.8589159746407</v>
      </c>
      <c r="IN149" s="5">
        <v>13.622832800000001</v>
      </c>
      <c r="IP149" s="5">
        <v>13.622832800000001</v>
      </c>
      <c r="IQ149" s="6">
        <v>6659.5610265316027</v>
      </c>
      <c r="IW149" s="15">
        <v>206.12597840000001</v>
      </c>
      <c r="IZ149" s="15">
        <v>206.12597840000001</v>
      </c>
      <c r="JJ149" s="15">
        <v>702.66560000000004</v>
      </c>
      <c r="JV149" s="15">
        <v>702.66560000000004</v>
      </c>
      <c r="KO149" s="6">
        <v>1192.1744000000001</v>
      </c>
      <c r="KQ149" s="4">
        <v>7.097954795875502</v>
      </c>
      <c r="LC149" s="6">
        <v>1192.1744000000001</v>
      </c>
      <c r="LD149" s="5">
        <v>7.097954795875502</v>
      </c>
      <c r="LO149" s="6">
        <v>5335.0159999999996</v>
      </c>
      <c r="LQ149" s="4">
        <v>6.3444983107829485</v>
      </c>
      <c r="MC149" s="6">
        <v>5335.0159999999996</v>
      </c>
      <c r="MY149" s="5">
        <v>4.2925999999999993</v>
      </c>
      <c r="MZ149" s="15">
        <v>835.85705632949737</v>
      </c>
      <c r="NA149" s="3">
        <v>1.6749275362318839E-2</v>
      </c>
      <c r="NB149" s="15">
        <v>835.85705632949737</v>
      </c>
      <c r="NC149" s="4">
        <v>0.22352</v>
      </c>
      <c r="ND149" s="15">
        <v>697.92412312097349</v>
      </c>
      <c r="NJ149" s="4">
        <v>4.5328692753623177</v>
      </c>
      <c r="NK149" s="15">
        <v>829.05545510125455</v>
      </c>
    </row>
    <row r="150" spans="1:375" x14ac:dyDescent="0.25">
      <c r="A150" s="2">
        <v>1938</v>
      </c>
      <c r="B150" s="6">
        <v>4709.5352000000003</v>
      </c>
      <c r="C150" s="6">
        <v>2758.5078000000003</v>
      </c>
      <c r="D150" s="6">
        <v>4485.9573</v>
      </c>
      <c r="E150" s="15">
        <v>690.42</v>
      </c>
      <c r="F150" s="15">
        <v>164.58120000000002</v>
      </c>
      <c r="G150" s="6">
        <v>36318.3001</v>
      </c>
      <c r="H150" s="15">
        <v>384.95580000000007</v>
      </c>
      <c r="I150" s="6">
        <v>49512.257400000002</v>
      </c>
      <c r="J150" s="15">
        <v>570.67766307337956</v>
      </c>
      <c r="K150" s="6">
        <v>46603.679746766684</v>
      </c>
      <c r="M150" s="6">
        <v>109891.539</v>
      </c>
      <c r="N150" s="6">
        <v>297270.90500000003</v>
      </c>
      <c r="O150" s="15">
        <v>183.42780000000002</v>
      </c>
      <c r="P150" s="6">
        <v>37928.004999999997</v>
      </c>
      <c r="Q150" s="5">
        <v>15.643300000000002</v>
      </c>
      <c r="R150" s="6">
        <v>7118.6656000000003</v>
      </c>
      <c r="T150" s="6">
        <v>452408.18570000003</v>
      </c>
      <c r="U150" s="4">
        <v>5.6443293056845842</v>
      </c>
      <c r="V150" s="6">
        <v>460742.65787326318</v>
      </c>
      <c r="Y150" s="15">
        <v>451.10399999999998</v>
      </c>
      <c r="Z150" s="6">
        <v>1341.12</v>
      </c>
      <c r="AC150" s="6">
        <f t="shared" si="358"/>
        <v>1792.2239999999999</v>
      </c>
      <c r="AE150" s="4">
        <v>0.97538483365255024</v>
      </c>
      <c r="AN150" s="6">
        <v>1131240.8160000001</v>
      </c>
      <c r="AO150" s="6">
        <v>9724064.8800000008</v>
      </c>
      <c r="AP150" s="6">
        <v>312174.12800000003</v>
      </c>
      <c r="AQ150" s="6">
        <v>85093.047999999995</v>
      </c>
      <c r="AS150" s="6">
        <v>614468.67200000002</v>
      </c>
      <c r="AT150" s="6">
        <v>11867041.544000002</v>
      </c>
      <c r="AU150" s="4">
        <v>1.2326358603626459</v>
      </c>
      <c r="AW150" s="6">
        <v>3734257.2</v>
      </c>
      <c r="AX150" s="4">
        <v>0.18837534811474688</v>
      </c>
      <c r="BD150" s="5">
        <v>19.868794399999999</v>
      </c>
      <c r="BE150" s="5">
        <v>19.868794399999999</v>
      </c>
      <c r="BH150" s="6">
        <v>4530.3440000000001</v>
      </c>
      <c r="BI150" s="6">
        <v>2424.1759999999999</v>
      </c>
      <c r="BK150" s="6">
        <v>12932.664000000001</v>
      </c>
      <c r="BL150" s="15">
        <v>258.06400000000002</v>
      </c>
      <c r="BM150" s="4">
        <v>6.0960000000000001</v>
      </c>
      <c r="BN150" s="5">
        <v>47.752000000000002</v>
      </c>
      <c r="BO150" s="6">
        <v>20199.096000000001</v>
      </c>
      <c r="BP150" s="4">
        <v>88.151471514354128</v>
      </c>
      <c r="BQ150" s="6">
        <v>20133.003359999999</v>
      </c>
      <c r="BS150" s="2">
        <v>300</v>
      </c>
      <c r="BV150" s="15">
        <v>300</v>
      </c>
      <c r="BW150" s="4">
        <v>2</v>
      </c>
      <c r="BZ150" s="6">
        <v>5207</v>
      </c>
      <c r="CA150" s="6">
        <v>109.72800000000001</v>
      </c>
      <c r="CD150" s="6">
        <v>2281291.8560000001</v>
      </c>
      <c r="CG150" s="6">
        <v>2286608.5840000003</v>
      </c>
      <c r="CH150" s="4">
        <v>7.5</v>
      </c>
      <c r="CJ150" s="15">
        <v>719.32799999999997</v>
      </c>
      <c r="CK150" s="15">
        <v>221.488</v>
      </c>
      <c r="CR150" s="15">
        <v>940.81600000000003</v>
      </c>
      <c r="CS150" s="4">
        <v>5.8553177925881599</v>
      </c>
      <c r="CW150" s="5">
        <v>20.065999999999999</v>
      </c>
      <c r="CY150" s="5">
        <v>20.065999999999999</v>
      </c>
      <c r="CZ150" s="17"/>
      <c r="DA150" s="15">
        <v>772</v>
      </c>
      <c r="DB150" s="15">
        <v>20.065999999999999</v>
      </c>
      <c r="DD150" s="6">
        <v>41855.135999999999</v>
      </c>
      <c r="DE150" s="6">
        <v>224949.51200000002</v>
      </c>
      <c r="DG150" s="6">
        <v>11440.16</v>
      </c>
      <c r="DH150" s="4">
        <v>1.016</v>
      </c>
      <c r="DI150" s="5">
        <v>41.655999999999999</v>
      </c>
      <c r="DJ150" s="5">
        <v>20.32</v>
      </c>
      <c r="DK150" s="6">
        <v>278307.80000000005</v>
      </c>
      <c r="DL150" s="5">
        <v>92.865434413786957</v>
      </c>
      <c r="DM150" s="6">
        <v>278154.9796904762</v>
      </c>
      <c r="DO150" s="6">
        <v>24114.76</v>
      </c>
      <c r="DP150" s="6">
        <v>167577.008</v>
      </c>
      <c r="DR150" s="6">
        <v>31888.175999999999</v>
      </c>
      <c r="DV150" s="6">
        <v>223579.94400000002</v>
      </c>
      <c r="DW150" s="5">
        <v>91.079560675060279</v>
      </c>
      <c r="DX150" s="6">
        <v>217191.33600000001</v>
      </c>
      <c r="DZ150" s="15">
        <v>714.75600000000009</v>
      </c>
      <c r="EA150" s="6">
        <v>1206.7929888903282</v>
      </c>
      <c r="EB150" s="15">
        <v>111.7727</v>
      </c>
      <c r="EC150" s="6">
        <v>1194.9198903386198</v>
      </c>
      <c r="ED150" s="5">
        <v>37.622479999999996</v>
      </c>
      <c r="EE150" s="5">
        <v>18.694362017804153</v>
      </c>
      <c r="EF150" s="6">
        <v>3284.558421246752</v>
      </c>
      <c r="EG150" s="15">
        <v>474.37305630913784</v>
      </c>
      <c r="EY150" s="4">
        <v>8.1280000000000001</v>
      </c>
      <c r="EZ150" s="5">
        <v>83.311999999999998</v>
      </c>
      <c r="FA150" s="15">
        <v>197.10400000000001</v>
      </c>
      <c r="FB150" s="15">
        <v>344.42399999999998</v>
      </c>
      <c r="FC150" s="6"/>
      <c r="FD150" s="15">
        <v>450.596</v>
      </c>
      <c r="FF150" s="6">
        <v>1083.5639999999999</v>
      </c>
      <c r="FG150" s="5">
        <v>47.080052493438316</v>
      </c>
      <c r="FI150" s="200"/>
      <c r="FJ150" s="6">
        <v>951.99199999999996</v>
      </c>
      <c r="FK150" s="200"/>
      <c r="FL150" s="200"/>
      <c r="FM150" s="15">
        <f t="shared" si="354"/>
        <v>951.99199999999996</v>
      </c>
      <c r="FN150" s="5">
        <v>38.3947</v>
      </c>
      <c r="FP150" s="5">
        <v>10.16</v>
      </c>
      <c r="FV150" s="5">
        <v>10.16</v>
      </c>
      <c r="FW150" s="2">
        <f>2*378</f>
        <v>756</v>
      </c>
      <c r="GE150" s="4">
        <v>6.9625760542262762</v>
      </c>
      <c r="GF150" s="4">
        <v>4.4777905478853013</v>
      </c>
      <c r="GG150" s="5">
        <v>17.341732179671396</v>
      </c>
      <c r="GK150" s="5">
        <f t="shared" si="355"/>
        <v>28.782098781782974</v>
      </c>
      <c r="GL150" s="15">
        <v>203.95764068754031</v>
      </c>
      <c r="GO150" s="15">
        <v>243.84</v>
      </c>
      <c r="GS150" s="6">
        <v>162560</v>
      </c>
      <c r="GT150" s="6">
        <v>162803.84</v>
      </c>
      <c r="GU150" s="4">
        <v>2.3044376852786654</v>
      </c>
      <c r="GW150" s="4">
        <v>0.24880000000000002</v>
      </c>
      <c r="GX150" s="87">
        <v>0.18883920000000001</v>
      </c>
      <c r="GY150" s="88">
        <v>3.2344000000000003E-4</v>
      </c>
      <c r="GZ150" s="85">
        <v>2.9109600000000002E-3</v>
      </c>
      <c r="HA150" s="85">
        <v>3.2344000000000001E-3</v>
      </c>
      <c r="HG150" s="4">
        <v>5.9360570000000008</v>
      </c>
      <c r="HH150" s="86">
        <v>1.7808171000000001E-2</v>
      </c>
      <c r="HI150" s="87">
        <v>0.16027353900000002</v>
      </c>
      <c r="HJ150" s="87">
        <v>1.9885790950000004</v>
      </c>
      <c r="HK150" s="87">
        <v>3.4488491170000004</v>
      </c>
      <c r="HO150" s="4">
        <v>0.18883920000000001</v>
      </c>
      <c r="HP150" s="17"/>
      <c r="HQ150" s="3">
        <v>1.8131611000000002E-2</v>
      </c>
      <c r="HR150" s="4">
        <v>0.16318449900000001</v>
      </c>
      <c r="HS150" s="4">
        <v>1.9885790950000004</v>
      </c>
      <c r="HT150" s="4">
        <v>3.4520835170000006</v>
      </c>
      <c r="IC150" s="5">
        <v>79.661494211881632</v>
      </c>
      <c r="ID150" s="5">
        <v>59.265243266605424</v>
      </c>
      <c r="IF150" s="15">
        <v>192.54000467956365</v>
      </c>
      <c r="II150" s="15">
        <v>229.72421408110441</v>
      </c>
      <c r="IJ150" s="15">
        <v>561.19095623915507</v>
      </c>
      <c r="IK150" s="6">
        <v>2151.97785516564</v>
      </c>
      <c r="IN150" s="4">
        <v>8.6038943999999997</v>
      </c>
      <c r="IO150" s="4">
        <v>7.4556518399999994E-2</v>
      </c>
      <c r="IP150" s="4">
        <v>8.6784509183999994</v>
      </c>
      <c r="IQ150" s="6">
        <v>8195.8405039113713</v>
      </c>
      <c r="IT150" s="3">
        <v>3.1816243199999997E-2</v>
      </c>
      <c r="IU150" s="3">
        <f t="shared" ref="IU150" si="359">IS150+IT150</f>
        <v>3.1816243199999997E-2</v>
      </c>
      <c r="IW150" s="15">
        <v>185.11205039999999</v>
      </c>
      <c r="IZ150" s="15">
        <v>185.11205039999999</v>
      </c>
      <c r="JJ150" s="15">
        <v>29.260800000000003</v>
      </c>
      <c r="JV150" s="15">
        <v>29.260800000000003</v>
      </c>
      <c r="KO150" s="15">
        <v>528.52320000000009</v>
      </c>
      <c r="LC150" s="15">
        <v>528.52320000000009</v>
      </c>
      <c r="LO150" s="15">
        <v>160.52799999999999</v>
      </c>
      <c r="LQ150" s="4">
        <v>7.9389112746855339</v>
      </c>
      <c r="MC150" s="6">
        <v>160.52799999999999</v>
      </c>
      <c r="MY150" s="5">
        <v>2.9210000000000003</v>
      </c>
      <c r="MZ150" s="15">
        <v>829.39632545931761</v>
      </c>
      <c r="NA150" s="3">
        <v>1.0160000000000002E-2</v>
      </c>
      <c r="NB150" s="15">
        <v>787.4015748031494</v>
      </c>
      <c r="NC150" s="4">
        <v>0.88493600000000006</v>
      </c>
      <c r="ND150" s="15">
        <v>894.97997595306322</v>
      </c>
      <c r="NG150" s="3">
        <v>7.9048534881611177E-2</v>
      </c>
      <c r="NH150" s="6">
        <v>3491.5258127599409</v>
      </c>
      <c r="NJ150" s="4">
        <v>3.8951445348816116</v>
      </c>
      <c r="NK150" s="6">
        <v>1739.7916224770829</v>
      </c>
    </row>
    <row r="151" spans="1:375" x14ac:dyDescent="0.25">
      <c r="A151" s="2">
        <v>1939</v>
      </c>
      <c r="B151" s="6">
        <v>4579.4128000000001</v>
      </c>
      <c r="C151" s="6">
        <v>2711.5778999999998</v>
      </c>
      <c r="D151" s="6">
        <v>4867.8342000000002</v>
      </c>
      <c r="E151" s="15">
        <v>621.50240000000008</v>
      </c>
      <c r="F151" s="15">
        <v>122.223</v>
      </c>
      <c r="G151" s="6">
        <v>37762.801800000001</v>
      </c>
      <c r="H151" s="15">
        <v>515.82460000000003</v>
      </c>
      <c r="I151" s="6">
        <v>51181.176700000004</v>
      </c>
      <c r="J151" s="15">
        <v>627.22928102382036</v>
      </c>
      <c r="K151" s="6">
        <v>47737.140047796682</v>
      </c>
      <c r="M151" s="6">
        <v>120853.44930000001</v>
      </c>
      <c r="N151" s="6">
        <v>298085.69390000001</v>
      </c>
      <c r="O151" s="15">
        <v>195.46350000000001</v>
      </c>
      <c r="P151" s="6">
        <v>39749.407599999999</v>
      </c>
      <c r="Q151" s="5">
        <v>16.825100000000003</v>
      </c>
      <c r="R151" s="6">
        <v>7844.9750000000004</v>
      </c>
      <c r="T151" s="6">
        <v>466745.81440000003</v>
      </c>
      <c r="U151" s="4">
        <v>5.907049741212159</v>
      </c>
      <c r="V151" s="6">
        <v>451368.20394247369</v>
      </c>
      <c r="Y151" s="6">
        <v>1766.8240000000001</v>
      </c>
      <c r="Z151" s="15">
        <v>819.91200000000003</v>
      </c>
      <c r="AC151" s="6">
        <f t="shared" si="358"/>
        <v>2586.7359999999999</v>
      </c>
      <c r="AE151" s="4">
        <v>0.95425463996413895</v>
      </c>
      <c r="AN151" s="6">
        <v>1338567.808</v>
      </c>
      <c r="AO151" s="6">
        <v>11374965.312000001</v>
      </c>
      <c r="AP151" s="6">
        <v>370733.32</v>
      </c>
      <c r="AQ151" s="6">
        <v>100982.272</v>
      </c>
      <c r="AS151" s="6">
        <v>566455.56000000006</v>
      </c>
      <c r="AT151" s="6">
        <v>13751704.272000002</v>
      </c>
      <c r="AU151" s="4">
        <v>1.2481433881263246</v>
      </c>
      <c r="AW151" s="6">
        <v>3709430.2239999999</v>
      </c>
      <c r="AX151" s="4">
        <v>0.20809233585411149</v>
      </c>
      <c r="BD151" s="5">
        <v>20.404238222249806</v>
      </c>
      <c r="BE151" s="5">
        <v>20.404238222249806</v>
      </c>
      <c r="BH151" s="6">
        <v>5890.768</v>
      </c>
      <c r="BI151" s="6">
        <v>2662.9360000000001</v>
      </c>
      <c r="BK151" s="6">
        <v>13668.248</v>
      </c>
      <c r="BL151" s="15">
        <v>111.76</v>
      </c>
      <c r="BN151" s="5">
        <v>24.384</v>
      </c>
      <c r="BO151" s="6">
        <v>22358.096000000001</v>
      </c>
      <c r="BP151" s="4">
        <v>160.22709999087951</v>
      </c>
      <c r="BQ151" s="6">
        <v>21833.554556799998</v>
      </c>
      <c r="BS151" s="2">
        <v>103</v>
      </c>
      <c r="BV151" s="15">
        <v>103</v>
      </c>
      <c r="BW151" s="4">
        <v>3.2427184466019416</v>
      </c>
      <c r="BZ151" s="6">
        <v>4003.04</v>
      </c>
      <c r="CA151" s="16">
        <v>59.944000000000003</v>
      </c>
      <c r="CD151" s="6">
        <v>2795787.1439999999</v>
      </c>
      <c r="CG151" s="6">
        <v>2799850.128</v>
      </c>
      <c r="CH151" s="4">
        <v>7.5</v>
      </c>
      <c r="CK151" s="15">
        <v>148.33600000000001</v>
      </c>
      <c r="CN151" s="4">
        <v>7.1120000000000001</v>
      </c>
      <c r="CR151" s="15">
        <v>155.44800000000001</v>
      </c>
      <c r="CS151" s="4">
        <v>7.1779032066956061</v>
      </c>
      <c r="DD151" s="6">
        <v>46016.671999999999</v>
      </c>
      <c r="DE151" s="6">
        <v>226686.872</v>
      </c>
      <c r="DG151" s="6">
        <v>11795.76</v>
      </c>
      <c r="DK151" s="6">
        <v>284499.304</v>
      </c>
      <c r="DL151" s="5">
        <v>99.115992499330304</v>
      </c>
      <c r="DM151" s="6">
        <v>286437.09539999999</v>
      </c>
      <c r="DO151" s="6">
        <v>29556.456000000002</v>
      </c>
      <c r="DP151" s="6">
        <v>159138.11199999999</v>
      </c>
      <c r="DR151" s="6">
        <v>31604.712</v>
      </c>
      <c r="DV151" s="6">
        <v>220299.28</v>
      </c>
      <c r="DW151" s="15">
        <v>100.90186623805698</v>
      </c>
      <c r="DX151" s="6">
        <v>214198.79943999997</v>
      </c>
      <c r="DZ151" s="15">
        <v>880.82119999999998</v>
      </c>
      <c r="EA151" s="6">
        <v>1380.9167199999999</v>
      </c>
      <c r="EB151" s="15">
        <v>163.11879999999999</v>
      </c>
      <c r="EC151" s="6">
        <v>1232.1120000000001</v>
      </c>
      <c r="ED151" s="5">
        <v>7.6667359999999993</v>
      </c>
      <c r="EE151" s="5">
        <v>18.694362017804153</v>
      </c>
      <c r="EF151" s="6">
        <v>3683.3298180178044</v>
      </c>
      <c r="EG151" s="15">
        <v>558.19709920088985</v>
      </c>
      <c r="EZ151" s="5">
        <v>45.72</v>
      </c>
      <c r="FA151" s="5">
        <v>79.248000000000005</v>
      </c>
      <c r="FB151" s="15">
        <v>369.82400000000001</v>
      </c>
      <c r="FC151" s="6"/>
      <c r="FD151" s="15">
        <v>549.40200000000004</v>
      </c>
      <c r="FF151" s="6">
        <v>1044.194</v>
      </c>
      <c r="FG151" s="5">
        <v>32.237447591778299</v>
      </c>
      <c r="FI151" s="200"/>
      <c r="FJ151" s="6">
        <v>107.696</v>
      </c>
      <c r="FK151" s="200"/>
      <c r="FL151" s="200"/>
      <c r="FM151" s="5">
        <f t="shared" si="354"/>
        <v>107.696</v>
      </c>
      <c r="FN151" s="5">
        <v>36.608899999999998</v>
      </c>
      <c r="GE151" s="5">
        <v>10.405039307802838</v>
      </c>
      <c r="GF151" s="5">
        <v>12.94159117885925</v>
      </c>
      <c r="GG151" s="5">
        <v>13.45925482601362</v>
      </c>
      <c r="GK151" s="5">
        <f t="shared" si="355"/>
        <v>36.805885312675706</v>
      </c>
      <c r="GL151" s="15">
        <v>215.92052738737829</v>
      </c>
      <c r="GO151" s="15">
        <v>17.271999999999998</v>
      </c>
      <c r="GS151" s="115">
        <v>150000</v>
      </c>
      <c r="GT151" s="6">
        <v>150017.272</v>
      </c>
      <c r="GU151" s="4">
        <v>2.3615792669366908</v>
      </c>
      <c r="GW151" s="4">
        <v>0.2177</v>
      </c>
      <c r="GX151" s="87">
        <v>0.1652343</v>
      </c>
      <c r="GY151" s="88">
        <v>2.8300999999999999E-4</v>
      </c>
      <c r="GZ151" s="85">
        <v>2.5470900000000001E-3</v>
      </c>
      <c r="HA151" s="85">
        <v>2.8300999999999999E-3</v>
      </c>
      <c r="HG151" s="4">
        <v>8.8033214999999991</v>
      </c>
      <c r="HH151" s="86">
        <v>2.6409964499999997E-2</v>
      </c>
      <c r="HI151" s="87">
        <v>0.23768968049999997</v>
      </c>
      <c r="HJ151" s="87">
        <v>2.9491127024999999</v>
      </c>
      <c r="HK151" s="87">
        <v>5.1147297914999994</v>
      </c>
      <c r="HO151" s="4">
        <v>0.1652343</v>
      </c>
      <c r="HP151" s="17"/>
      <c r="HQ151" s="3">
        <v>2.6692974499999998E-2</v>
      </c>
      <c r="HR151" s="4">
        <v>0.24023677049999997</v>
      </c>
      <c r="HS151" s="4">
        <v>2.9491127024999999</v>
      </c>
      <c r="HT151" s="4">
        <v>5.1175598914999991</v>
      </c>
      <c r="IC151" s="5">
        <v>52.0958900606892</v>
      </c>
      <c r="ID151" s="5">
        <v>55.333629990036115</v>
      </c>
      <c r="IF151" s="15">
        <v>232.64739475862783</v>
      </c>
      <c r="IH151" s="4">
        <v>5.0917614565405884</v>
      </c>
      <c r="II151" s="15">
        <v>193.08563689663507</v>
      </c>
      <c r="IJ151" s="15">
        <v>538.25431316252877</v>
      </c>
      <c r="IK151" s="6">
        <v>2125.18974908474</v>
      </c>
      <c r="IN151" s="5">
        <v>10.037876799999999</v>
      </c>
      <c r="IP151" s="5">
        <v>10.037876799999999</v>
      </c>
      <c r="IQ151" s="6">
        <v>10713.483101700202</v>
      </c>
      <c r="IW151" s="15">
        <v>170.4068728</v>
      </c>
      <c r="IX151" s="61">
        <v>8.1280000000000001</v>
      </c>
      <c r="IZ151" s="15">
        <v>178.53487280000002</v>
      </c>
      <c r="JJ151" s="6">
        <v>710.18096018411973</v>
      </c>
      <c r="JV151" s="15">
        <v>710.18096018411973</v>
      </c>
      <c r="KO151" s="6">
        <v>1967.0323201052113</v>
      </c>
      <c r="LC151" s="6">
        <v>1967.0323201052113</v>
      </c>
      <c r="LO151" s="15">
        <v>614.62671971066902</v>
      </c>
      <c r="LQ151" s="4">
        <v>9.5333242385881203</v>
      </c>
      <c r="MC151" s="6">
        <v>614.62671971066902</v>
      </c>
      <c r="MY151" s="5">
        <v>1.5493999999999999</v>
      </c>
      <c r="MZ151" s="15">
        <v>700.78740157480308</v>
      </c>
      <c r="NA151" s="3">
        <v>1.0160000000000002E-2</v>
      </c>
      <c r="NB151" s="6">
        <v>1968.5039370078734</v>
      </c>
      <c r="NC151" s="4">
        <v>0.63296799999999998</v>
      </c>
      <c r="ND151" s="15">
        <v>935.27634888335592</v>
      </c>
      <c r="NG151" s="5">
        <v>0.50800000000000001</v>
      </c>
      <c r="NH151" s="6">
        <v>1740.1574803149606</v>
      </c>
      <c r="NJ151" s="4">
        <v>2.7005279999999998</v>
      </c>
      <c r="NK151" s="6">
        <v>1807.7136772486772</v>
      </c>
    </row>
    <row r="152" spans="1:375" x14ac:dyDescent="0.25">
      <c r="A152" s="2">
        <v>1940</v>
      </c>
      <c r="B152" s="6">
        <v>3944.4441000000002</v>
      </c>
      <c r="C152" s="6">
        <v>3117.9304999999999</v>
      </c>
      <c r="D152" s="6">
        <v>5615.6337000000003</v>
      </c>
      <c r="E152" s="15">
        <v>596.21809999999994</v>
      </c>
      <c r="F152" s="15">
        <v>101.697</v>
      </c>
      <c r="G152" s="6">
        <v>37055.090200000006</v>
      </c>
      <c r="H152" s="15">
        <v>697.35530000000006</v>
      </c>
      <c r="I152" s="6">
        <v>51128.368900000009</v>
      </c>
      <c r="J152" s="15">
        <v>685.27739248242619</v>
      </c>
      <c r="K152" s="6">
        <v>46600.496576580925</v>
      </c>
      <c r="M152" s="6">
        <v>135777.56180000002</v>
      </c>
      <c r="N152" s="6">
        <v>266765.91020000004</v>
      </c>
      <c r="O152" s="15">
        <v>240.6207</v>
      </c>
      <c r="P152" s="6">
        <v>50029.979100000004</v>
      </c>
      <c r="Q152" s="5">
        <v>84.436499999999995</v>
      </c>
      <c r="R152" s="6">
        <v>7959.4541000000008</v>
      </c>
      <c r="T152" s="6">
        <v>460857.96240000002</v>
      </c>
      <c r="U152" s="4">
        <v>5.997020401689297</v>
      </c>
      <c r="V152" s="6">
        <v>475006.08161315793</v>
      </c>
      <c r="Y152" s="6">
        <v>2080.768</v>
      </c>
      <c r="Z152" s="6">
        <v>1445.768</v>
      </c>
      <c r="AC152" s="6">
        <f t="shared" si="358"/>
        <v>3526.5360000000001</v>
      </c>
      <c r="AE152" s="4">
        <v>0.98713551919291342</v>
      </c>
      <c r="AN152" s="6">
        <v>1305893.2479999999</v>
      </c>
      <c r="AO152" s="6">
        <v>9702899.568</v>
      </c>
      <c r="AP152" s="6">
        <v>271977.10399999999</v>
      </c>
      <c r="AQ152" s="6">
        <v>84466.176000000007</v>
      </c>
      <c r="AS152" s="6">
        <v>548057.83200000005</v>
      </c>
      <c r="AT152" s="6">
        <v>11913293.928000001</v>
      </c>
      <c r="AU152" s="4">
        <v>1.2626297854719792</v>
      </c>
      <c r="AW152" s="6">
        <v>4348525.72</v>
      </c>
      <c r="AX152" s="4">
        <v>0.18062576651170906</v>
      </c>
      <c r="BD152" s="5">
        <v>18.613120000000002</v>
      </c>
      <c r="BE152" s="5">
        <v>18.613120000000002</v>
      </c>
      <c r="BH152" s="6">
        <v>7018.5280000000002</v>
      </c>
      <c r="BI152" s="6">
        <v>3091.6880000000001</v>
      </c>
      <c r="BK152" s="6">
        <v>11757.152</v>
      </c>
      <c r="BL152" s="15">
        <v>312.928</v>
      </c>
      <c r="BM152" s="4">
        <v>7.1120000000000001</v>
      </c>
      <c r="BN152" s="5">
        <v>16.256</v>
      </c>
      <c r="BO152" s="6">
        <v>22203.664000000001</v>
      </c>
      <c r="BP152" s="4">
        <v>134.18479046339465</v>
      </c>
      <c r="BQ152" s="6">
        <v>21154.079879520003</v>
      </c>
      <c r="BV152" s="15"/>
      <c r="BZ152" s="6">
        <v>2886.4560000000001</v>
      </c>
      <c r="CA152" s="6">
        <v>221.488</v>
      </c>
      <c r="CC152" s="6">
        <v>1185.672</v>
      </c>
      <c r="CD152" s="6">
        <v>2350368.6800000002</v>
      </c>
      <c r="CG152" s="6">
        <v>2354662.2960000001</v>
      </c>
      <c r="CH152" s="4">
        <v>7.5</v>
      </c>
      <c r="CJ152" s="15">
        <v>387.096</v>
      </c>
      <c r="CK152" s="6">
        <v>1024.1279999999999</v>
      </c>
      <c r="CN152" s="6">
        <v>10826.496000000001</v>
      </c>
      <c r="CR152" s="6">
        <v>12237.720000000001</v>
      </c>
      <c r="CS152" s="5">
        <v>12.017968907732687</v>
      </c>
      <c r="DD152" s="6">
        <v>48887.887999999999</v>
      </c>
      <c r="DE152" s="6">
        <v>230105.712</v>
      </c>
      <c r="DG152" s="6">
        <v>14373.352000000001</v>
      </c>
      <c r="DK152" s="6">
        <v>293366.95199999999</v>
      </c>
      <c r="DL152" s="15">
        <v>101.79480310742032</v>
      </c>
      <c r="DM152" s="6">
        <v>292887.51142133336</v>
      </c>
      <c r="DO152" s="6">
        <v>30057.344000000001</v>
      </c>
      <c r="DP152" s="6">
        <v>183229.50400000002</v>
      </c>
      <c r="DR152" s="6">
        <v>32855.408000000003</v>
      </c>
      <c r="DV152" s="6">
        <v>246142.25600000002</v>
      </c>
      <c r="DW152" s="15">
        <v>125.01116171086706</v>
      </c>
      <c r="DX152" s="6">
        <v>239969.08064</v>
      </c>
      <c r="DZ152" s="15">
        <v>904.64639999999997</v>
      </c>
      <c r="EA152" s="6">
        <v>1283.7834425583555</v>
      </c>
      <c r="EB152" s="15">
        <v>104.3432</v>
      </c>
      <c r="EC152" s="6">
        <v>1282.28</v>
      </c>
      <c r="ED152" s="5">
        <v>25.958799999999997</v>
      </c>
      <c r="EE152" s="5">
        <v>19.940652818991097</v>
      </c>
      <c r="EF152" s="6">
        <v>3620.9524953773466</v>
      </c>
      <c r="EG152" s="15">
        <v>591.35224421868406</v>
      </c>
      <c r="EY152" s="4">
        <v>7.1120000000000001</v>
      </c>
      <c r="EZ152" s="5">
        <v>66.040000000000006</v>
      </c>
      <c r="FA152" s="5">
        <v>14.224</v>
      </c>
      <c r="FB152" s="15">
        <v>268.22399999999999</v>
      </c>
      <c r="FC152" s="6"/>
      <c r="FD152" s="15">
        <v>536.702</v>
      </c>
      <c r="FF152" s="15">
        <v>892.30200000000002</v>
      </c>
      <c r="FG152" s="5">
        <v>38.994410049888799</v>
      </c>
      <c r="FI152" s="200"/>
      <c r="FJ152" s="6">
        <v>528.32000000000005</v>
      </c>
      <c r="FK152" s="200"/>
      <c r="FL152" s="200"/>
      <c r="FM152" s="15">
        <f t="shared" si="354"/>
        <v>528.32000000000005</v>
      </c>
      <c r="FN152" s="5">
        <v>37.501800000000003</v>
      </c>
      <c r="FP152" s="5">
        <v>62.992000000000004</v>
      </c>
      <c r="FQ152" s="5">
        <v>40.64</v>
      </c>
      <c r="FR152" s="2">
        <v>5.08</v>
      </c>
      <c r="FT152" s="4">
        <v>1.016</v>
      </c>
      <c r="FV152" s="15">
        <v>109.72800000000001</v>
      </c>
      <c r="FW152" s="6">
        <f>2*1765</f>
        <v>3530</v>
      </c>
      <c r="GE152" s="4">
        <v>1.5271077591053916</v>
      </c>
      <c r="GF152" s="4">
        <v>6.1084310364215666</v>
      </c>
      <c r="GG152" s="5">
        <v>10.741520678453178</v>
      </c>
      <c r="GK152" s="5">
        <f t="shared" si="355"/>
        <v>18.377059473980136</v>
      </c>
      <c r="GL152" s="15">
        <v>223.84989051959826</v>
      </c>
      <c r="GO152" s="15">
        <v>20.32</v>
      </c>
      <c r="GQ152" s="15">
        <v>254</v>
      </c>
      <c r="GR152" s="15">
        <v>39.624000000000002</v>
      </c>
      <c r="GS152" s="115">
        <v>125000</v>
      </c>
      <c r="GT152" s="6">
        <v>125313.944</v>
      </c>
      <c r="GU152" s="4">
        <v>2.4874829151301028</v>
      </c>
      <c r="GW152" s="4">
        <v>0.37320000000000003</v>
      </c>
      <c r="GX152" s="87">
        <v>0.28325880000000003</v>
      </c>
      <c r="GY152" s="88">
        <v>4.8516E-4</v>
      </c>
      <c r="GZ152" s="85">
        <v>4.3664400000000001E-3</v>
      </c>
      <c r="HA152" s="85">
        <v>4.8516000000000002E-3</v>
      </c>
      <c r="HG152" s="5">
        <v>14.453414</v>
      </c>
      <c r="HH152" s="86">
        <v>4.3360242E-2</v>
      </c>
      <c r="HI152" s="87">
        <v>0.390242178</v>
      </c>
      <c r="HJ152" s="87">
        <v>4.84189369</v>
      </c>
      <c r="HK152" s="87">
        <v>8.3974335339999993</v>
      </c>
      <c r="HO152" s="4">
        <v>0.28325880000000003</v>
      </c>
      <c r="HP152" s="17"/>
      <c r="HQ152" s="3">
        <v>4.3845401999999999E-2</v>
      </c>
      <c r="HR152" s="4">
        <v>0.39460861800000002</v>
      </c>
      <c r="HS152" s="4">
        <v>4.84189369</v>
      </c>
      <c r="HT152" s="4">
        <v>8.4022851339999995</v>
      </c>
      <c r="IC152" s="5">
        <v>59.791942483727787</v>
      </c>
      <c r="ID152" s="5">
        <v>35.175048289962348</v>
      </c>
      <c r="IF152" s="15">
        <v>297.7076386085742</v>
      </c>
      <c r="IH152" s="4">
        <v>6.8803232339963003</v>
      </c>
      <c r="II152" s="15">
        <v>144.01357045038827</v>
      </c>
      <c r="IJ152" s="15">
        <v>543.56852306664894</v>
      </c>
      <c r="IK152" s="6">
        <v>2562.7288150727745</v>
      </c>
      <c r="IN152" s="4">
        <v>4.3019471999999999</v>
      </c>
      <c r="IP152" s="4">
        <v>4.3019471999999999</v>
      </c>
      <c r="IQ152" s="6">
        <v>9778.1747634109852</v>
      </c>
      <c r="IW152" s="15">
        <v>174.59960000000001</v>
      </c>
      <c r="IX152" s="16">
        <v>20.32</v>
      </c>
      <c r="IZ152" s="15">
        <v>194.9196</v>
      </c>
      <c r="JJ152" s="6">
        <v>1656.4854561421735</v>
      </c>
      <c r="JV152" s="6">
        <v>1656.4854561421735</v>
      </c>
      <c r="KO152" s="6">
        <v>4704.8984588739049</v>
      </c>
      <c r="KQ152" s="4">
        <v>7.9470365464484685</v>
      </c>
      <c r="LC152" s="6">
        <v>4704.8984588739049</v>
      </c>
      <c r="LO152" s="6">
        <v>2748.0720849839222</v>
      </c>
      <c r="LQ152" s="5">
        <v>13.605902190232667</v>
      </c>
      <c r="MC152" s="6">
        <v>2748.0720849839222</v>
      </c>
      <c r="MY152" s="4">
        <v>0.30480000000000002</v>
      </c>
      <c r="MZ152" s="15">
        <v>378.93700787401571</v>
      </c>
      <c r="NC152" s="4">
        <v>0.57403999999999999</v>
      </c>
      <c r="ND152" s="15">
        <v>940.70099644624065</v>
      </c>
      <c r="NG152" s="5">
        <v>1.3235961172094712</v>
      </c>
      <c r="NH152" s="6">
        <v>1346.3321453050032</v>
      </c>
      <c r="NJ152" s="4">
        <v>2.2024361172094711</v>
      </c>
      <c r="NK152" s="6">
        <v>1954.8302890173411</v>
      </c>
    </row>
    <row r="153" spans="1:375" x14ac:dyDescent="0.25">
      <c r="A153" s="2">
        <v>1941</v>
      </c>
      <c r="B153" s="6">
        <v>3391.8904000000002</v>
      </c>
      <c r="C153" s="6">
        <v>2739.6301000000003</v>
      </c>
      <c r="D153" s="6">
        <v>4657.8159000000005</v>
      </c>
      <c r="E153" s="15">
        <v>619.13880000000006</v>
      </c>
      <c r="F153" s="5">
        <v>52.216900000000003</v>
      </c>
      <c r="G153" s="6">
        <v>34499.789800000006</v>
      </c>
      <c r="H153" s="15">
        <v>586.82590000000005</v>
      </c>
      <c r="I153" s="6">
        <v>46547.30780000001</v>
      </c>
      <c r="J153" s="15">
        <v>687.04453778174934</v>
      </c>
      <c r="K153" s="6">
        <v>43116.444949480472</v>
      </c>
      <c r="M153" s="6">
        <v>120217.48540000001</v>
      </c>
      <c r="N153" s="6">
        <v>290997.53740000003</v>
      </c>
      <c r="O153" s="15">
        <v>543.25480000000005</v>
      </c>
      <c r="P153" s="6">
        <v>41261.551800000001</v>
      </c>
      <c r="Q153" s="15">
        <v>144.92599999999999</v>
      </c>
      <c r="R153" s="6">
        <v>7793.8777</v>
      </c>
      <c r="T153" s="6">
        <v>460958.63310000004</v>
      </c>
      <c r="U153" s="4">
        <v>6.7822776251103081</v>
      </c>
      <c r="V153" s="6">
        <v>456718.93052198424</v>
      </c>
      <c r="X153" s="15">
        <v>373.18461538461543</v>
      </c>
      <c r="Y153" s="6">
        <v>2671.0639999999999</v>
      </c>
      <c r="Z153" s="6">
        <v>2792.9839999999999</v>
      </c>
      <c r="AC153" s="6">
        <f t="shared" si="358"/>
        <v>5837.2326153846152</v>
      </c>
      <c r="AE153" s="4">
        <v>0.27030426826163656</v>
      </c>
      <c r="AN153" s="6">
        <v>1477288.3840000001</v>
      </c>
      <c r="AO153" s="6">
        <v>11953949.168</v>
      </c>
      <c r="AP153" s="6">
        <v>331664.05599999998</v>
      </c>
      <c r="AQ153" s="6">
        <v>111469.424</v>
      </c>
      <c r="AS153" s="6">
        <v>565479.18400000001</v>
      </c>
      <c r="AT153" s="6">
        <v>14439850.216</v>
      </c>
      <c r="AU153" s="4">
        <v>1.3829540152516735</v>
      </c>
      <c r="AW153" s="6">
        <v>4638688.2079999996</v>
      </c>
      <c r="AX153" s="4">
        <v>0.18237612921277851</v>
      </c>
      <c r="BD153" s="5">
        <v>20.1840592</v>
      </c>
      <c r="BE153" s="5">
        <v>20.1840592</v>
      </c>
      <c r="BH153" s="6">
        <v>7451.3440000000001</v>
      </c>
      <c r="BI153" s="6">
        <v>2750.3119999999999</v>
      </c>
      <c r="BK153" s="6">
        <v>11831.32</v>
      </c>
      <c r="BL153" s="15">
        <v>614.67999999999995</v>
      </c>
      <c r="BM153" s="4">
        <v>2.032</v>
      </c>
      <c r="BN153" s="2">
        <v>76.2</v>
      </c>
      <c r="BO153" s="6">
        <v>22725.887999999999</v>
      </c>
      <c r="BP153" s="4">
        <v>122.04724409448819</v>
      </c>
      <c r="BQ153" s="6">
        <v>21632.294917120002</v>
      </c>
      <c r="BS153" s="2">
        <v>300</v>
      </c>
      <c r="BV153" s="15">
        <v>300</v>
      </c>
      <c r="BW153" s="4">
        <v>2.12</v>
      </c>
      <c r="BZ153" s="6">
        <v>2348.9920000000002</v>
      </c>
      <c r="CA153" s="6">
        <v>206047.848</v>
      </c>
      <c r="CB153" s="2">
        <v>5.08</v>
      </c>
      <c r="CC153" s="6">
        <v>2214.88</v>
      </c>
      <c r="CD153" s="6">
        <v>2276233.1919999998</v>
      </c>
      <c r="CG153" s="6">
        <v>2486849.9919999996</v>
      </c>
      <c r="CH153" s="4">
        <v>7.3419282840445215</v>
      </c>
      <c r="CJ153" s="15">
        <v>201.16800000000001</v>
      </c>
      <c r="CK153" s="6">
        <v>1485.3920000000001</v>
      </c>
      <c r="CN153" s="6">
        <v>12137.136</v>
      </c>
      <c r="CR153" s="6">
        <v>13823.696</v>
      </c>
      <c r="CS153" s="5">
        <v>11.706732022735569</v>
      </c>
      <c r="DD153" s="6">
        <v>43965.368000000002</v>
      </c>
      <c r="DE153" s="6">
        <v>239206.024</v>
      </c>
      <c r="DG153" s="6">
        <v>12560.808000000001</v>
      </c>
      <c r="DK153" s="6">
        <v>295732.2</v>
      </c>
      <c r="DL153" s="15">
        <v>114.29591927850701</v>
      </c>
      <c r="DM153" s="6">
        <v>293898.67560000002</v>
      </c>
      <c r="DO153" s="6">
        <v>27875.992000000002</v>
      </c>
      <c r="DP153" s="6">
        <v>192224.152</v>
      </c>
      <c r="DR153" s="6">
        <v>31084.52</v>
      </c>
      <c r="DV153" s="6">
        <v>251184.66399999999</v>
      </c>
      <c r="DW153" s="15">
        <v>147.33458344495045</v>
      </c>
      <c r="DX153" s="6">
        <v>244963.62488000002</v>
      </c>
      <c r="DZ153" s="15">
        <v>771.65200000000016</v>
      </c>
      <c r="EA153" s="6">
        <v>1454.3763049285712</v>
      </c>
      <c r="EB153" s="15">
        <v>59.435999999999993</v>
      </c>
      <c r="EC153" s="6">
        <v>1225.896</v>
      </c>
      <c r="ED153" s="5">
        <v>7.7805280000000012</v>
      </c>
      <c r="EE153" s="5">
        <v>17.032640949554896</v>
      </c>
      <c r="EF153" s="6">
        <v>3536.1734738781261</v>
      </c>
      <c r="EG153" s="15">
        <v>621.73155386937992</v>
      </c>
      <c r="EY153" s="5">
        <v>26.416</v>
      </c>
      <c r="EZ153" s="15">
        <v>159.512</v>
      </c>
      <c r="FA153" s="4">
        <v>8.1280000000000001</v>
      </c>
      <c r="FB153" s="15">
        <v>313.94400000000002</v>
      </c>
      <c r="FC153" s="6"/>
      <c r="FD153" s="15">
        <v>482.346</v>
      </c>
      <c r="FF153" s="15">
        <v>990.346</v>
      </c>
      <c r="FG153" s="5">
        <v>44.850643669541306</v>
      </c>
      <c r="FI153" s="200"/>
      <c r="FJ153" s="6">
        <v>355.6</v>
      </c>
      <c r="FK153" s="200"/>
      <c r="FL153" s="200"/>
      <c r="FM153" s="15">
        <f t="shared" si="354"/>
        <v>355.6</v>
      </c>
      <c r="FN153" s="5">
        <v>36.608899999999998</v>
      </c>
      <c r="FP153" s="15">
        <v>320.04000000000002</v>
      </c>
      <c r="FQ153" s="5">
        <v>64.007999999999996</v>
      </c>
      <c r="FR153" s="2">
        <v>5.08</v>
      </c>
      <c r="FS153" s="5">
        <v>49.783999999999999</v>
      </c>
      <c r="FV153" s="15">
        <v>438.91199999999998</v>
      </c>
      <c r="FW153" s="6">
        <f>2*2376</f>
        <v>4752</v>
      </c>
      <c r="GE153" s="4">
        <v>3.10598188292622</v>
      </c>
      <c r="GF153" s="4">
        <v>2.8471500593490346</v>
      </c>
      <c r="GK153" s="4">
        <f t="shared" si="355"/>
        <v>5.9531319422752542</v>
      </c>
      <c r="GL153" s="5">
        <v>36.957315849968772</v>
      </c>
      <c r="GO153" s="15">
        <v>31.496000000000002</v>
      </c>
      <c r="GQ153" s="6">
        <v>8596.3760000000002</v>
      </c>
      <c r="GR153" s="15">
        <v>21.335999999999999</v>
      </c>
      <c r="GS153" s="115">
        <v>100000</v>
      </c>
      <c r="GT153" s="6">
        <v>108649.208</v>
      </c>
      <c r="GU153" s="4">
        <v>1.8758215067466866</v>
      </c>
      <c r="GW153" s="4">
        <v>0.71530000000000005</v>
      </c>
      <c r="GX153" s="87">
        <v>0.54291270000000003</v>
      </c>
      <c r="GY153" s="88">
        <v>9.2989000000000006E-4</v>
      </c>
      <c r="GZ153" s="85">
        <v>8.3690100000000014E-3</v>
      </c>
      <c r="HA153" s="85">
        <v>9.2989000000000006E-3</v>
      </c>
      <c r="HG153" s="4">
        <v>6.4245758000000004</v>
      </c>
      <c r="HH153" s="86">
        <v>1.9273727400000003E-2</v>
      </c>
      <c r="HI153" s="87">
        <v>0.17346354660000002</v>
      </c>
      <c r="HJ153" s="87">
        <v>2.1522328930000003</v>
      </c>
      <c r="HK153" s="87">
        <v>3.7326785398000002</v>
      </c>
      <c r="HO153" s="4">
        <v>0.54291270000000003</v>
      </c>
      <c r="HP153" s="17"/>
      <c r="HQ153" s="3">
        <v>2.0203617400000002E-2</v>
      </c>
      <c r="HR153" s="4">
        <v>0.18183255660000003</v>
      </c>
      <c r="HS153" s="4">
        <v>2.1522328930000003</v>
      </c>
      <c r="HT153" s="4">
        <v>3.7419774398000003</v>
      </c>
      <c r="IC153" s="5">
        <v>63.23814653916331</v>
      </c>
      <c r="ID153" s="5">
        <v>44.104765227293321</v>
      </c>
      <c r="IE153" s="4">
        <v>0.12084876874700762</v>
      </c>
      <c r="IF153" s="15">
        <v>281.77975074625709</v>
      </c>
      <c r="IH153" s="4">
        <v>0.27392387582655059</v>
      </c>
      <c r="II153" s="15">
        <v>170.92382201553065</v>
      </c>
      <c r="IJ153" s="15">
        <v>560.44125717281793</v>
      </c>
      <c r="IK153" s="6">
        <v>2910.9741941244756</v>
      </c>
      <c r="IW153" s="15">
        <v>190.5</v>
      </c>
      <c r="IX153" s="16">
        <v>16.256</v>
      </c>
      <c r="IZ153" s="15">
        <v>206.756</v>
      </c>
      <c r="JJ153" s="6">
        <v>3763.0951733026473</v>
      </c>
      <c r="JV153" s="6">
        <v>3763.0951733026473</v>
      </c>
      <c r="KL153" s="15">
        <v>304.8</v>
      </c>
      <c r="KN153" s="5">
        <v>14.877952755905511</v>
      </c>
      <c r="KO153" s="6">
        <v>11274.252327601513</v>
      </c>
      <c r="KQ153" s="5">
        <v>11.402884755848788</v>
      </c>
      <c r="LC153" s="6">
        <v>11579.052327601512</v>
      </c>
      <c r="LD153" s="5">
        <v>14.877952755905511</v>
      </c>
      <c r="LL153" s="15">
        <v>711.19999999999993</v>
      </c>
      <c r="LN153" s="5">
        <v>14.877952755905511</v>
      </c>
      <c r="LO153" s="6">
        <v>5286.7164990958408</v>
      </c>
      <c r="LQ153" s="5">
        <v>24.317362208090177</v>
      </c>
      <c r="MC153" s="6">
        <v>5997.9164990958407</v>
      </c>
      <c r="MY153" s="4">
        <v>0.48260000000000003</v>
      </c>
      <c r="MZ153" s="15">
        <v>366.6338582677165</v>
      </c>
      <c r="NA153" s="4">
        <v>0.127</v>
      </c>
      <c r="NB153" s="6">
        <v>2834.6456692913384</v>
      </c>
      <c r="NC153" s="3">
        <v>3.2511999999999999E-2</v>
      </c>
      <c r="ND153" s="15">
        <v>984.25196850393706</v>
      </c>
      <c r="NJ153" s="4">
        <v>0.64211200000000002</v>
      </c>
      <c r="NK153" s="6">
        <v>2071.0611781620069</v>
      </c>
    </row>
    <row r="154" spans="1:375" x14ac:dyDescent="0.25">
      <c r="A154" s="2">
        <v>1942</v>
      </c>
      <c r="B154" s="6">
        <v>2958.1387</v>
      </c>
      <c r="C154" s="6">
        <v>2402.4438999999998</v>
      </c>
      <c r="D154" s="6">
        <v>3156.5567000000001</v>
      </c>
      <c r="E154" s="15">
        <v>570.77830000000006</v>
      </c>
      <c r="F154" s="5">
        <v>41.456300000000006</v>
      </c>
      <c r="G154" s="6">
        <v>26378.398000000001</v>
      </c>
      <c r="H154" s="15">
        <v>375.00380000000001</v>
      </c>
      <c r="I154" s="6">
        <v>35882.775699999998</v>
      </c>
      <c r="J154" s="15">
        <v>672.17806755618528</v>
      </c>
      <c r="K154" s="6">
        <v>33862.674621785874</v>
      </c>
      <c r="M154" s="6">
        <v>95024.0285</v>
      </c>
      <c r="N154" s="6">
        <v>283175.48310000001</v>
      </c>
      <c r="O154" s="15">
        <v>529.6019</v>
      </c>
      <c r="P154" s="6">
        <v>37010.897100000002</v>
      </c>
      <c r="Q154" s="15">
        <v>112.3643</v>
      </c>
      <c r="R154" s="6">
        <v>6098.3990000000003</v>
      </c>
      <c r="T154" s="6">
        <v>421950.77390000003</v>
      </c>
      <c r="U154" s="4">
        <v>6.7818687577470573</v>
      </c>
      <c r="V154" s="6">
        <v>403035.46866389475</v>
      </c>
      <c r="X154" s="15">
        <v>373.18461538461543</v>
      </c>
      <c r="Y154" s="6">
        <v>1831.848</v>
      </c>
      <c r="Z154" s="6">
        <v>1655.0640000000001</v>
      </c>
      <c r="AC154" s="6">
        <f t="shared" si="358"/>
        <v>3860.0966153846157</v>
      </c>
      <c r="AE154" s="4">
        <v>0.395229298500749</v>
      </c>
      <c r="AN154" s="6">
        <v>1663342.368</v>
      </c>
      <c r="AO154" s="6">
        <v>12401229.960000001</v>
      </c>
      <c r="AP154" s="6">
        <v>317859.66399999999</v>
      </c>
      <c r="AQ154" s="6">
        <v>136593.07200000001</v>
      </c>
      <c r="AR154" s="6">
        <v>1676.4</v>
      </c>
      <c r="AS154" s="6">
        <v>590474.81599999999</v>
      </c>
      <c r="AT154" s="6">
        <v>15111176.280000003</v>
      </c>
      <c r="AU154" s="4">
        <v>1.5238681048670113</v>
      </c>
      <c r="AW154" s="6">
        <v>5012802.7759999996</v>
      </c>
      <c r="AX154" s="4">
        <v>0.18739975258902947</v>
      </c>
      <c r="BD154" s="5">
        <v>16.514064000000001</v>
      </c>
      <c r="BE154" s="5">
        <v>16.514064000000001</v>
      </c>
      <c r="BH154" s="6">
        <v>6432.2960000000003</v>
      </c>
      <c r="BI154" s="6">
        <v>2586.7359999999999</v>
      </c>
      <c r="BK154" s="6">
        <v>11973.56</v>
      </c>
      <c r="BL154" s="15">
        <v>398.27199999999999</v>
      </c>
      <c r="BM154" s="4">
        <v>7.1120000000000001</v>
      </c>
      <c r="BN154" s="4">
        <v>3.048</v>
      </c>
      <c r="BO154" s="6">
        <v>21401.024000000001</v>
      </c>
      <c r="BP154" s="4">
        <v>173.66913105327481</v>
      </c>
      <c r="BQ154" s="6">
        <v>22475.209186200002</v>
      </c>
      <c r="BS154" s="2">
        <v>183</v>
      </c>
      <c r="BV154" s="15">
        <v>183</v>
      </c>
      <c r="BW154" s="4">
        <v>3.6830601092896176</v>
      </c>
      <c r="BZ154" s="6">
        <v>3815.08</v>
      </c>
      <c r="CA154" s="6">
        <v>383769.61599999998</v>
      </c>
      <c r="CB154" s="5">
        <v>22.352</v>
      </c>
      <c r="CD154" s="6">
        <v>2156004.8319999999</v>
      </c>
      <c r="CE154" s="2">
        <v>152.4</v>
      </c>
      <c r="CG154" s="6">
        <v>2543764.2799999998</v>
      </c>
      <c r="CH154" s="4">
        <v>8.8582677165354333</v>
      </c>
      <c r="CJ154" s="15">
        <v>152.4</v>
      </c>
      <c r="CK154" s="15">
        <v>792.48</v>
      </c>
      <c r="CN154" s="6">
        <v>9476.232</v>
      </c>
      <c r="CR154" s="6">
        <v>10421.111999999999</v>
      </c>
      <c r="CS154" s="5">
        <v>12.948665507720625</v>
      </c>
      <c r="DD154" s="6">
        <v>34048.192000000003</v>
      </c>
      <c r="DE154" s="6">
        <v>221345.76</v>
      </c>
      <c r="DG154" s="6">
        <v>10490.2</v>
      </c>
      <c r="DK154" s="6">
        <v>265884.152</v>
      </c>
      <c r="DL154" s="15">
        <v>127.68997231895706</v>
      </c>
      <c r="DM154" s="6">
        <v>264980.80438666668</v>
      </c>
      <c r="DO154" s="6">
        <v>21371.56</v>
      </c>
      <c r="DP154" s="6">
        <v>173958.50400000002</v>
      </c>
      <c r="DR154" s="6">
        <v>28815.792000000001</v>
      </c>
      <c r="DV154" s="6">
        <v>224145.85600000003</v>
      </c>
      <c r="DW154" s="15">
        <v>162.51451022412718</v>
      </c>
      <c r="DX154" s="6">
        <v>217146.06304000001</v>
      </c>
      <c r="DZ154" s="15">
        <v>530.2707200000001</v>
      </c>
      <c r="EA154" s="6">
        <v>1103.6679095</v>
      </c>
      <c r="EB154" s="15">
        <v>54.813200000000009</v>
      </c>
      <c r="EC154" s="6">
        <v>1128.24</v>
      </c>
      <c r="ED154" s="5">
        <v>16.649191999999999</v>
      </c>
      <c r="EE154" s="5">
        <v>27.418397626112757</v>
      </c>
      <c r="EF154" s="6">
        <v>2861.0594191261125</v>
      </c>
      <c r="EG154" s="15">
        <v>698.96130005025975</v>
      </c>
      <c r="EY154" s="5">
        <v>11.176</v>
      </c>
      <c r="EZ154" s="15">
        <v>225.55199999999999</v>
      </c>
      <c r="FA154" s="2">
        <v>5.08</v>
      </c>
      <c r="FB154" s="6">
        <v>1210.5640000000001</v>
      </c>
      <c r="FC154" s="6"/>
      <c r="FD154" s="15">
        <v>631.19000000000005</v>
      </c>
      <c r="FF154" s="6">
        <v>2083.5619999999999</v>
      </c>
      <c r="FG154" s="5">
        <v>63.116546097652012</v>
      </c>
      <c r="FI154" s="200"/>
      <c r="FJ154" s="6">
        <v>364.74400000000003</v>
      </c>
      <c r="FK154" s="200"/>
      <c r="FL154" s="200"/>
      <c r="FM154" s="15">
        <f t="shared" si="354"/>
        <v>364.74400000000003</v>
      </c>
      <c r="FN154" s="5">
        <v>50.002400000000002</v>
      </c>
      <c r="FP154" s="15">
        <v>224.536</v>
      </c>
      <c r="FQ154" s="5">
        <v>71.12</v>
      </c>
      <c r="FS154" s="5">
        <v>71.12</v>
      </c>
      <c r="FT154" s="4">
        <v>6.0960000000000001</v>
      </c>
      <c r="FV154" s="15">
        <v>372.87200000000001</v>
      </c>
      <c r="FW154" s="6">
        <f>2*3661</f>
        <v>7322</v>
      </c>
      <c r="GE154" s="4">
        <v>4.7625055538202039</v>
      </c>
      <c r="GF154" s="4">
        <v>0.42966082713812703</v>
      </c>
      <c r="GG154" s="4">
        <v>2.5883182357718497</v>
      </c>
      <c r="GK154" s="4">
        <f t="shared" si="355"/>
        <v>7.7804846167301811</v>
      </c>
      <c r="GL154" s="15">
        <v>364.04289476518215</v>
      </c>
      <c r="GO154" s="15">
        <v>117.85599999999999</v>
      </c>
      <c r="GQ154" s="6">
        <v>14181.328</v>
      </c>
      <c r="GT154" s="6">
        <v>14299.183999999999</v>
      </c>
      <c r="GU154" s="4">
        <v>3.3582274817506512</v>
      </c>
      <c r="GW154" s="3">
        <v>6.2200000000000005E-2</v>
      </c>
      <c r="GX154" s="86">
        <v>4.7209800000000003E-2</v>
      </c>
      <c r="GY154" s="88">
        <v>8.0860000000000008E-5</v>
      </c>
      <c r="GZ154" s="85">
        <v>7.2774000000000005E-4</v>
      </c>
      <c r="HA154" s="85">
        <v>8.0860000000000003E-4</v>
      </c>
      <c r="HG154" s="4">
        <v>4.4191234000000001</v>
      </c>
      <c r="HH154" s="86">
        <v>1.32573702E-2</v>
      </c>
      <c r="HI154" s="87">
        <v>0.11931633180000001</v>
      </c>
      <c r="HJ154" s="87">
        <v>1.4804063390000002</v>
      </c>
      <c r="HK154" s="87">
        <v>2.5675106953999998</v>
      </c>
      <c r="HO154" s="3">
        <v>4.7209800000000003E-2</v>
      </c>
      <c r="HP154" s="17"/>
      <c r="HQ154" s="3">
        <v>1.33382302E-2</v>
      </c>
      <c r="HR154" s="4">
        <v>0.12004407180000001</v>
      </c>
      <c r="HS154" s="4">
        <v>1.4804063390000002</v>
      </c>
      <c r="HT154" s="4">
        <v>2.5683192953999998</v>
      </c>
      <c r="HV154" s="4">
        <v>0.31243763040914457</v>
      </c>
      <c r="HZ154" s="4">
        <f>SUM(HV154:HY154)</f>
        <v>0.31243763040914457</v>
      </c>
      <c r="IC154" s="15">
        <v>100.51193511303202</v>
      </c>
      <c r="ID154" s="5">
        <v>28.480026501378131</v>
      </c>
      <c r="IE154" s="4">
        <v>1.0235890712871543</v>
      </c>
      <c r="IF154" s="15">
        <v>232.21691130288957</v>
      </c>
      <c r="IH154" s="4">
        <v>0.71703602789891185</v>
      </c>
      <c r="II154" s="15">
        <v>133.42541542709233</v>
      </c>
      <c r="IJ154" s="15">
        <v>496.37491344357812</v>
      </c>
      <c r="IK154" s="6">
        <v>2991.338512367176</v>
      </c>
      <c r="IN154" s="4">
        <v>0.71699120000000005</v>
      </c>
      <c r="IP154" s="4">
        <v>0.71699120000000005</v>
      </c>
      <c r="IQ154" s="6">
        <v>3537.7188428369532</v>
      </c>
      <c r="IW154" s="15">
        <v>161.08680000000001</v>
      </c>
      <c r="IX154" s="61">
        <v>5.08</v>
      </c>
      <c r="IZ154" s="15">
        <v>166.16680000000002</v>
      </c>
      <c r="JJ154" s="6">
        <v>3072.5871999999999</v>
      </c>
      <c r="JV154" s="6">
        <v>3072.5871999999999</v>
      </c>
      <c r="KL154" s="6">
        <v>1107.6432</v>
      </c>
      <c r="KN154" s="5">
        <v>16.994461754471114</v>
      </c>
      <c r="KO154" s="6">
        <v>9502.6479999999992</v>
      </c>
      <c r="LC154" s="6">
        <v>10610.2912</v>
      </c>
      <c r="LD154" s="5">
        <v>16.994461754471114</v>
      </c>
      <c r="LL154" s="6">
        <v>2584.5007999999998</v>
      </c>
      <c r="LN154" s="5">
        <v>16.994461754471114</v>
      </c>
      <c r="LO154" s="6">
        <v>5261.6608000000006</v>
      </c>
      <c r="LQ154" s="5">
        <v>12.429759199563142</v>
      </c>
      <c r="MC154" s="6">
        <v>7846.1616000000004</v>
      </c>
      <c r="MG154" s="4">
        <v>0.52072938401524094</v>
      </c>
      <c r="MQ154" s="4">
        <v>0.52072938401524094</v>
      </c>
      <c r="MY154" s="4">
        <v>0.93979999999999997</v>
      </c>
      <c r="MZ154" s="15">
        <v>861.50995831403429</v>
      </c>
      <c r="NA154" s="3">
        <v>3.5560000000000001E-2</v>
      </c>
      <c r="NB154" s="6">
        <v>9898.7626546681659</v>
      </c>
      <c r="NC154" s="4">
        <v>2.0320000000000001E-2</v>
      </c>
      <c r="ND154" s="15">
        <v>984.25196850393695</v>
      </c>
      <c r="NJ154" s="4">
        <v>0.99568000000000001</v>
      </c>
      <c r="NK154" s="6">
        <v>2298.6658844199033</v>
      </c>
    </row>
    <row r="155" spans="1:375" x14ac:dyDescent="0.25">
      <c r="A155" s="2">
        <v>1943</v>
      </c>
      <c r="B155" s="6">
        <v>1954.2618</v>
      </c>
      <c r="C155" s="6">
        <v>1983.5269000000001</v>
      </c>
      <c r="D155" s="6">
        <v>1757.4921000000002</v>
      </c>
      <c r="E155" s="15">
        <v>536.31949999999995</v>
      </c>
      <c r="F155" s="5">
        <v>16.140900000000002</v>
      </c>
      <c r="G155" s="6">
        <v>16995.372500000001</v>
      </c>
      <c r="H155" s="15">
        <v>121.66320000000002</v>
      </c>
      <c r="I155" s="6">
        <v>23364.776900000001</v>
      </c>
      <c r="J155" s="15">
        <v>672.02582479428884</v>
      </c>
      <c r="K155" s="6">
        <v>21936.177852547084</v>
      </c>
      <c r="M155" s="6">
        <v>24104.7392</v>
      </c>
      <c r="N155" s="6">
        <v>243505.81590000002</v>
      </c>
      <c r="O155" s="15">
        <v>541.85530000000006</v>
      </c>
      <c r="P155" s="6">
        <v>34725.513599999998</v>
      </c>
      <c r="Q155" s="5">
        <v>10.9472</v>
      </c>
      <c r="R155" s="6">
        <v>3916.9828000000002</v>
      </c>
      <c r="T155" s="6">
        <v>306805.85399999999</v>
      </c>
      <c r="U155" s="4">
        <v>6.7995253981112294</v>
      </c>
      <c r="V155" s="6">
        <v>286405.2917742632</v>
      </c>
      <c r="X155" s="15">
        <v>373.18461538461543</v>
      </c>
      <c r="Y155" s="15">
        <v>733.55200000000002</v>
      </c>
      <c r="Z155" s="6">
        <v>1855.2160000000001</v>
      </c>
      <c r="AC155" s="6">
        <f t="shared" si="358"/>
        <v>2961.9526153846155</v>
      </c>
      <c r="AE155" s="4">
        <v>0.36534560603747246</v>
      </c>
      <c r="AN155" s="6">
        <v>1726713.3360000001</v>
      </c>
      <c r="AO155" s="6">
        <v>11657074.983999999</v>
      </c>
      <c r="AP155" s="6">
        <v>291693.59999999998</v>
      </c>
      <c r="AQ155" s="6">
        <v>148216.11199999999</v>
      </c>
      <c r="AS155" s="6">
        <v>540050.73600000003</v>
      </c>
      <c r="AT155" s="6">
        <v>14363748.767999999</v>
      </c>
      <c r="AU155" s="4">
        <v>1.5862397701736988</v>
      </c>
      <c r="AW155" s="6">
        <v>5173196.6639999999</v>
      </c>
      <c r="AX155" s="4">
        <v>0.20438658506024274</v>
      </c>
      <c r="BD155" s="5">
        <v>14.584680000000001</v>
      </c>
      <c r="BE155" s="5">
        <v>14.584680000000001</v>
      </c>
      <c r="BH155" s="6">
        <v>10930.128000000001</v>
      </c>
      <c r="BI155" s="6">
        <v>3554.9839999999999</v>
      </c>
      <c r="BK155" s="6">
        <v>11326.368</v>
      </c>
      <c r="BL155" s="15">
        <v>103.63200000000001</v>
      </c>
      <c r="BN155" s="5">
        <v>24.384</v>
      </c>
      <c r="BO155" s="6">
        <v>25939.495999999999</v>
      </c>
      <c r="BP155" s="4">
        <v>196.85039370078741</v>
      </c>
      <c r="BQ155" s="6">
        <v>25965.763463520001</v>
      </c>
      <c r="BS155" s="2">
        <v>429</v>
      </c>
      <c r="BV155" s="15">
        <v>429</v>
      </c>
      <c r="BW155" s="4">
        <v>4.1958041958041958</v>
      </c>
      <c r="BZ155" s="6">
        <v>3094.7359999999999</v>
      </c>
      <c r="CA155" s="6">
        <v>467263.48</v>
      </c>
      <c r="CD155" s="6">
        <v>2217756.2960000001</v>
      </c>
      <c r="CE155" s="2">
        <v>85.343999999999994</v>
      </c>
      <c r="CG155" s="6">
        <v>2688199.8560000001</v>
      </c>
      <c r="CH155" s="4">
        <v>10.826771653543306</v>
      </c>
      <c r="CJ155" s="5">
        <v>56.896000000000001</v>
      </c>
      <c r="CK155" s="15">
        <v>613.66399999999999</v>
      </c>
      <c r="CN155" s="6">
        <v>5679.44</v>
      </c>
      <c r="CR155" s="6">
        <v>6350</v>
      </c>
      <c r="CS155" s="5">
        <v>13.957573138723513</v>
      </c>
      <c r="DD155" s="6">
        <v>8716.2639999999992</v>
      </c>
      <c r="DE155" s="6">
        <v>190640.20800000001</v>
      </c>
      <c r="DG155" s="6">
        <v>9317.7360000000008</v>
      </c>
      <c r="DI155" s="15">
        <v>111.76</v>
      </c>
      <c r="DK155" s="6">
        <v>208785.96800000002</v>
      </c>
      <c r="DL155" s="15">
        <v>127.68997231895706</v>
      </c>
      <c r="DM155" s="6">
        <v>208386.35996000003</v>
      </c>
      <c r="DO155" s="6">
        <v>5158.232</v>
      </c>
      <c r="DP155" s="6">
        <v>152133.80799999999</v>
      </c>
      <c r="DR155" s="6">
        <v>26852.880000000001</v>
      </c>
      <c r="DV155" s="6">
        <v>184144.91999999998</v>
      </c>
      <c r="DW155" s="15">
        <v>162.51451022412718</v>
      </c>
      <c r="DX155" s="6">
        <v>178711.19959999999</v>
      </c>
      <c r="DZ155" s="15">
        <v>558.29200000000003</v>
      </c>
      <c r="EA155" s="6">
        <v>1190.2143454999998</v>
      </c>
      <c r="EB155" s="15">
        <v>39.624000000000002</v>
      </c>
      <c r="EC155" s="6">
        <v>916.63200000000006</v>
      </c>
      <c r="ED155" s="5">
        <v>6.2016639999999992</v>
      </c>
      <c r="EE155" s="5">
        <v>6.2314540059347179</v>
      </c>
      <c r="EF155" s="6">
        <v>2717.1954635059351</v>
      </c>
      <c r="EG155" s="15">
        <v>739.23371310429775</v>
      </c>
      <c r="EY155" s="5">
        <v>10.16</v>
      </c>
      <c r="EZ155" s="15">
        <v>212.34399999999999</v>
      </c>
      <c r="FA155" s="5">
        <v>24.384</v>
      </c>
      <c r="FB155" s="15">
        <v>749.7775200000001</v>
      </c>
      <c r="FC155" s="6"/>
      <c r="FD155" s="15">
        <v>810.26</v>
      </c>
      <c r="FF155" s="6">
        <v>1806.92552</v>
      </c>
      <c r="FG155" s="5">
        <v>80.816976227253889</v>
      </c>
      <c r="FI155" s="6">
        <v>590.29600000000005</v>
      </c>
      <c r="FJ155" s="6">
        <v>411.48</v>
      </c>
      <c r="FK155" s="200"/>
      <c r="FL155" s="200"/>
      <c r="FM155" s="15">
        <f t="shared" si="354"/>
        <v>1001.7760000000001</v>
      </c>
      <c r="FN155" s="5">
        <v>58.038499999999999</v>
      </c>
      <c r="FP155" s="15">
        <v>359.66399999999999</v>
      </c>
      <c r="FQ155" s="15">
        <v>113.792</v>
      </c>
      <c r="FR155" s="4">
        <v>7.1120000000000001</v>
      </c>
      <c r="FS155" s="5">
        <v>39.624000000000002</v>
      </c>
      <c r="FT155" s="5">
        <v>11.176</v>
      </c>
      <c r="FV155" s="15">
        <v>531.36800000000005</v>
      </c>
      <c r="FW155" s="6">
        <f>2*1904</f>
        <v>3808</v>
      </c>
      <c r="FY155" s="4">
        <v>0.20297082195448457</v>
      </c>
      <c r="GB155" s="4">
        <v>0.20297082195448457</v>
      </c>
      <c r="GE155" s="4">
        <v>4.5813232773161747</v>
      </c>
      <c r="GF155" s="4">
        <v>4.2396652701942905</v>
      </c>
      <c r="GG155" s="4">
        <v>4.1413091772349606</v>
      </c>
      <c r="GK155" s="5">
        <f t="shared" si="355"/>
        <v>12.962297724745426</v>
      </c>
      <c r="GL155" s="6">
        <v>8226.843924234272</v>
      </c>
      <c r="GO155" s="15">
        <v>121.92</v>
      </c>
      <c r="GQ155" s="6">
        <v>12975.335999999999</v>
      </c>
      <c r="GR155" s="15">
        <v>42.671999999999997</v>
      </c>
      <c r="GT155" s="6">
        <v>13139.928</v>
      </c>
      <c r="GU155" s="4">
        <v>3.1382905967723311</v>
      </c>
      <c r="GW155" s="3">
        <v>9.3300000000000008E-2</v>
      </c>
      <c r="GX155" s="86">
        <v>7.0814700000000008E-2</v>
      </c>
      <c r="GY155" s="88">
        <v>1.2129E-4</v>
      </c>
      <c r="GZ155" s="85">
        <v>1.09161E-3</v>
      </c>
      <c r="HA155" s="85">
        <v>1.2129E-3</v>
      </c>
      <c r="HG155" s="4">
        <v>2.7895144999999997</v>
      </c>
      <c r="HH155" s="85">
        <v>8.3685434999999989E-3</v>
      </c>
      <c r="HI155" s="86">
        <v>7.5316891499999997E-2</v>
      </c>
      <c r="HJ155" s="87">
        <v>0.93448735749999989</v>
      </c>
      <c r="HK155" s="87">
        <v>1.6207079244999998</v>
      </c>
      <c r="HO155" s="3">
        <v>7.0814700000000008E-2</v>
      </c>
      <c r="HP155" s="17"/>
      <c r="HQ155" s="7">
        <v>8.4898334999999985E-3</v>
      </c>
      <c r="HR155" s="3">
        <v>7.6408501500000003E-2</v>
      </c>
      <c r="HS155" s="4">
        <v>0.93448735749999989</v>
      </c>
      <c r="HT155" s="4">
        <v>1.6219208244999999</v>
      </c>
      <c r="HV155" s="4">
        <v>1.0361063231425218</v>
      </c>
      <c r="HW155" s="5">
        <v>12.435839999999999</v>
      </c>
      <c r="HZ155" s="5">
        <f t="shared" ref="HZ155:HZ156" si="360">SUM(HV155:HY155)</f>
        <v>13.471946323142522</v>
      </c>
      <c r="IC155" s="5">
        <v>80.777331176645674</v>
      </c>
      <c r="ID155" s="5">
        <v>35.650386780367242</v>
      </c>
      <c r="IE155" s="4">
        <v>6.8158705573312286</v>
      </c>
      <c r="IF155" s="15">
        <v>250.71192913531493</v>
      </c>
      <c r="IH155" s="4">
        <v>3.9741935894061529</v>
      </c>
      <c r="II155" s="5">
        <v>84.548145898188096</v>
      </c>
      <c r="IJ155" s="15">
        <v>462.4778571372533</v>
      </c>
      <c r="IK155" s="6">
        <v>3116.3496740780429</v>
      </c>
      <c r="IM155" s="3">
        <v>1.5976396799999997E-2</v>
      </c>
      <c r="IN155" s="4">
        <v>8.3170979200000001</v>
      </c>
      <c r="IO155" s="4">
        <v>0.1704148992</v>
      </c>
      <c r="IP155" s="4">
        <v>8.5034892160000002</v>
      </c>
      <c r="IQ155" s="6">
        <v>7661.9494595668912</v>
      </c>
      <c r="IS155" s="7">
        <v>6.8177663999999995E-3</v>
      </c>
      <c r="IT155" s="3">
        <v>7.2722841600000004E-2</v>
      </c>
      <c r="IU155" s="3">
        <f t="shared" ref="IU155:IU157" si="361">IS155+IT155</f>
        <v>7.9540607999999999E-2</v>
      </c>
      <c r="IW155" s="15">
        <v>163.35248000000001</v>
      </c>
      <c r="IX155" s="16">
        <v>18.288</v>
      </c>
      <c r="IZ155" s="15">
        <v>181.64048000000003</v>
      </c>
      <c r="JJ155" s="6">
        <v>1308.5869551208286</v>
      </c>
      <c r="JV155" s="6">
        <v>1308.5869551208286</v>
      </c>
      <c r="KL155" s="6">
        <v>2428.9512</v>
      </c>
      <c r="KN155" s="5">
        <v>16.063476285567205</v>
      </c>
      <c r="KO155" s="6">
        <v>7389.6788592890107</v>
      </c>
      <c r="LC155" s="6">
        <v>9818.6300592890111</v>
      </c>
      <c r="LD155" s="5">
        <v>16.063476285567205</v>
      </c>
      <c r="LL155" s="6">
        <v>5667.5527999999995</v>
      </c>
      <c r="LN155" s="5">
        <v>16.063476285567202</v>
      </c>
      <c r="LO155" s="6">
        <v>14120.078185590162</v>
      </c>
      <c r="LQ155" s="5">
        <v>12.76403508589723</v>
      </c>
      <c r="MC155" s="6">
        <v>19787.630985590164</v>
      </c>
      <c r="MG155" s="4">
        <v>1.7268438719042032</v>
      </c>
      <c r="MJ155" s="15">
        <v>20.726399999999998</v>
      </c>
      <c r="MQ155" s="5">
        <v>22.453243871904203</v>
      </c>
      <c r="MY155" s="5">
        <v>1.016</v>
      </c>
      <c r="MZ155" s="6">
        <v>1077.0528683914511</v>
      </c>
      <c r="NA155" s="4">
        <v>0.24384000000000003</v>
      </c>
      <c r="NB155" s="6">
        <v>7857.6115485564296</v>
      </c>
      <c r="NC155" s="4">
        <v>0.313944</v>
      </c>
      <c r="ND155" s="6">
        <v>1535.305659608083</v>
      </c>
      <c r="NG155" s="4">
        <v>0.12700716683298557</v>
      </c>
      <c r="NH155" s="6">
        <v>2157.3585714285714</v>
      </c>
      <c r="NI155" s="5">
        <v>3.6169600000000002</v>
      </c>
      <c r="NJ155" s="4">
        <v>5.317751166832986</v>
      </c>
      <c r="NK155" s="6">
        <v>2088.7723170172667</v>
      </c>
    </row>
    <row r="156" spans="1:375" x14ac:dyDescent="0.25">
      <c r="A156" s="2">
        <v>1944</v>
      </c>
      <c r="B156" s="6">
        <v>1593.0353</v>
      </c>
      <c r="C156" s="6">
        <v>1947.171</v>
      </c>
      <c r="D156" s="6">
        <v>1682.0746000000001</v>
      </c>
      <c r="E156" s="15">
        <v>517.90830000000005</v>
      </c>
      <c r="F156" s="5">
        <v>16.762900000000002</v>
      </c>
      <c r="G156" s="6">
        <v>14500.8415</v>
      </c>
      <c r="H156" s="15">
        <v>170.77010000000001</v>
      </c>
      <c r="I156" s="6">
        <v>20428.563700000002</v>
      </c>
      <c r="J156" s="15">
        <v>675.82279652682507</v>
      </c>
      <c r="K156" s="6">
        <v>20083.353151327876</v>
      </c>
      <c r="M156" s="6">
        <v>3491.0994000000005</v>
      </c>
      <c r="N156" s="6">
        <v>219772.13080000001</v>
      </c>
      <c r="O156" s="15">
        <v>477.13620000000003</v>
      </c>
      <c r="P156" s="6">
        <v>31976.2736</v>
      </c>
      <c r="Q156" s="5">
        <v>73.551500000000004</v>
      </c>
      <c r="R156" s="6">
        <v>4048.1004000000003</v>
      </c>
      <c r="T156" s="6">
        <v>259838.29190000001</v>
      </c>
      <c r="U156" s="4">
        <v>8.4404957933109834</v>
      </c>
      <c r="V156" s="6">
        <v>254736.99777500003</v>
      </c>
      <c r="X156" s="15">
        <v>373.18461538461543</v>
      </c>
      <c r="Y156" s="6">
        <v>2024.8879999999999</v>
      </c>
      <c r="Z156" s="6">
        <v>1842.008</v>
      </c>
      <c r="AC156" s="6">
        <f t="shared" si="358"/>
        <v>4240.0806153846152</v>
      </c>
      <c r="AE156" s="4">
        <v>0.27557079700210579</v>
      </c>
      <c r="AN156" s="6">
        <v>1686229.8</v>
      </c>
      <c r="AO156" s="6">
        <v>11279772.208000001</v>
      </c>
      <c r="AP156" s="6">
        <v>261815.07200000001</v>
      </c>
      <c r="AQ156" s="6">
        <v>145939.25599999999</v>
      </c>
      <c r="AR156" s="6">
        <v>35173.919999999998</v>
      </c>
      <c r="AS156" s="6">
        <v>567255.152</v>
      </c>
      <c r="AT156" s="6">
        <v>13976185.408000002</v>
      </c>
      <c r="AU156" s="4">
        <v>1.6323136372329834</v>
      </c>
      <c r="AW156" s="6">
        <v>5096699.9920000006</v>
      </c>
      <c r="AX156" s="4">
        <v>0.22227872972280691</v>
      </c>
      <c r="BD156" s="5">
        <v>13.451839999999999</v>
      </c>
      <c r="BE156" s="5">
        <v>13.451839999999999</v>
      </c>
      <c r="BH156" s="6">
        <v>16056.864</v>
      </c>
      <c r="BI156" s="6">
        <v>3677.92</v>
      </c>
      <c r="BK156" s="6">
        <v>10376.407999999999</v>
      </c>
      <c r="BL156" s="15">
        <v>137.16</v>
      </c>
      <c r="BM156" s="5">
        <v>16.256</v>
      </c>
      <c r="BN156" s="5">
        <v>19.304000000000002</v>
      </c>
      <c r="BO156" s="6">
        <v>30283.912</v>
      </c>
      <c r="BP156" s="4">
        <v>196.85039370078741</v>
      </c>
      <c r="BQ156" s="6">
        <v>29372.702233440003</v>
      </c>
      <c r="BS156" s="2">
        <v>198</v>
      </c>
      <c r="BV156" s="15">
        <v>198</v>
      </c>
      <c r="BW156" s="4">
        <v>4.8383838383838382</v>
      </c>
      <c r="BZ156" s="6">
        <v>2374.3919999999998</v>
      </c>
      <c r="CA156" s="6">
        <v>305166.77600000001</v>
      </c>
      <c r="CD156" s="6">
        <v>2061708.8560000001</v>
      </c>
      <c r="CG156" s="6">
        <v>2369250.0240000002</v>
      </c>
      <c r="CH156" s="4">
        <v>10.826771653543306</v>
      </c>
      <c r="CK156" s="15">
        <v>782.32</v>
      </c>
      <c r="CN156" s="6">
        <v>1239.52</v>
      </c>
      <c r="CR156" s="6">
        <v>2021.8400000000001</v>
      </c>
      <c r="CS156" s="5">
        <v>13.960032974217572</v>
      </c>
      <c r="DE156" s="6">
        <v>182256.17600000001</v>
      </c>
      <c r="DG156" s="6">
        <v>9603.232</v>
      </c>
      <c r="DK156" s="6">
        <v>191859.408</v>
      </c>
      <c r="DL156" s="15">
        <v>127.68997231895706</v>
      </c>
      <c r="DM156" s="6">
        <v>190664.592</v>
      </c>
      <c r="DP156" s="6">
        <v>149730.96799999999</v>
      </c>
      <c r="DR156" s="6">
        <v>26738.072</v>
      </c>
      <c r="DV156" s="6">
        <v>176469.03999999998</v>
      </c>
      <c r="DW156" s="15">
        <v>162.51451022412718</v>
      </c>
      <c r="DX156" s="6">
        <v>170897.44839999999</v>
      </c>
      <c r="DZ156" s="15">
        <v>876.26951999999994</v>
      </c>
      <c r="EA156" s="6">
        <v>1113.8894410000003</v>
      </c>
      <c r="EB156" s="15">
        <v>36.322000000000003</v>
      </c>
      <c r="EC156" s="6">
        <v>767.44</v>
      </c>
      <c r="ED156" s="5">
        <v>7.880096</v>
      </c>
      <c r="EE156" s="5">
        <v>14.955489614243323</v>
      </c>
      <c r="EF156" s="6">
        <v>2816.7565466142432</v>
      </c>
      <c r="EG156" s="15">
        <v>740.24348291415038</v>
      </c>
      <c r="EY156" s="5">
        <v>10.16</v>
      </c>
      <c r="EZ156" s="15">
        <v>137.16</v>
      </c>
      <c r="FA156" s="15">
        <v>256.03199999999998</v>
      </c>
      <c r="FB156" s="4">
        <v>7.9248000000000003</v>
      </c>
      <c r="FC156" s="6"/>
      <c r="FD156" s="15">
        <v>444.75400000000002</v>
      </c>
      <c r="FF156" s="15">
        <v>856.0308</v>
      </c>
      <c r="FG156" s="5">
        <v>59.015521766675718</v>
      </c>
      <c r="FI156" s="6">
        <v>534.41600000000005</v>
      </c>
      <c r="FJ156" s="6">
        <v>245.87200000000001</v>
      </c>
      <c r="FK156" s="200"/>
      <c r="FL156" s="200"/>
      <c r="FM156" s="15">
        <f t="shared" si="354"/>
        <v>780.28800000000001</v>
      </c>
      <c r="FN156" s="5">
        <v>62.503</v>
      </c>
      <c r="FP156" s="5">
        <v>51.816000000000003</v>
      </c>
      <c r="FQ156" s="15">
        <v>142.24</v>
      </c>
      <c r="FS156" s="15">
        <v>210.31200000000001</v>
      </c>
      <c r="FV156" s="15">
        <v>404.36800000000005</v>
      </c>
      <c r="FW156" s="6">
        <f>2*3970</f>
        <v>7940</v>
      </c>
      <c r="GE156" s="4">
        <v>0.18118227650402949</v>
      </c>
      <c r="GF156" s="4">
        <v>2.6400846004872869</v>
      </c>
      <c r="GG156" s="4">
        <v>6.21196376585244</v>
      </c>
      <c r="GK156" s="4">
        <f t="shared" si="355"/>
        <v>9.0332306428437565</v>
      </c>
      <c r="GL156" s="15">
        <v>208.01708184755785</v>
      </c>
      <c r="GQ156" s="6">
        <v>4166.616</v>
      </c>
      <c r="GR156" s="6">
        <v>2250.44</v>
      </c>
      <c r="GT156" s="6">
        <v>6417.0560000000005</v>
      </c>
      <c r="GU156" s="4">
        <v>3.647010145479221</v>
      </c>
      <c r="GW156" s="3">
        <v>6.2200000000000005E-2</v>
      </c>
      <c r="GX156" s="86">
        <v>4.7209800000000003E-2</v>
      </c>
      <c r="GY156" s="88">
        <v>8.0860000000000008E-5</v>
      </c>
      <c r="GZ156" s="85">
        <v>7.2774000000000005E-4</v>
      </c>
      <c r="HA156" s="85">
        <v>8.0860000000000003E-4</v>
      </c>
      <c r="HG156" s="4">
        <v>3.328322</v>
      </c>
      <c r="HH156" s="86">
        <v>9.9849659999999996E-3</v>
      </c>
      <c r="HI156" s="86">
        <v>8.9864693999999995E-2</v>
      </c>
      <c r="HJ156" s="87">
        <v>1.11498787</v>
      </c>
      <c r="HK156" s="87">
        <v>1.9337550819999998</v>
      </c>
      <c r="HO156" s="3">
        <v>4.7209800000000003E-2</v>
      </c>
      <c r="HP156" s="17"/>
      <c r="HQ156" s="3">
        <v>1.0065826E-2</v>
      </c>
      <c r="HR156" s="3">
        <v>9.0592433999999999E-2</v>
      </c>
      <c r="HS156" s="4">
        <v>1.11498787</v>
      </c>
      <c r="HT156" s="4">
        <v>1.9345636819999998</v>
      </c>
      <c r="HV156" s="4">
        <v>1.09728</v>
      </c>
      <c r="HZ156" s="4">
        <f t="shared" si="360"/>
        <v>1.09728</v>
      </c>
      <c r="IC156" s="5">
        <v>104.47778887407965</v>
      </c>
      <c r="ID156" s="5">
        <v>26.370208413669953</v>
      </c>
      <c r="IE156" s="4">
        <v>1.4501852249640914</v>
      </c>
      <c r="IF156" s="15">
        <v>160.09370144644731</v>
      </c>
      <c r="IH156" s="5">
        <v>31.428736458805112</v>
      </c>
      <c r="II156" s="5">
        <v>70.734321490940474</v>
      </c>
      <c r="IJ156" s="15">
        <v>394.55494190890659</v>
      </c>
      <c r="IK156" s="6">
        <v>2902.0448254308421</v>
      </c>
      <c r="IN156" s="5">
        <v>14.540581536000001</v>
      </c>
      <c r="IO156" s="4">
        <v>0.14378757119999999</v>
      </c>
      <c r="IP156" s="5">
        <v>14.684369107200002</v>
      </c>
      <c r="IQ156" s="6">
        <v>9511.0895828820812</v>
      </c>
      <c r="IT156" s="3">
        <v>6.1359897599999998E-2</v>
      </c>
      <c r="IU156" s="3">
        <f t="shared" si="361"/>
        <v>6.1359897599999998E-2</v>
      </c>
      <c r="IW156" s="15">
        <v>260.43128000000002</v>
      </c>
      <c r="IX156" s="16">
        <v>11.176</v>
      </c>
      <c r="IZ156" s="15">
        <v>271.60728</v>
      </c>
      <c r="JJ156" s="6">
        <v>1602.580058918297</v>
      </c>
      <c r="JV156" s="6">
        <v>1602.580058918297</v>
      </c>
      <c r="KL156" s="6">
        <v>4474.6671999999999</v>
      </c>
      <c r="KN156" s="5">
        <v>18.38739649733057</v>
      </c>
      <c r="KO156" s="6">
        <v>4716.8482622390266</v>
      </c>
      <c r="LC156" s="6">
        <v>9191.5154622390255</v>
      </c>
      <c r="LD156" s="5">
        <v>18.38739649733057</v>
      </c>
      <c r="LL156" s="6">
        <v>10230.103999999999</v>
      </c>
      <c r="LN156" s="5">
        <v>16.963366159327414</v>
      </c>
      <c r="LO156" s="6">
        <v>7684.0996788426764</v>
      </c>
      <c r="LQ156" s="5">
        <v>13.098310972231319</v>
      </c>
      <c r="MC156" s="6">
        <v>17914.203678842678</v>
      </c>
      <c r="MG156" s="5">
        <v>1.8288</v>
      </c>
      <c r="MQ156" s="4">
        <v>1.8288</v>
      </c>
      <c r="MY156" s="5">
        <v>1.1938</v>
      </c>
      <c r="MZ156" s="6">
        <v>1091.4260717410323</v>
      </c>
      <c r="NA156" s="4">
        <v>0.9144000000000001</v>
      </c>
      <c r="NB156" s="6">
        <v>2996.5004374453192</v>
      </c>
      <c r="NC156" s="4">
        <v>0.153416</v>
      </c>
      <c r="ND156" s="6">
        <v>1642.5926891588883</v>
      </c>
      <c r="NG156" s="4">
        <v>0.66497323777556017</v>
      </c>
      <c r="NH156" s="6">
        <v>1449.6824010914052</v>
      </c>
      <c r="NI156" s="4">
        <v>0.20320000000000002</v>
      </c>
      <c r="NJ156" s="4">
        <v>3.1297892377755598</v>
      </c>
      <c r="NK156" s="6">
        <v>1936.5732123719561</v>
      </c>
    </row>
    <row r="157" spans="1:375" x14ac:dyDescent="0.25">
      <c r="A157" s="2">
        <v>1945</v>
      </c>
      <c r="B157" s="6">
        <v>1966.2353000000001</v>
      </c>
      <c r="C157" s="6">
        <v>1341.3119000000002</v>
      </c>
      <c r="D157" s="6">
        <v>1921.6690000000001</v>
      </c>
      <c r="E157" s="15">
        <v>405.85500000000002</v>
      </c>
      <c r="F157" s="4">
        <v>8.6147000000000009</v>
      </c>
      <c r="G157" s="6">
        <v>14571.936100000001</v>
      </c>
      <c r="H157" s="15">
        <v>223.70230000000001</v>
      </c>
      <c r="I157" s="6">
        <v>20439.324300000004</v>
      </c>
      <c r="J157" s="15">
        <v>687.69777191599121</v>
      </c>
      <c r="K157" s="6">
        <v>20077.209342436159</v>
      </c>
      <c r="M157" s="6">
        <v>3505.2809999999999</v>
      </c>
      <c r="N157" s="6">
        <v>207944.58310000002</v>
      </c>
      <c r="O157" s="15">
        <v>462.17710000000005</v>
      </c>
      <c r="P157" s="6">
        <v>25382.482700000004</v>
      </c>
      <c r="Q157" s="15">
        <v>100.79510000000001</v>
      </c>
      <c r="R157" s="6">
        <v>3937.2289000000005</v>
      </c>
      <c r="T157" s="6">
        <v>241332.54790000001</v>
      </c>
      <c r="U157" s="5">
        <v>10.139309846666629</v>
      </c>
      <c r="V157" s="6">
        <v>215548.46471273684</v>
      </c>
      <c r="X157" s="15">
        <v>373.18461538461543</v>
      </c>
      <c r="Y157" s="6">
        <v>1699.768</v>
      </c>
      <c r="Z157" s="6">
        <v>1792.2239999999999</v>
      </c>
      <c r="AC157" s="6">
        <f t="shared" si="358"/>
        <v>3865.1766153846156</v>
      </c>
      <c r="AE157" s="4">
        <v>0.34357629982444665</v>
      </c>
      <c r="AN157" s="6">
        <v>1660901.936</v>
      </c>
      <c r="AO157" s="6">
        <v>10340174.392000001</v>
      </c>
      <c r="AP157" s="6">
        <v>251253.75200000001</v>
      </c>
      <c r="AQ157" s="6">
        <v>151462.23199999999</v>
      </c>
      <c r="AR157" s="6">
        <v>42115.232000000004</v>
      </c>
      <c r="AS157" s="6">
        <v>552056.80799999996</v>
      </c>
      <c r="AT157" s="6">
        <v>12997964.352000004</v>
      </c>
      <c r="AU157" s="4">
        <v>1.6716833862975102</v>
      </c>
      <c r="AW157" s="6">
        <v>5532229.7280000001</v>
      </c>
      <c r="AX157" s="4">
        <v>0.23175407953828323</v>
      </c>
      <c r="BD157" s="5">
        <v>14.142719999999999</v>
      </c>
      <c r="BE157" s="5">
        <v>14.142719999999999</v>
      </c>
      <c r="BH157" s="6">
        <v>15247.112000000001</v>
      </c>
      <c r="BI157" s="6">
        <v>3417.8240000000001</v>
      </c>
      <c r="BK157" s="6">
        <v>7592.5680000000002</v>
      </c>
      <c r="BL157" s="15">
        <v>136.14400000000001</v>
      </c>
      <c r="BM157" s="5">
        <v>36.576000000000001</v>
      </c>
      <c r="BN157" s="5">
        <v>23.368000000000002</v>
      </c>
      <c r="BO157" s="6">
        <v>26453.592000000001</v>
      </c>
      <c r="BP157" s="4">
        <v>196.85039370078738</v>
      </c>
      <c r="BQ157" s="6">
        <v>24335.437053200003</v>
      </c>
      <c r="BS157" s="2">
        <v>72.5</v>
      </c>
      <c r="BV157" s="15">
        <v>72.5</v>
      </c>
      <c r="BW157" s="4">
        <v>4.6068965517241383</v>
      </c>
      <c r="BZ157" s="6">
        <v>1742.44</v>
      </c>
      <c r="CA157" s="6">
        <v>95754.952000000005</v>
      </c>
      <c r="CD157" s="6">
        <v>1543907.504</v>
      </c>
      <c r="CG157" s="6">
        <v>1641404.8959999999</v>
      </c>
      <c r="CH157" s="4">
        <v>9.6046274627173016</v>
      </c>
      <c r="CK157" s="6">
        <v>999.74400000000003</v>
      </c>
      <c r="CR157" s="6">
        <v>999.74400000000003</v>
      </c>
      <c r="CS157" s="5">
        <v>15.681050265692214</v>
      </c>
      <c r="DE157" s="6">
        <v>158025.592</v>
      </c>
      <c r="DG157" s="6">
        <v>6901.6880000000001</v>
      </c>
      <c r="DH157" s="4">
        <v>4.0640000000000001</v>
      </c>
      <c r="DK157" s="6">
        <v>164931.34400000001</v>
      </c>
      <c r="DL157" s="15">
        <v>127.68997231895706</v>
      </c>
      <c r="DM157" s="6">
        <v>164473.95604000002</v>
      </c>
      <c r="DP157" s="6">
        <v>132546.34400000001</v>
      </c>
      <c r="DR157" s="6">
        <v>20171.664000000001</v>
      </c>
      <c r="DV157" s="6">
        <v>152718.008</v>
      </c>
      <c r="DW157" s="15">
        <v>162.51451022412718</v>
      </c>
      <c r="DX157" s="6">
        <v>148405.43344000002</v>
      </c>
      <c r="DZ157" s="15">
        <v>661.62936000000002</v>
      </c>
      <c r="EA157" s="15">
        <v>782.43893549999996</v>
      </c>
      <c r="EB157" s="15">
        <v>27.736799999999999</v>
      </c>
      <c r="EC157" s="6">
        <v>783.88</v>
      </c>
      <c r="ED157" s="5">
        <v>15.297912000000002</v>
      </c>
      <c r="EE157" s="5">
        <v>12.878338278931748</v>
      </c>
      <c r="EF157" s="6">
        <v>2283.8613457789315</v>
      </c>
      <c r="EG157" s="15">
        <v>740.18792109749165</v>
      </c>
      <c r="EY157" s="5">
        <v>12.192</v>
      </c>
      <c r="EZ157" s="5">
        <v>77.216000000000008</v>
      </c>
      <c r="FA157" s="4">
        <v>7.1120000000000001</v>
      </c>
      <c r="FC157" s="6">
        <v>1879.6000000000001</v>
      </c>
      <c r="FF157" s="6">
        <v>1976.1200000000001</v>
      </c>
      <c r="FG157" s="5">
        <v>75.217571487774549</v>
      </c>
      <c r="FI157" s="200"/>
      <c r="FJ157" s="6">
        <v>286.512</v>
      </c>
      <c r="FK157" s="200"/>
      <c r="FL157" s="200"/>
      <c r="FM157" s="15">
        <f t="shared" si="354"/>
        <v>286.512</v>
      </c>
      <c r="FN157" s="5">
        <v>62.503</v>
      </c>
      <c r="FP157" s="5">
        <v>57.911999999999999</v>
      </c>
      <c r="FQ157" s="2">
        <v>50.8</v>
      </c>
      <c r="FS157" s="5">
        <v>37.591999999999999</v>
      </c>
      <c r="FV157" s="15">
        <v>146.30399999999997</v>
      </c>
      <c r="FW157" s="6">
        <f>2*3080</f>
        <v>6160</v>
      </c>
      <c r="GF157" s="4">
        <v>0.2174187318048354</v>
      </c>
      <c r="GK157" s="4">
        <f t="shared" si="355"/>
        <v>0.2174187318048354</v>
      </c>
      <c r="GL157" s="15">
        <v>149.72988740232674</v>
      </c>
      <c r="GQ157" s="15">
        <v>725.42399999999998</v>
      </c>
      <c r="GR157" s="6">
        <v>8618.728000000001</v>
      </c>
      <c r="GT157" s="6">
        <v>9344.1520000000019</v>
      </c>
      <c r="GU157" s="4">
        <v>5.1291883614088825</v>
      </c>
      <c r="GW157" s="3">
        <v>6.2200000000000005E-2</v>
      </c>
      <c r="GX157" s="86">
        <v>4.7209800000000003E-2</v>
      </c>
      <c r="GY157" s="88">
        <v>8.0860000000000008E-5</v>
      </c>
      <c r="GZ157" s="85">
        <v>7.2774000000000005E-4</v>
      </c>
      <c r="HA157" s="85">
        <v>8.0860000000000003E-4</v>
      </c>
      <c r="HG157" s="4">
        <v>3.3821249999999998</v>
      </c>
      <c r="HH157" s="86">
        <v>1.0146374999999999E-2</v>
      </c>
      <c r="HI157" s="86">
        <v>9.1317374999999992E-2</v>
      </c>
      <c r="HJ157" s="87">
        <v>1.133011875</v>
      </c>
      <c r="HK157" s="87">
        <v>1.9650146249999998</v>
      </c>
      <c r="HO157" s="3">
        <v>4.7209800000000003E-2</v>
      </c>
      <c r="HP157" s="17"/>
      <c r="HQ157" s="3">
        <v>1.0227234999999999E-2</v>
      </c>
      <c r="HR157" s="3">
        <v>9.2045114999999997E-2</v>
      </c>
      <c r="HS157" s="4">
        <v>1.133011875</v>
      </c>
      <c r="HT157" s="4">
        <v>1.9658232249999998</v>
      </c>
      <c r="IC157" s="5">
        <v>70.766017759028998</v>
      </c>
      <c r="ID157" s="5">
        <v>26.324890125389825</v>
      </c>
      <c r="IF157" s="15">
        <v>431.44722466905637</v>
      </c>
      <c r="IH157" s="5">
        <v>13.196685547173232</v>
      </c>
      <c r="II157" s="5">
        <v>52.987903402933561</v>
      </c>
      <c r="IJ157" s="15">
        <v>594.72272150358197</v>
      </c>
      <c r="IK157" s="6">
        <v>2875.2567193499422</v>
      </c>
      <c r="IN157" s="4">
        <v>2.211917852</v>
      </c>
      <c r="IO157" s="4">
        <v>0.12514844159999999</v>
      </c>
      <c r="IP157" s="4">
        <v>2.3370662936</v>
      </c>
      <c r="IQ157" s="6">
        <v>1113.8798243661759</v>
      </c>
      <c r="IT157" s="3">
        <v>5.3405836799999995E-2</v>
      </c>
      <c r="IU157" s="3">
        <f t="shared" si="361"/>
        <v>5.3405836799999995E-2</v>
      </c>
      <c r="IW157" s="15">
        <v>232.73512000000002</v>
      </c>
      <c r="IX157" s="16">
        <v>13.208</v>
      </c>
      <c r="IZ157" s="15">
        <v>245.94312000000002</v>
      </c>
      <c r="JJ157" s="15">
        <v>776.97553601841196</v>
      </c>
      <c r="JV157" s="15">
        <v>776.97553601841196</v>
      </c>
      <c r="KL157" s="6">
        <v>4088.5871999999999</v>
      </c>
      <c r="KN157" s="5">
        <v>18.493429710879102</v>
      </c>
      <c r="KO157" s="6">
        <v>7260.8670491533785</v>
      </c>
      <c r="KP157" s="2">
        <v>95</v>
      </c>
      <c r="LC157" s="6">
        <v>11349.454249153379</v>
      </c>
      <c r="LD157" s="5">
        <v>18.493429710879102</v>
      </c>
      <c r="LL157" s="6">
        <v>9540.0367999999999</v>
      </c>
      <c r="LN157" s="5">
        <v>18.493429710879102</v>
      </c>
      <c r="LO157" s="6">
        <v>10795.749414828208</v>
      </c>
      <c r="LP157" s="5">
        <v>57.13654465113742</v>
      </c>
      <c r="LQ157" s="5">
        <v>13.432586858565408</v>
      </c>
      <c r="MC157" s="6">
        <v>20335.786214828207</v>
      </c>
      <c r="MY157" s="4">
        <v>0.48260000000000003</v>
      </c>
      <c r="MZ157" s="15">
        <v>829.23228346456688</v>
      </c>
      <c r="NA157" s="4">
        <v>0.65024000000000015</v>
      </c>
      <c r="NB157" s="6">
        <v>7234.2519685039351</v>
      </c>
      <c r="NC157" s="4">
        <v>0.53746400000000005</v>
      </c>
      <c r="ND157" s="6">
        <v>1387.9999404611285</v>
      </c>
      <c r="NG157" s="4">
        <v>0.22952009434818108</v>
      </c>
      <c r="NH157" s="6">
        <v>1325.3741501976285</v>
      </c>
      <c r="NJ157" s="4">
        <v>1.8998240943481812</v>
      </c>
      <c r="NK157" s="6">
        <v>2288.4282587158559</v>
      </c>
    </row>
    <row r="158" spans="1:375" x14ac:dyDescent="0.25">
      <c r="A158" s="2">
        <v>1946</v>
      </c>
      <c r="B158" s="6">
        <v>1950.9963</v>
      </c>
      <c r="C158" s="15">
        <v>995.47990000000004</v>
      </c>
      <c r="D158" s="6">
        <v>2705.4823000000001</v>
      </c>
      <c r="E158" s="15">
        <v>477.75819999999999</v>
      </c>
      <c r="F158" s="5">
        <v>19.530799999999999</v>
      </c>
      <c r="G158" s="6">
        <v>19187.580400000003</v>
      </c>
      <c r="H158" s="15">
        <v>304.50010000000003</v>
      </c>
      <c r="I158" s="6">
        <v>25641.328000000005</v>
      </c>
      <c r="J158" s="15">
        <v>692.12193729738658</v>
      </c>
      <c r="K158" s="6">
        <v>25582.8499611359</v>
      </c>
      <c r="M158" s="6">
        <v>30494.731800000001</v>
      </c>
      <c r="N158" s="6">
        <v>185285.15420000002</v>
      </c>
      <c r="O158" s="15">
        <v>421.71600000000001</v>
      </c>
      <c r="P158" s="6">
        <v>27874.712299999999</v>
      </c>
      <c r="Q158" s="5">
        <v>18.877700000000001</v>
      </c>
      <c r="R158" s="6">
        <v>5036.3029000000006</v>
      </c>
      <c r="T158" s="6">
        <v>249131.49490000002</v>
      </c>
      <c r="U158" s="5">
        <v>14.871553441153539</v>
      </c>
      <c r="V158" s="6">
        <v>248807.70624006065</v>
      </c>
      <c r="X158" s="15">
        <v>373.18461538461543</v>
      </c>
      <c r="Y158" s="6">
        <v>1437.64</v>
      </c>
      <c r="Z158" s="6">
        <v>2351.0239999999999</v>
      </c>
      <c r="AC158" s="6">
        <f t="shared" si="358"/>
        <v>4161.8486153846152</v>
      </c>
      <c r="AE158" s="4">
        <v>0.26014857683425613</v>
      </c>
      <c r="AN158" s="6">
        <v>1592600.32</v>
      </c>
      <c r="AO158" s="6">
        <v>11366381.128</v>
      </c>
      <c r="AP158" s="6">
        <v>194350.64</v>
      </c>
      <c r="AQ158" s="6">
        <v>161291.016</v>
      </c>
      <c r="AR158" s="6">
        <v>137627.35999999999</v>
      </c>
      <c r="AS158" s="6">
        <v>652563.59200000006</v>
      </c>
      <c r="AT158" s="6">
        <v>14104814.056000002</v>
      </c>
      <c r="AU158" s="4">
        <v>1.681815614250515</v>
      </c>
      <c r="AW158" s="6">
        <v>5798351.6240000017</v>
      </c>
      <c r="AX158" s="4">
        <v>0.24369132671282095</v>
      </c>
      <c r="BD158" s="5">
        <v>15.695168000000001</v>
      </c>
      <c r="BE158" s="5">
        <v>15.695168000000001</v>
      </c>
      <c r="BH158" s="6">
        <v>6584.6959999999999</v>
      </c>
      <c r="BI158" s="6">
        <v>2943.3519999999999</v>
      </c>
      <c r="BK158" s="6">
        <v>9530.08</v>
      </c>
      <c r="BM158" s="4">
        <v>7.1120000000000001</v>
      </c>
      <c r="BN158" s="5">
        <v>64.007999999999996</v>
      </c>
      <c r="BO158" s="6">
        <v>19129.248</v>
      </c>
      <c r="BP158" s="4">
        <v>230.31496062992127</v>
      </c>
      <c r="BQ158" s="6">
        <v>17789.196400000001</v>
      </c>
      <c r="BS158" s="2">
        <v>50</v>
      </c>
      <c r="BV158" s="15">
        <v>50</v>
      </c>
      <c r="BW158" s="4">
        <v>4.5999999999999996</v>
      </c>
      <c r="BZ158" s="6">
        <v>1680.4639999999999</v>
      </c>
      <c r="CA158" s="6">
        <v>12887.96</v>
      </c>
      <c r="CC158" s="15">
        <v>250.952</v>
      </c>
      <c r="CD158" s="6">
        <v>1847307.456</v>
      </c>
      <c r="CG158" s="6">
        <v>1862126.8319999999</v>
      </c>
      <c r="CH158" s="4">
        <v>9.5</v>
      </c>
      <c r="CK158" s="6">
        <v>1407.16</v>
      </c>
      <c r="CR158" s="6">
        <v>1407.16</v>
      </c>
      <c r="CS158" s="5">
        <v>18.490238655735041</v>
      </c>
      <c r="DD158" s="6">
        <v>12959.08</v>
      </c>
      <c r="DE158" s="6">
        <v>163760.91200000001</v>
      </c>
      <c r="DG158" s="6">
        <v>7535.6720000000005</v>
      </c>
      <c r="DH158" s="4">
        <v>1.016</v>
      </c>
      <c r="DI158" s="5">
        <v>28.448</v>
      </c>
      <c r="DK158" s="6">
        <v>184285.128</v>
      </c>
      <c r="DL158" s="15">
        <v>159.83569961603718</v>
      </c>
      <c r="DM158" s="6">
        <v>185781.51905750402</v>
      </c>
      <c r="DO158" s="6">
        <v>11542.776</v>
      </c>
      <c r="DP158" s="6">
        <v>140170.408</v>
      </c>
      <c r="DR158" s="6">
        <v>23040.848000000002</v>
      </c>
      <c r="DV158" s="6">
        <v>174754.03200000001</v>
      </c>
      <c r="DW158" s="15">
        <v>171.44387891776054</v>
      </c>
      <c r="DX158" s="6">
        <v>168102.80733041599</v>
      </c>
      <c r="DZ158" s="15">
        <v>694.8424</v>
      </c>
      <c r="EA158" s="15">
        <v>651.5757225000001</v>
      </c>
      <c r="EB158" s="15">
        <v>42.265600000000006</v>
      </c>
      <c r="EC158" s="6">
        <v>684.13003200000003</v>
      </c>
      <c r="ED158" s="5">
        <v>20.283424</v>
      </c>
      <c r="EE158" s="5">
        <v>13.293768545994064</v>
      </c>
      <c r="EF158" s="6">
        <v>2106.3909470459944</v>
      </c>
      <c r="EG158" s="15">
        <v>751.04850580621041</v>
      </c>
      <c r="EZ158" s="5">
        <v>28.448</v>
      </c>
      <c r="FA158" s="4">
        <v>4.0640000000000001</v>
      </c>
      <c r="FB158" s="15">
        <v>469.40215999999998</v>
      </c>
      <c r="FC158" s="6">
        <v>3854.7040000000002</v>
      </c>
      <c r="FF158" s="6">
        <v>4356.61816</v>
      </c>
      <c r="FG158" s="5">
        <v>77.988546886184679</v>
      </c>
      <c r="FI158" s="200"/>
      <c r="FJ158" s="200"/>
      <c r="FK158" s="200"/>
      <c r="FL158" s="200"/>
      <c r="FN158" s="5">
        <v>46.430799999999998</v>
      </c>
      <c r="FP158" s="15">
        <v>233.68</v>
      </c>
      <c r="FQ158" s="15">
        <v>116.84</v>
      </c>
      <c r="FS158" s="4">
        <v>2.032</v>
      </c>
      <c r="FV158" s="15">
        <v>352.55199999999996</v>
      </c>
      <c r="FW158" s="6">
        <f>2*3692</f>
        <v>7384</v>
      </c>
      <c r="GE158" s="4">
        <v>4.2707250890235526</v>
      </c>
      <c r="GK158" s="4">
        <f t="shared" si="355"/>
        <v>4.2707250890235526</v>
      </c>
      <c r="GL158" s="15">
        <v>224.09024215176026</v>
      </c>
      <c r="GQ158" s="15">
        <v>20.32</v>
      </c>
      <c r="GS158" s="6">
        <v>33528</v>
      </c>
      <c r="GT158" s="6">
        <v>33548.32</v>
      </c>
      <c r="GU158" s="4">
        <v>5.9568044022765996</v>
      </c>
      <c r="HG158" s="4">
        <v>2.9396342000000004</v>
      </c>
      <c r="HH158" s="85">
        <v>8.8189026000000011E-3</v>
      </c>
      <c r="HI158" s="86">
        <v>7.9370123400000006E-2</v>
      </c>
      <c r="HJ158" s="87">
        <v>0.98477745700000019</v>
      </c>
      <c r="HK158" s="87">
        <v>1.7079274702</v>
      </c>
      <c r="HO158" s="17"/>
      <c r="HP158" s="17"/>
      <c r="HQ158" s="7">
        <v>8.8189026000000011E-3</v>
      </c>
      <c r="HR158" s="3">
        <v>7.9370123400000006E-2</v>
      </c>
      <c r="HS158" s="4">
        <v>0.98477745700000019</v>
      </c>
      <c r="HT158" s="4">
        <v>1.7079274702</v>
      </c>
      <c r="IC158" s="5">
        <v>34.143805463321215</v>
      </c>
      <c r="ID158" s="5">
        <v>18.34282894964997</v>
      </c>
      <c r="IF158" s="15">
        <v>458.15413789391692</v>
      </c>
      <c r="IH158" s="4">
        <v>2.3002703126941721</v>
      </c>
      <c r="II158" s="5">
        <v>64.591934823123381</v>
      </c>
      <c r="IJ158" s="15">
        <v>577.53297744270571</v>
      </c>
      <c r="IK158" s="6">
        <v>2509.1526029109746</v>
      </c>
      <c r="IQ158" s="6">
        <v>5862.8154920805846</v>
      </c>
      <c r="IW158" s="15">
        <v>230.88396800000004</v>
      </c>
      <c r="IX158" s="16">
        <v>11.176</v>
      </c>
      <c r="IZ158" s="15">
        <v>242.05996800000003</v>
      </c>
      <c r="JJ158" s="6">
        <v>469.41187571921751</v>
      </c>
      <c r="JL158" s="5">
        <v>17.537504757072803</v>
      </c>
      <c r="JV158" s="15">
        <v>469.41187571921751</v>
      </c>
      <c r="JW158" s="5">
        <v>17.537504757072803</v>
      </c>
      <c r="KL158" s="6">
        <v>3380.0562319999999</v>
      </c>
      <c r="KN158" s="5">
        <v>43.294927644860557</v>
      </c>
      <c r="KO158" s="6">
        <v>4333.3529575538387</v>
      </c>
      <c r="KQ158" s="5">
        <v>44.324702081858788</v>
      </c>
      <c r="LC158" s="6">
        <v>7713.4091895538386</v>
      </c>
      <c r="LD158" s="5">
        <v>44.324702081858788</v>
      </c>
      <c r="LL158" s="6">
        <v>5631.8739280000009</v>
      </c>
      <c r="LN158" s="5">
        <v>33.939149285587483</v>
      </c>
      <c r="LO158" s="6">
        <v>6084.6911667269433</v>
      </c>
      <c r="LQ158" s="5">
        <v>13.766862744899495</v>
      </c>
      <c r="MC158" s="6">
        <v>11716.565094726944</v>
      </c>
      <c r="MY158" s="4">
        <v>0.2286</v>
      </c>
      <c r="MZ158" s="15">
        <v>551.18110236220468</v>
      </c>
      <c r="NA158" s="4">
        <v>0.20320000000000002</v>
      </c>
      <c r="NB158" s="6">
        <v>5068.8976377952749</v>
      </c>
      <c r="NC158" s="4">
        <v>0.39827200000000001</v>
      </c>
      <c r="ND158" s="6">
        <v>1471.3562590390486</v>
      </c>
      <c r="NI158" s="4">
        <v>8.1280000000000005E-2</v>
      </c>
      <c r="NJ158" s="4">
        <v>0.91135200000000005</v>
      </c>
      <c r="NK158" s="6">
        <v>2008.581778265642</v>
      </c>
    </row>
    <row r="159" spans="1:375" x14ac:dyDescent="0.25">
      <c r="A159" s="2">
        <v>1947</v>
      </c>
      <c r="B159" s="6">
        <v>2247.9391000000001</v>
      </c>
      <c r="C159" s="6">
        <v>1557.5502000000001</v>
      </c>
      <c r="D159" s="6">
        <v>2634.4499000000001</v>
      </c>
      <c r="E159" s="15">
        <v>468.08610000000004</v>
      </c>
      <c r="F159" s="5">
        <v>19.561900000000001</v>
      </c>
      <c r="G159" s="6">
        <v>21890.854600000002</v>
      </c>
      <c r="H159" s="15">
        <v>342.59760000000006</v>
      </c>
      <c r="I159" s="6">
        <v>29161.039400000005</v>
      </c>
      <c r="J159" s="15">
        <v>692.1218973563241</v>
      </c>
      <c r="K159" s="6">
        <v>28724.250525308729</v>
      </c>
      <c r="M159" s="6">
        <v>65340.042600000001</v>
      </c>
      <c r="N159" s="6">
        <v>196189.90270000001</v>
      </c>
      <c r="O159" s="15">
        <v>315.13630000000001</v>
      </c>
      <c r="P159" s="6">
        <v>28579.998100000001</v>
      </c>
      <c r="Q159" s="5">
        <v>23.3872</v>
      </c>
      <c r="R159" s="6">
        <v>6198.2611000000006</v>
      </c>
      <c r="T159" s="6">
        <v>296646.728</v>
      </c>
      <c r="U159" s="5">
        <v>15.004653861326911</v>
      </c>
      <c r="V159" s="6">
        <v>263829.0527759809</v>
      </c>
      <c r="X159" s="15">
        <v>373.18461538461543</v>
      </c>
      <c r="Y159" s="6">
        <v>2400.808</v>
      </c>
      <c r="Z159" s="6">
        <v>2555.2399999999998</v>
      </c>
      <c r="AC159" s="6">
        <f t="shared" si="358"/>
        <v>5329.2326153846152</v>
      </c>
      <c r="AE159" s="4">
        <v>0.46234434407082947</v>
      </c>
      <c r="AN159" s="6">
        <v>1913548.6240000001</v>
      </c>
      <c r="AO159" s="6">
        <v>11870052.968</v>
      </c>
      <c r="AP159" s="6">
        <v>176461.92800000001</v>
      </c>
      <c r="AQ159" s="6">
        <v>169814.24</v>
      </c>
      <c r="AR159" s="6">
        <v>196444.61600000001</v>
      </c>
      <c r="AS159" s="6">
        <v>742194.09600000002</v>
      </c>
      <c r="AT159" s="6">
        <v>15068516.472000001</v>
      </c>
      <c r="AU159" s="4">
        <v>1.8292817617293322</v>
      </c>
      <c r="AW159" s="6">
        <v>6238382.2400000002</v>
      </c>
      <c r="AX159" s="4">
        <v>0.30053592868653717</v>
      </c>
      <c r="BD159" s="5">
        <v>12.306808</v>
      </c>
      <c r="BE159" s="5">
        <v>12.306808</v>
      </c>
      <c r="BH159" s="6">
        <v>2822.4479999999999</v>
      </c>
      <c r="BI159" s="6">
        <v>3268.4720000000002</v>
      </c>
      <c r="BK159" s="6">
        <v>8081.2640000000001</v>
      </c>
      <c r="BM159" s="5">
        <v>42.671999999999997</v>
      </c>
      <c r="BO159" s="6">
        <v>14214.856</v>
      </c>
      <c r="BP159" s="4">
        <v>239.50131233595803</v>
      </c>
      <c r="BQ159" s="6">
        <v>14005.212900675999</v>
      </c>
      <c r="BS159" s="2">
        <v>73</v>
      </c>
      <c r="BV159" s="15">
        <v>73</v>
      </c>
      <c r="BW159" s="4">
        <v>5.8904109589041092</v>
      </c>
      <c r="BZ159" s="6">
        <v>1363.472</v>
      </c>
      <c r="CA159" s="6">
        <v>9385.8080000000009</v>
      </c>
      <c r="CC159" s="15">
        <v>399.28800000000001</v>
      </c>
      <c r="CD159" s="6">
        <v>2179857.4640000002</v>
      </c>
      <c r="CG159" s="6">
        <v>2191006.0320000001</v>
      </c>
      <c r="CH159" s="4">
        <v>9</v>
      </c>
      <c r="CK159" s="6">
        <v>1612.3920000000001</v>
      </c>
      <c r="CN159" s="15">
        <v>192.024</v>
      </c>
      <c r="CR159" s="6">
        <v>1804.4160000000002</v>
      </c>
      <c r="CS159" s="5">
        <v>17.696575950819835</v>
      </c>
      <c r="DD159" s="6">
        <v>30063.439999999999</v>
      </c>
      <c r="DE159" s="6">
        <v>157493.20800000001</v>
      </c>
      <c r="DG159" s="6">
        <v>8407.4</v>
      </c>
      <c r="DH159" s="5">
        <v>21.335999999999999</v>
      </c>
      <c r="DI159" s="5">
        <v>17.271999999999998</v>
      </c>
      <c r="DK159" s="6">
        <v>196002.65600000002</v>
      </c>
      <c r="DL159" s="15">
        <v>288.41860880435758</v>
      </c>
      <c r="DM159" s="6">
        <v>195786.65555993337</v>
      </c>
      <c r="DO159" s="6">
        <v>25619.456000000002</v>
      </c>
      <c r="DP159" s="6">
        <v>135798.56</v>
      </c>
      <c r="DR159" s="6">
        <v>24017.224000000002</v>
      </c>
      <c r="DV159" s="6">
        <v>185435.24</v>
      </c>
      <c r="DW159" s="15">
        <v>207.16135369229397</v>
      </c>
      <c r="DX159" s="6">
        <v>178698.55367050401</v>
      </c>
      <c r="DZ159" s="15">
        <v>992.47959999999989</v>
      </c>
      <c r="EA159" s="15">
        <v>574.81630779343413</v>
      </c>
      <c r="EB159" s="15">
        <v>57.454799999999999</v>
      </c>
      <c r="EC159" s="6">
        <v>770.08107199999995</v>
      </c>
      <c r="ED159" s="5">
        <v>16.805655999999999</v>
      </c>
      <c r="EE159" s="5">
        <v>16.61721068249258</v>
      </c>
      <c r="EF159" s="6">
        <v>2428.2546464759266</v>
      </c>
      <c r="EG159" s="15">
        <v>878.77653200958582</v>
      </c>
      <c r="EY159" s="4">
        <v>8.1280000000000001</v>
      </c>
      <c r="EZ159" s="5">
        <v>43.688000000000002</v>
      </c>
      <c r="FA159" s="4">
        <v>3.048</v>
      </c>
      <c r="FB159" s="15">
        <v>121.73711999999999</v>
      </c>
      <c r="FC159" s="6">
        <v>4083.3040000000001</v>
      </c>
      <c r="FF159" s="6">
        <v>4259.9051200000004</v>
      </c>
      <c r="FG159" s="15">
        <v>102.87169986104678</v>
      </c>
      <c r="FI159" s="200"/>
      <c r="FJ159" s="200"/>
      <c r="FK159" s="200"/>
      <c r="FL159" s="200"/>
      <c r="FN159" s="5">
        <v>57.145600000000002</v>
      </c>
      <c r="FP159" s="15">
        <v>186.94400000000002</v>
      </c>
      <c r="FQ159" s="5">
        <v>99.567999999999998</v>
      </c>
      <c r="FS159" s="5">
        <v>21.335999999999999</v>
      </c>
      <c r="FV159" s="15">
        <v>307.84800000000001</v>
      </c>
      <c r="FW159" s="6">
        <f>2*3847</f>
        <v>7694</v>
      </c>
      <c r="GE159" s="4">
        <v>0.51766364715437008</v>
      </c>
      <c r="GF159" s="4">
        <v>1.6047573061785469</v>
      </c>
      <c r="GK159" s="4">
        <f t="shared" si="355"/>
        <v>2.122420953332917</v>
      </c>
      <c r="GL159" s="15">
        <v>298.45059690119382</v>
      </c>
      <c r="GO159" s="15">
        <v>231.648</v>
      </c>
      <c r="GQ159" s="6">
        <v>5170.424</v>
      </c>
      <c r="GS159" s="115">
        <v>100000</v>
      </c>
      <c r="GT159" s="6">
        <v>105402.072</v>
      </c>
      <c r="GU159" s="4">
        <v>5.6054455485333241</v>
      </c>
      <c r="HG159" s="4">
        <v>3.0716226</v>
      </c>
      <c r="HH159" s="85">
        <v>9.2148678000000001E-3</v>
      </c>
      <c r="HI159" s="86">
        <v>8.2933810199999999E-2</v>
      </c>
      <c r="HJ159" s="87">
        <v>1.028993571</v>
      </c>
      <c r="HK159" s="87">
        <v>1.7846127305999999</v>
      </c>
      <c r="HO159" s="17"/>
      <c r="HP159" s="17"/>
      <c r="HQ159" s="7">
        <v>9.2148678000000001E-3</v>
      </c>
      <c r="HR159" s="3">
        <v>8.2933810199999999E-2</v>
      </c>
      <c r="HS159" s="4">
        <v>1.028993571</v>
      </c>
      <c r="HT159" s="4">
        <v>1.7846127305999999</v>
      </c>
      <c r="IC159" s="5">
        <v>37.102586151477119</v>
      </c>
      <c r="ID159" s="5">
        <v>20.766853836100367</v>
      </c>
      <c r="IF159" s="15">
        <v>485.95390667601811</v>
      </c>
      <c r="IH159" s="4">
        <v>5.1766778580468182</v>
      </c>
      <c r="II159" s="5">
        <v>31.251290395168247</v>
      </c>
      <c r="IJ159" s="15">
        <v>580.25131491681054</v>
      </c>
      <c r="IK159" s="6">
        <v>2910.9741941244756</v>
      </c>
      <c r="IO159" s="3">
        <v>1.3313664000000001E-2</v>
      </c>
      <c r="IP159" s="4">
        <v>1.3313664000000001E-2</v>
      </c>
      <c r="IQ159" s="6">
        <v>3923.8811235091939</v>
      </c>
      <c r="IT159" s="3">
        <v>5.6814719999999999E-3</v>
      </c>
      <c r="IU159" s="3">
        <f t="shared" ref="IU159:IU163" si="362">IS159+IT159</f>
        <v>5.6814719999999999E-3</v>
      </c>
      <c r="IW159" s="15">
        <v>195.19005920000001</v>
      </c>
      <c r="IX159" s="16">
        <v>17.271999999999998</v>
      </c>
      <c r="IZ159" s="15">
        <v>212.4620592</v>
      </c>
      <c r="JJ159" s="6">
        <v>3338.9676685845798</v>
      </c>
      <c r="JL159" s="4">
        <v>0.38530786234507231</v>
      </c>
      <c r="JV159" s="6">
        <v>3338.9676685845798</v>
      </c>
      <c r="JW159" s="4">
        <v>0.38530786234507231</v>
      </c>
      <c r="KL159" s="6">
        <v>4154.9116799999993</v>
      </c>
      <c r="KN159" s="5">
        <v>48.295637899094899</v>
      </c>
      <c r="KO159" s="6">
        <v>7981.6585534769038</v>
      </c>
      <c r="KQ159" s="5">
        <v>22.207108847764882</v>
      </c>
      <c r="LC159" s="6">
        <v>12136.570233476903</v>
      </c>
      <c r="LD159" s="5">
        <v>22.207108847764882</v>
      </c>
      <c r="LL159" s="6">
        <v>5675.9449599999989</v>
      </c>
      <c r="LN159" s="5">
        <v>40.679744364540142</v>
      </c>
      <c r="LO159" s="6">
        <v>16638.677777938516</v>
      </c>
      <c r="LQ159" s="4">
        <v>6.3638415645514179</v>
      </c>
      <c r="MC159" s="6">
        <v>22314.622737938516</v>
      </c>
      <c r="MY159" s="4">
        <v>0.66039999999999999</v>
      </c>
      <c r="MZ159" s="15">
        <v>605.69351907934583</v>
      </c>
      <c r="NA159" s="4">
        <v>0.63804800000000006</v>
      </c>
      <c r="NB159" s="6">
        <v>10833.040774361802</v>
      </c>
      <c r="NC159" s="4">
        <v>0.40538400000000002</v>
      </c>
      <c r="ND159" s="6">
        <v>1504.7461172616579</v>
      </c>
      <c r="NJ159" s="4">
        <v>1.703832</v>
      </c>
      <c r="NK159" s="6">
        <v>3191.5189481473049</v>
      </c>
    </row>
    <row r="160" spans="1:375" x14ac:dyDescent="0.25">
      <c r="A160" s="2">
        <v>1948</v>
      </c>
      <c r="B160" s="6">
        <v>2165.9906000000001</v>
      </c>
      <c r="C160" s="6">
        <v>1622.3004000000001</v>
      </c>
      <c r="D160" s="6">
        <v>2132.8380000000002</v>
      </c>
      <c r="E160" s="15">
        <v>401.34550000000002</v>
      </c>
      <c r="F160" s="5">
        <v>63.319600000000008</v>
      </c>
      <c r="G160" s="6">
        <v>20681.064600000002</v>
      </c>
      <c r="H160" s="15">
        <v>472.40899999999999</v>
      </c>
      <c r="I160" s="6">
        <v>27539.267700000004</v>
      </c>
      <c r="J160" s="15">
        <v>692.12213186789438</v>
      </c>
      <c r="K160" s="6">
        <v>27068.775537025489</v>
      </c>
      <c r="M160" s="6">
        <v>71743.625899999999</v>
      </c>
      <c r="N160" s="6">
        <v>187513.90459999998</v>
      </c>
      <c r="O160" s="15">
        <v>309.88040000000001</v>
      </c>
      <c r="P160" s="6">
        <v>28214.386500000001</v>
      </c>
      <c r="Q160" s="5">
        <v>50.319800000000001</v>
      </c>
      <c r="R160" s="6">
        <v>6027.3355000000001</v>
      </c>
      <c r="T160" s="6">
        <v>293859.45269999997</v>
      </c>
      <c r="U160" s="5">
        <v>15.005196220129214</v>
      </c>
      <c r="V160" s="6">
        <v>293910.2383731103</v>
      </c>
      <c r="X160" s="15">
        <v>373.18461538461543</v>
      </c>
      <c r="Y160" s="6">
        <v>2916.9360000000001</v>
      </c>
      <c r="Z160" s="6">
        <v>2818.384</v>
      </c>
      <c r="AC160" s="6">
        <f t="shared" si="358"/>
        <v>6108.504615384616</v>
      </c>
      <c r="AE160" s="4">
        <v>0.55057772950794936</v>
      </c>
      <c r="AN160" s="6">
        <v>1770274.3360000001</v>
      </c>
      <c r="AO160" s="6">
        <v>11908989.136</v>
      </c>
      <c r="AP160" s="6">
        <v>170220.64</v>
      </c>
      <c r="AQ160" s="6">
        <v>182263.288</v>
      </c>
      <c r="AR160" s="6">
        <v>243295.424</v>
      </c>
      <c r="AS160" s="6">
        <v>744665.00800000003</v>
      </c>
      <c r="AT160" s="6">
        <v>15019707.832</v>
      </c>
      <c r="AU160" s="4">
        <v>2.2871906619953806</v>
      </c>
      <c r="AW160" s="6">
        <v>6799376.7999999998</v>
      </c>
      <c r="AX160" s="4">
        <v>0.34936042881926488</v>
      </c>
      <c r="BD160" s="5">
        <v>15.440050400000001</v>
      </c>
      <c r="BE160" s="5">
        <v>15.440050400000001</v>
      </c>
      <c r="BH160" s="6">
        <v>3199.384</v>
      </c>
      <c r="BI160" s="6">
        <v>2854.96</v>
      </c>
      <c r="BK160" s="6">
        <v>6679.1840000000002</v>
      </c>
      <c r="BL160" s="4">
        <v>4.0640000000000001</v>
      </c>
      <c r="BM160" s="5">
        <v>29.463999999999999</v>
      </c>
      <c r="BN160" s="5">
        <v>74.168000000000006</v>
      </c>
      <c r="BO160" s="6">
        <v>12841.224</v>
      </c>
      <c r="BP160" s="4">
        <v>295.2755905511811</v>
      </c>
      <c r="BQ160" s="6">
        <v>12677.941769896534</v>
      </c>
      <c r="BV160" s="15"/>
      <c r="BZ160" s="6">
        <v>1592.0720000000001</v>
      </c>
      <c r="CA160" s="6">
        <v>9579.8639999999996</v>
      </c>
      <c r="CC160" s="15">
        <v>323.08800000000002</v>
      </c>
      <c r="CD160" s="6">
        <v>2067383.216</v>
      </c>
      <c r="CE160" s="6">
        <v>7337.5519999999997</v>
      </c>
      <c r="CG160" s="6">
        <v>2086215.7919999999</v>
      </c>
      <c r="CH160" s="4">
        <v>8.5</v>
      </c>
      <c r="CK160" s="6">
        <v>1576.8320000000001</v>
      </c>
      <c r="CN160" s="2">
        <v>254</v>
      </c>
      <c r="CO160" s="6">
        <v>1671.32</v>
      </c>
      <c r="CR160" s="6">
        <v>3502.152</v>
      </c>
      <c r="CS160" s="5">
        <v>15.401972442820542</v>
      </c>
      <c r="DD160" s="6">
        <v>31271.464</v>
      </c>
      <c r="DE160" s="6">
        <v>172715.93600000002</v>
      </c>
      <c r="DG160" s="6">
        <v>8031.48</v>
      </c>
      <c r="DH160" s="15">
        <v>107.696</v>
      </c>
      <c r="DI160" s="6">
        <v>1430.528</v>
      </c>
      <c r="DJ160" s="5">
        <v>17.271999999999998</v>
      </c>
      <c r="DK160" s="6">
        <v>213574.37600000002</v>
      </c>
      <c r="DL160" s="15">
        <v>355.38887400660775</v>
      </c>
      <c r="DM160" s="6">
        <v>212045.55068291453</v>
      </c>
      <c r="DO160" s="6">
        <v>21938.488000000001</v>
      </c>
      <c r="DP160" s="6">
        <v>147918.424</v>
      </c>
      <c r="DR160" s="6">
        <v>23740.871999999999</v>
      </c>
      <c r="DT160" s="15">
        <v>153.416</v>
      </c>
      <c r="DV160" s="6">
        <v>193751.2</v>
      </c>
      <c r="DW160" s="15">
        <v>266.98812393963749</v>
      </c>
      <c r="DX160" s="6">
        <v>187757.01626169597</v>
      </c>
      <c r="DZ160" s="15">
        <v>485.46512000000001</v>
      </c>
      <c r="EA160" s="15">
        <v>500.18344210297909</v>
      </c>
      <c r="EB160" s="15">
        <v>35.6616</v>
      </c>
      <c r="EC160" s="6">
        <v>777.44767999999999</v>
      </c>
      <c r="ED160" s="5">
        <v>26.307288</v>
      </c>
      <c r="EE160" s="5">
        <v>19.109792284866469</v>
      </c>
      <c r="EF160" s="6">
        <v>1844.1749223878455</v>
      </c>
      <c r="EG160" s="6">
        <v>1117.6255106269609</v>
      </c>
      <c r="EY160" s="5">
        <v>17.271999999999998</v>
      </c>
      <c r="EZ160" s="15">
        <v>125.98400000000001</v>
      </c>
      <c r="FA160" s="4">
        <v>3.048</v>
      </c>
      <c r="FB160" s="5">
        <v>42.570399999999999</v>
      </c>
      <c r="FC160" s="6">
        <v>2791.9679999999998</v>
      </c>
      <c r="FF160" s="6">
        <v>2980.8424</v>
      </c>
      <c r="FG160" s="15">
        <v>132.25488950977902</v>
      </c>
      <c r="FI160" s="6">
        <v>563.88</v>
      </c>
      <c r="FJ160" s="200"/>
      <c r="FK160" s="200"/>
      <c r="FL160" s="200"/>
      <c r="FM160" s="15">
        <f t="shared" si="354"/>
        <v>563.88</v>
      </c>
      <c r="FN160" s="5">
        <v>67.860399999999998</v>
      </c>
      <c r="FP160" s="15">
        <v>147.32</v>
      </c>
      <c r="FQ160" s="5">
        <v>77.216000000000008</v>
      </c>
      <c r="FS160" s="5">
        <v>10.16</v>
      </c>
      <c r="FV160" s="15">
        <v>234.696</v>
      </c>
      <c r="FW160" s="6">
        <f>2*4931</f>
        <v>9862</v>
      </c>
      <c r="GE160" s="4">
        <v>1.6565236708939841</v>
      </c>
      <c r="GF160" s="4">
        <v>0.12941591178859252</v>
      </c>
      <c r="GK160" s="4">
        <f t="shared" si="355"/>
        <v>1.7859395826825766</v>
      </c>
      <c r="GL160" s="15">
        <v>456.69291338582678</v>
      </c>
      <c r="GO160" s="15">
        <v>487.68</v>
      </c>
      <c r="GQ160" s="6">
        <v>1681.48</v>
      </c>
      <c r="GS160" s="6">
        <v>171704</v>
      </c>
      <c r="GT160" s="6">
        <v>173873.16</v>
      </c>
      <c r="GU160" s="4">
        <v>4.7196208731566545</v>
      </c>
      <c r="HG160" s="4">
        <v>2.8734223000000001</v>
      </c>
      <c r="HH160" s="85">
        <v>8.6202669000000013E-3</v>
      </c>
      <c r="HI160" s="86">
        <v>7.7582402100000003E-2</v>
      </c>
      <c r="HJ160" s="87">
        <v>0.96259647050000008</v>
      </c>
      <c r="HK160" s="87">
        <v>1.6694583562999998</v>
      </c>
      <c r="HO160" s="17"/>
      <c r="HP160" s="17"/>
      <c r="HQ160" s="7">
        <v>8.6202669000000013E-3</v>
      </c>
      <c r="HR160" s="3">
        <v>7.7582402100000003E-2</v>
      </c>
      <c r="HS160" s="4">
        <v>0.96259647050000008</v>
      </c>
      <c r="HT160" s="4">
        <v>1.6694583562999998</v>
      </c>
      <c r="HW160" s="5">
        <v>90.830400000000012</v>
      </c>
      <c r="HZ160" s="5">
        <f t="shared" ref="HZ160:HZ206" si="363">SUM(HV160:HY160)</f>
        <v>90.830400000000012</v>
      </c>
      <c r="IA160" s="5">
        <v>89.936809248111331</v>
      </c>
      <c r="IC160" s="5">
        <v>51.294259894667384</v>
      </c>
      <c r="ID160" s="5">
        <v>18.107173850593306</v>
      </c>
      <c r="IF160" s="15">
        <v>509.23681173596964</v>
      </c>
      <c r="IH160" s="4">
        <v>3.9709117846767916</v>
      </c>
      <c r="II160" s="5">
        <v>56.648200317515098</v>
      </c>
      <c r="IJ160" s="15">
        <v>639.25735758342228</v>
      </c>
      <c r="IK160" s="6">
        <v>3259.2195731761767</v>
      </c>
      <c r="IN160" s="4">
        <v>3.0902320719999996</v>
      </c>
      <c r="IO160" s="4">
        <v>0.26094781439999998</v>
      </c>
      <c r="IP160" s="4">
        <v>3.3511798863999998</v>
      </c>
      <c r="IQ160" s="6">
        <v>1984.9467549378035</v>
      </c>
      <c r="IT160" s="4">
        <v>0.1113568512</v>
      </c>
      <c r="IU160" s="4">
        <f t="shared" si="362"/>
        <v>0.1113568512</v>
      </c>
      <c r="IW160" s="15">
        <v>233.90707600000002</v>
      </c>
      <c r="IX160" s="16">
        <v>59.944000000000003</v>
      </c>
      <c r="IZ160" s="15">
        <v>293.85107600000003</v>
      </c>
      <c r="JB160" s="5">
        <v>9.1440000000000001</v>
      </c>
      <c r="JD160" s="5">
        <v>9.1440000000000001</v>
      </c>
      <c r="JE160" s="5">
        <v>1.9685039370078741</v>
      </c>
      <c r="JG160" s="5">
        <v>53.136800000000001</v>
      </c>
      <c r="JI160" s="4">
        <v>9.0972734526731003</v>
      </c>
      <c r="JV160" s="15">
        <v>53.136800000000001</v>
      </c>
      <c r="JW160" s="4">
        <v>9.0972734526731003</v>
      </c>
      <c r="KL160" s="6">
        <v>6231.2295999999997</v>
      </c>
      <c r="KN160" s="5">
        <v>54.397886413943084</v>
      </c>
      <c r="KO160" s="6">
        <v>9391.9040000000005</v>
      </c>
      <c r="KQ160" s="5">
        <v>46.011218250262331</v>
      </c>
      <c r="LC160" s="6">
        <v>15623.133600000001</v>
      </c>
      <c r="LD160" s="5">
        <v>46.011218250262331</v>
      </c>
      <c r="LL160" s="6">
        <v>6315.5575999999992</v>
      </c>
      <c r="LN160" s="5">
        <v>54.02004092243574</v>
      </c>
      <c r="LO160" s="6">
        <v>16196.056</v>
      </c>
      <c r="LQ160" s="5">
        <v>13.782245383056511</v>
      </c>
      <c r="MC160" s="6">
        <v>22511.613600000001</v>
      </c>
      <c r="MJ160" s="15">
        <v>151.38400000000001</v>
      </c>
      <c r="ML160" s="15">
        <v>127.78100723986681</v>
      </c>
      <c r="MQ160" s="15">
        <v>151.38400000000001</v>
      </c>
      <c r="MR160" s="15">
        <v>127.78100723986681</v>
      </c>
      <c r="MY160" s="5">
        <v>1.143</v>
      </c>
      <c r="MZ160" s="15">
        <v>765.52930883639544</v>
      </c>
      <c r="NA160" s="4">
        <v>0.81280000000000008</v>
      </c>
      <c r="NB160" s="6">
        <v>7263.7795275590543</v>
      </c>
      <c r="NC160" s="3">
        <v>7.9247999999999999E-2</v>
      </c>
      <c r="ND160" s="6">
        <v>2220.8762366242681</v>
      </c>
      <c r="NJ160" s="4">
        <v>2.0350480000000002</v>
      </c>
      <c r="NK160" s="6">
        <v>2917.7329297447368</v>
      </c>
    </row>
    <row r="161" spans="1:375" x14ac:dyDescent="0.25">
      <c r="A161" s="2">
        <v>1949</v>
      </c>
      <c r="B161" s="6">
        <v>2372.3702000000003</v>
      </c>
      <c r="C161" s="6">
        <v>1610.7623000000001</v>
      </c>
      <c r="D161" s="6">
        <v>2128.0486000000001</v>
      </c>
      <c r="E161" s="15">
        <v>377.92720000000003</v>
      </c>
      <c r="F161" s="5">
        <v>68.357799999999997</v>
      </c>
      <c r="G161" s="6">
        <v>20166.048600000002</v>
      </c>
      <c r="H161" s="15">
        <v>926.18910000000005</v>
      </c>
      <c r="I161" s="6">
        <v>27649.703800000003</v>
      </c>
      <c r="J161" s="15">
        <v>789.72463316218091</v>
      </c>
      <c r="K161" s="6">
        <v>27232.029453359635</v>
      </c>
      <c r="M161" s="6">
        <v>89337.144700000004</v>
      </c>
      <c r="N161" s="6">
        <v>186589.86139999999</v>
      </c>
      <c r="O161" s="15">
        <v>382.93430000000006</v>
      </c>
      <c r="P161" s="6">
        <v>31443.095200000003</v>
      </c>
      <c r="Q161" s="5">
        <v>54.393900000000002</v>
      </c>
      <c r="R161" s="6">
        <v>6373.0431000000008</v>
      </c>
      <c r="T161" s="6">
        <v>314180.47260000004</v>
      </c>
      <c r="U161" s="5">
        <v>16.500347718788987</v>
      </c>
      <c r="V161" s="6">
        <v>290904.03909714054</v>
      </c>
      <c r="X161" s="15">
        <v>373.18461538461543</v>
      </c>
      <c r="Y161" s="6">
        <v>1284.2239999999999</v>
      </c>
      <c r="Z161" s="6">
        <v>4092.4479999999999</v>
      </c>
      <c r="AC161" s="6">
        <f t="shared" si="358"/>
        <v>5749.856615384615</v>
      </c>
      <c r="AE161" s="4">
        <v>0.94376059005282575</v>
      </c>
      <c r="AN161" s="6">
        <v>2001914.2080000001</v>
      </c>
      <c r="AO161" s="6">
        <v>10907875.568</v>
      </c>
      <c r="AP161" s="6">
        <v>124467.11200000001</v>
      </c>
      <c r="AQ161" s="6">
        <v>184523.88800000001</v>
      </c>
      <c r="AR161" s="6">
        <v>350152.20799999998</v>
      </c>
      <c r="AS161" s="6">
        <v>762603.50399999996</v>
      </c>
      <c r="AT161" s="6">
        <v>14331536.488000002</v>
      </c>
      <c r="AU161" s="4">
        <v>2.8422463685015718</v>
      </c>
      <c r="AW161" s="6">
        <v>7493567.9440000001</v>
      </c>
      <c r="AX161" s="4">
        <v>0.39219101260743838</v>
      </c>
      <c r="BD161" s="5">
        <v>14.428215999999999</v>
      </c>
      <c r="BE161" s="5">
        <v>14.428215999999999</v>
      </c>
      <c r="BH161" s="6">
        <v>5003.8</v>
      </c>
      <c r="BI161" s="6">
        <v>2675.1280000000002</v>
      </c>
      <c r="BK161" s="6">
        <v>5312.6639999999998</v>
      </c>
      <c r="BL161" s="4">
        <v>3.048</v>
      </c>
      <c r="BM161" s="5">
        <v>30.48</v>
      </c>
      <c r="BN161" s="15">
        <v>936.75200000000007</v>
      </c>
      <c r="BO161" s="6">
        <v>13961.871999999999</v>
      </c>
      <c r="BP161" s="4">
        <v>347.76876137527245</v>
      </c>
      <c r="BQ161" s="6">
        <v>14032.775403994399</v>
      </c>
      <c r="BS161" s="2">
        <v>5</v>
      </c>
      <c r="BV161" s="15">
        <v>5</v>
      </c>
      <c r="BW161" s="4">
        <v>6</v>
      </c>
      <c r="BZ161" s="6">
        <v>1492.5040000000001</v>
      </c>
      <c r="CA161" s="6">
        <v>10478.008</v>
      </c>
      <c r="CC161" s="6">
        <v>1531.1120000000001</v>
      </c>
      <c r="CD161" s="6">
        <v>1470894.696</v>
      </c>
      <c r="CE161" s="6">
        <v>12724.384</v>
      </c>
      <c r="CG161" s="6">
        <v>1497120.7040000001</v>
      </c>
      <c r="CH161" s="4">
        <v>8</v>
      </c>
      <c r="CJ161" s="15">
        <v>236.72800000000001</v>
      </c>
      <c r="CK161" s="6">
        <v>1603.248</v>
      </c>
      <c r="CN161" s="6">
        <v>1885.6959999999999</v>
      </c>
      <c r="CO161" s="6">
        <v>9570.7199999999993</v>
      </c>
      <c r="CR161" s="6">
        <v>13296.392</v>
      </c>
      <c r="CS161" s="5">
        <v>19.282540799718472</v>
      </c>
      <c r="DD161" s="6">
        <v>38300.152000000002</v>
      </c>
      <c r="DE161" s="6">
        <v>166169.848</v>
      </c>
      <c r="DG161" s="6">
        <v>8644.1280000000006</v>
      </c>
      <c r="DH161" s="15">
        <v>100.584</v>
      </c>
      <c r="DI161" s="6">
        <v>2003.5520000000001</v>
      </c>
      <c r="DJ161" s="4">
        <v>7.1120000000000001</v>
      </c>
      <c r="DK161" s="6">
        <v>215225.37599999999</v>
      </c>
      <c r="DL161" s="15">
        <v>302.70559871417095</v>
      </c>
      <c r="DM161" s="6">
        <v>208685.03602766621</v>
      </c>
      <c r="DO161" s="6">
        <v>21580.856</v>
      </c>
      <c r="DP161" s="6">
        <v>146901.408</v>
      </c>
      <c r="DR161" s="6">
        <v>26151.84</v>
      </c>
      <c r="DT161" s="5">
        <v>35.56</v>
      </c>
      <c r="DV161" s="6">
        <v>194669.66399999999</v>
      </c>
      <c r="DW161" s="15">
        <v>239.30708098937407</v>
      </c>
      <c r="DX161" s="6">
        <v>188576.86471955231</v>
      </c>
      <c r="DZ161" s="15">
        <v>747.57788000000016</v>
      </c>
      <c r="EA161" s="15">
        <v>429.78895500000004</v>
      </c>
      <c r="EB161" s="15">
        <v>32.3596</v>
      </c>
      <c r="EC161" s="6">
        <v>628.98399999999992</v>
      </c>
      <c r="ED161" s="5">
        <v>24.550624000000003</v>
      </c>
      <c r="EE161" s="5">
        <v>12.04747774480712</v>
      </c>
      <c r="EF161" s="6">
        <v>1875.3085367448073</v>
      </c>
      <c r="EG161" s="6">
        <v>1192.3698777791988</v>
      </c>
      <c r="EY161" s="5">
        <v>24.384</v>
      </c>
      <c r="EZ161" s="15">
        <v>156.464</v>
      </c>
      <c r="FA161" s="4">
        <v>7.1120000000000001</v>
      </c>
      <c r="FB161" s="5">
        <v>22.026879999999998</v>
      </c>
      <c r="FC161" s="6">
        <v>2818.384</v>
      </c>
      <c r="FF161" s="6">
        <v>3028.3708799999999</v>
      </c>
      <c r="FG161" s="15">
        <v>126.55492574828799</v>
      </c>
      <c r="FI161" s="6">
        <v>642.11199999999997</v>
      </c>
      <c r="FJ161" s="200"/>
      <c r="FK161" s="200"/>
      <c r="FL161" s="200"/>
      <c r="FM161" s="15">
        <f t="shared" si="354"/>
        <v>642.11199999999997</v>
      </c>
      <c r="FN161" s="5">
        <v>67.860399999999998</v>
      </c>
      <c r="FP161" s="2">
        <v>25.4</v>
      </c>
      <c r="FQ161" s="2">
        <v>25.4</v>
      </c>
      <c r="FR161" s="2">
        <v>5.08</v>
      </c>
      <c r="FS161" s="5">
        <v>70.103999999999999</v>
      </c>
      <c r="FV161" s="15">
        <v>125.98399999999999</v>
      </c>
      <c r="FW161" s="6">
        <f>2*2938</f>
        <v>5876</v>
      </c>
      <c r="FZ161" s="3">
        <v>9.9125285140562236E-2</v>
      </c>
      <c r="GB161" s="3">
        <v>9.9125285140562236E-2</v>
      </c>
      <c r="GC161" s="6">
        <v>2500</v>
      </c>
      <c r="GE161" s="4">
        <v>3.0024491534953461</v>
      </c>
      <c r="GF161" s="3">
        <v>5.1766364715437004E-2</v>
      </c>
      <c r="GK161" s="4">
        <f t="shared" si="355"/>
        <v>3.0542155182107833</v>
      </c>
      <c r="GL161" s="5">
        <v>39.370078740157481</v>
      </c>
      <c r="GO161" s="15">
        <v>11.176</v>
      </c>
      <c r="GS161" s="6">
        <v>255016</v>
      </c>
      <c r="GT161" s="6">
        <v>255027.17600000001</v>
      </c>
      <c r="GU161" s="4">
        <v>4.5671013518765786</v>
      </c>
      <c r="HG161" s="4">
        <v>1.2222299999999999</v>
      </c>
      <c r="HH161" s="85">
        <v>3.6666899999999998E-3</v>
      </c>
      <c r="HI161" s="86">
        <v>3.3000209999999995E-2</v>
      </c>
      <c r="HJ161" s="87">
        <v>0.40944704999999998</v>
      </c>
      <c r="HK161" s="87">
        <v>0.71011562999999989</v>
      </c>
      <c r="HO161" s="17"/>
      <c r="HP161" s="17"/>
      <c r="HQ161" s="7">
        <v>3.6666899999999998E-3</v>
      </c>
      <c r="HR161" s="3">
        <v>3.3000209999999995E-2</v>
      </c>
      <c r="HS161" s="4">
        <v>0.40944704999999998</v>
      </c>
      <c r="HT161" s="4">
        <v>0.71011562999999989</v>
      </c>
      <c r="HW161" s="5">
        <v>71.3232</v>
      </c>
      <c r="HZ161" s="5">
        <f t="shared" si="363"/>
        <v>71.3232</v>
      </c>
      <c r="IA161" s="5">
        <v>81.956683764846915</v>
      </c>
      <c r="IC161" s="5">
        <v>26.75994569287905</v>
      </c>
      <c r="ID161" s="4">
        <v>6.0222969758925453</v>
      </c>
      <c r="IF161" s="15">
        <v>623.23432137786472</v>
      </c>
      <c r="IH161" s="4">
        <v>0.29762846792604403</v>
      </c>
      <c r="II161" s="5">
        <v>31.743519164797238</v>
      </c>
      <c r="IJ161" s="15">
        <v>688.05771167935961</v>
      </c>
      <c r="IK161" s="6">
        <v>3277.0783105634437</v>
      </c>
      <c r="IN161" s="4">
        <v>0.83170979199999984</v>
      </c>
      <c r="IO161" s="3">
        <v>9.8521113599999988E-2</v>
      </c>
      <c r="IP161" s="4">
        <v>0.93023090559999977</v>
      </c>
      <c r="IQ161" s="6">
        <v>1851.8698093772764</v>
      </c>
      <c r="IT161" s="3">
        <v>4.2042892799999995E-2</v>
      </c>
      <c r="IU161" s="3">
        <f t="shared" si="362"/>
        <v>4.2042892799999995E-2</v>
      </c>
      <c r="IW161" s="15">
        <v>218.79458399999999</v>
      </c>
      <c r="IX161" s="16">
        <v>45.72</v>
      </c>
      <c r="IZ161" s="15">
        <v>264.51458400000001</v>
      </c>
      <c r="KL161" s="6">
        <v>5196.8156159999999</v>
      </c>
      <c r="KN161" s="5">
        <v>43.784424311582121</v>
      </c>
      <c r="KO161" s="6">
        <v>9180.5760000000009</v>
      </c>
      <c r="KQ161" s="5">
        <v>32.852896429230157</v>
      </c>
      <c r="LC161" s="6">
        <v>14377.391616000001</v>
      </c>
      <c r="LD161" s="5">
        <v>32.852896429230157</v>
      </c>
      <c r="LL161" s="6">
        <v>5252.825664</v>
      </c>
      <c r="LN161" s="5">
        <v>43.50234228523599</v>
      </c>
      <c r="LO161" s="6">
        <v>14884.4</v>
      </c>
      <c r="LQ161" s="5">
        <v>14.259839982544474</v>
      </c>
      <c r="MC161" s="6">
        <v>20137.225663999998</v>
      </c>
      <c r="MJ161" s="15">
        <v>118.872</v>
      </c>
      <c r="ML161" s="5">
        <v>63.881494407593003</v>
      </c>
      <c r="MQ161" s="15">
        <v>118.872</v>
      </c>
      <c r="MR161" s="5">
        <v>63.881494407593003</v>
      </c>
      <c r="MY161" s="4">
        <v>0.4572</v>
      </c>
      <c r="MZ161" s="15">
        <v>953.63079615048116</v>
      </c>
      <c r="NA161" s="4">
        <v>0.10160000000000001</v>
      </c>
      <c r="NB161" s="6">
        <v>7086.6141732283459</v>
      </c>
      <c r="NJ161" s="4">
        <v>0.55879999999999996</v>
      </c>
      <c r="NK161" s="6">
        <v>2913.2963436183227</v>
      </c>
    </row>
    <row r="162" spans="1:375" x14ac:dyDescent="0.25">
      <c r="A162" s="2">
        <v>1950</v>
      </c>
      <c r="B162" s="6">
        <v>2744.5439000000001</v>
      </c>
      <c r="C162" s="6">
        <v>1596.9849999999999</v>
      </c>
      <c r="D162" s="6">
        <v>2109.3886000000002</v>
      </c>
      <c r="E162" s="15">
        <v>484.47580000000005</v>
      </c>
      <c r="F162" s="5">
        <v>35.485099999999996</v>
      </c>
      <c r="G162" s="6">
        <v>18981.356299999999</v>
      </c>
      <c r="H162" s="6">
        <v>1090.366</v>
      </c>
      <c r="I162" s="6">
        <v>27042.600700000003</v>
      </c>
      <c r="J162" s="15">
        <v>997.4275274418402</v>
      </c>
      <c r="K162" s="6">
        <v>26123.422664783327</v>
      </c>
      <c r="M162" s="6">
        <v>88007.091</v>
      </c>
      <c r="N162" s="6">
        <v>212963.03460000001</v>
      </c>
      <c r="O162" s="15">
        <v>294.6103</v>
      </c>
      <c r="P162" s="6">
        <v>32370.124</v>
      </c>
      <c r="Q162" s="5">
        <v>41.922800000000002</v>
      </c>
      <c r="R162" s="6">
        <v>6385.234300000001</v>
      </c>
      <c r="S162" s="5">
        <v>10.542899999999999</v>
      </c>
      <c r="T162" s="6">
        <v>340072.55990000005</v>
      </c>
      <c r="U162" s="5">
        <v>16.237942122186492</v>
      </c>
      <c r="V162" s="6">
        <v>330896.27841087291</v>
      </c>
      <c r="X162" s="15">
        <v>373.18461538461543</v>
      </c>
      <c r="Y162" s="6">
        <v>1173.48</v>
      </c>
      <c r="Z162" s="6">
        <v>2348.9920000000002</v>
      </c>
      <c r="AC162" s="6">
        <f t="shared" si="358"/>
        <v>3895.6566153846156</v>
      </c>
      <c r="AE162" s="4">
        <v>2.1730238265671336</v>
      </c>
      <c r="AN162" s="6">
        <v>2357931.784</v>
      </c>
      <c r="AO162" s="6">
        <v>13002983.392000001</v>
      </c>
      <c r="AP162" s="6">
        <v>128453.89600000001</v>
      </c>
      <c r="AQ162" s="6">
        <v>225908.61600000001</v>
      </c>
      <c r="AR162" s="6">
        <v>265518.39199999999</v>
      </c>
      <c r="AS162" s="6">
        <v>827381.63199999998</v>
      </c>
      <c r="AT162" s="6">
        <v>16808177.712000001</v>
      </c>
      <c r="AU162" s="4">
        <v>3.4024413240929299</v>
      </c>
      <c r="AW162" s="6">
        <v>7444352.904000001</v>
      </c>
      <c r="AX162" s="4">
        <v>0.45849841403488628</v>
      </c>
      <c r="BA162" s="5">
        <v>43.18</v>
      </c>
      <c r="BB162" s="4">
        <v>0.10160000000000001</v>
      </c>
      <c r="BD162" s="5">
        <v>16.510214946573477</v>
      </c>
      <c r="BE162" s="5">
        <v>59.791814946573474</v>
      </c>
      <c r="BF162" s="6">
        <v>3277.0783105634437</v>
      </c>
      <c r="BH162" s="6">
        <v>5510.7839999999997</v>
      </c>
      <c r="BI162" s="6">
        <v>3955.288</v>
      </c>
      <c r="BK162" s="6">
        <v>8154.4160000000002</v>
      </c>
      <c r="BM162" s="5">
        <v>89.408000000000001</v>
      </c>
      <c r="BN162" s="15">
        <v>318.00799999999998</v>
      </c>
      <c r="BO162" s="6">
        <v>18027.903999999999</v>
      </c>
      <c r="BP162" s="4">
        <v>214.20118343195267</v>
      </c>
      <c r="BQ162" s="6">
        <v>16248.265528</v>
      </c>
      <c r="BS162" s="2">
        <v>130</v>
      </c>
      <c r="BV162" s="15">
        <v>130</v>
      </c>
      <c r="BW162" s="4">
        <v>4.1538461538461542</v>
      </c>
      <c r="BZ162" s="6">
        <v>1990.3440000000001</v>
      </c>
      <c r="CA162" s="6">
        <v>11926.824000000001</v>
      </c>
      <c r="CC162" s="6">
        <v>1545.336</v>
      </c>
      <c r="CD162" s="6">
        <v>2387421.1839999999</v>
      </c>
      <c r="CE162" s="6">
        <v>15133.32</v>
      </c>
      <c r="CG162" s="6">
        <v>2418017.0079999999</v>
      </c>
      <c r="CH162" s="4">
        <v>7.5</v>
      </c>
      <c r="CJ162" s="15">
        <v>580.13599999999997</v>
      </c>
      <c r="CK162" s="6">
        <v>2132.5839999999998</v>
      </c>
      <c r="CN162" s="15">
        <v>240.792</v>
      </c>
      <c r="CO162" s="6">
        <v>12153.392</v>
      </c>
      <c r="CQ162" s="6">
        <v>1140.9680000000001</v>
      </c>
      <c r="CR162" s="6">
        <v>16247.871999999999</v>
      </c>
      <c r="CS162" s="5">
        <v>15.691621798263359</v>
      </c>
      <c r="DD162" s="6">
        <v>40286.432000000001</v>
      </c>
      <c r="DE162" s="6">
        <v>178384.2</v>
      </c>
      <c r="DG162" s="6">
        <v>9780.0159999999996</v>
      </c>
      <c r="DH162" s="5">
        <v>59.944000000000003</v>
      </c>
      <c r="DI162" s="6">
        <v>1322.8320000000001</v>
      </c>
      <c r="DJ162" s="5">
        <v>14.224</v>
      </c>
      <c r="DK162" s="6">
        <v>229847.64799999999</v>
      </c>
      <c r="DL162" s="15">
        <v>261.63050272345748</v>
      </c>
      <c r="DM162" s="6">
        <v>225518.69455597509</v>
      </c>
      <c r="DO162" s="6">
        <v>36647.120000000003</v>
      </c>
      <c r="DP162" s="6">
        <v>158922.72</v>
      </c>
      <c r="DR162" s="6">
        <v>30647.64</v>
      </c>
      <c r="DT162" s="4">
        <v>3.048</v>
      </c>
      <c r="DV162" s="6">
        <v>226220.52799999999</v>
      </c>
      <c r="DW162" s="15">
        <v>273.23868202518082</v>
      </c>
      <c r="DX162" s="6">
        <v>208723.24015999999</v>
      </c>
      <c r="DZ162" s="15">
        <v>609.60507999999993</v>
      </c>
      <c r="EA162" s="15">
        <v>489.78566000000001</v>
      </c>
      <c r="EB162" s="15">
        <v>26.416</v>
      </c>
      <c r="EC162" s="6">
        <v>716.21400000000006</v>
      </c>
      <c r="ED162" s="5">
        <v>36.562792000000002</v>
      </c>
      <c r="EE162" s="5">
        <v>16.61721068249258</v>
      </c>
      <c r="EF162" s="6">
        <v>1895.2007426824925</v>
      </c>
      <c r="EG162" s="15">
        <v>940.20632510622261</v>
      </c>
      <c r="EY162" s="5">
        <v>46.736000000000004</v>
      </c>
      <c r="EZ162" s="15">
        <v>136.14400000000001</v>
      </c>
      <c r="FA162" s="4">
        <v>6.0960000000000001</v>
      </c>
      <c r="FB162" s="5">
        <v>93.665040000000005</v>
      </c>
      <c r="FC162" s="6">
        <v>2965.7040000000002</v>
      </c>
      <c r="FF162" s="6">
        <v>3248.3450400000002</v>
      </c>
      <c r="FG162" s="15">
        <v>124.51785309120244</v>
      </c>
      <c r="FI162" s="6">
        <v>905.25599999999997</v>
      </c>
      <c r="FJ162" s="200"/>
      <c r="FK162" s="200"/>
      <c r="FL162" s="200"/>
      <c r="FM162" s="15">
        <f t="shared" si="354"/>
        <v>905.25599999999997</v>
      </c>
      <c r="FN162" s="5">
        <v>66.074600000000004</v>
      </c>
      <c r="FP162" s="5">
        <v>39.624000000000002</v>
      </c>
      <c r="FQ162" s="2">
        <v>23.368000000000002</v>
      </c>
      <c r="FS162" s="5">
        <v>84.328000000000003</v>
      </c>
      <c r="FV162" s="15">
        <v>147.32</v>
      </c>
      <c r="FW162" s="6">
        <f>2*6011</f>
        <v>12022</v>
      </c>
      <c r="GE162" s="4">
        <v>2.4589023239832577</v>
      </c>
      <c r="GK162" s="4">
        <f t="shared" si="355"/>
        <v>2.4589023239832577</v>
      </c>
      <c r="GL162" s="15">
        <v>462.59842519685043</v>
      </c>
      <c r="GO162" s="15">
        <v>21.335999999999999</v>
      </c>
      <c r="GQ162" s="6">
        <v>1631.6959999999999</v>
      </c>
      <c r="GS162" s="6">
        <v>275900.89600000001</v>
      </c>
      <c r="GT162" s="6">
        <v>277553.92800000001</v>
      </c>
      <c r="GU162" s="4">
        <v>4.0334904439565751</v>
      </c>
      <c r="GW162" s="4">
        <v>0.49760000000000004</v>
      </c>
      <c r="GX162" s="87">
        <v>0.37767840000000003</v>
      </c>
      <c r="GY162" s="88">
        <v>6.4688000000000007E-4</v>
      </c>
      <c r="GZ162" s="85">
        <v>5.8219200000000004E-3</v>
      </c>
      <c r="HA162" s="85">
        <v>6.4688000000000002E-3</v>
      </c>
      <c r="HG162" s="4">
        <v>1.4349851</v>
      </c>
      <c r="HH162" s="85">
        <v>4.3049552999999997E-3</v>
      </c>
      <c r="HI162" s="86">
        <v>3.8744597700000001E-2</v>
      </c>
      <c r="HJ162" s="87">
        <v>0.48072000850000002</v>
      </c>
      <c r="HK162" s="87">
        <v>0.83372634309999993</v>
      </c>
      <c r="HO162" s="17"/>
      <c r="HP162" s="17"/>
      <c r="HQ162" s="7">
        <v>4.3049552999999997E-3</v>
      </c>
      <c r="HR162" s="3">
        <v>3.8744597700000001E-2</v>
      </c>
      <c r="HS162" s="4">
        <v>0.48072000850000002</v>
      </c>
      <c r="HT162" s="4">
        <v>0.83372634309999993</v>
      </c>
      <c r="HV162" s="4">
        <v>3.048</v>
      </c>
      <c r="HW162" s="5">
        <v>18.288</v>
      </c>
      <c r="HZ162" s="5">
        <f t="shared" si="363"/>
        <v>21.335999999999999</v>
      </c>
      <c r="IA162" s="15">
        <v>251.50532654006483</v>
      </c>
      <c r="IC162" s="5">
        <v>20.030683419816516</v>
      </c>
      <c r="ID162" s="4">
        <v>6.2956409664630906</v>
      </c>
      <c r="IF162" s="15">
        <v>579.21519764469008</v>
      </c>
      <c r="II162" s="5">
        <v>21.469552717860225</v>
      </c>
      <c r="IJ162" s="15">
        <v>627.01107474882986</v>
      </c>
      <c r="IK162" s="6">
        <v>3509.2418965979109</v>
      </c>
      <c r="IN162" s="4">
        <v>4.7966711280000007</v>
      </c>
      <c r="IO162" s="4">
        <v>0.16775216639999999</v>
      </c>
      <c r="IP162" s="4">
        <v>4.9644232944000004</v>
      </c>
      <c r="IQ162" s="6">
        <v>3208.7694511337741</v>
      </c>
      <c r="IT162" s="3">
        <v>7.1586547199999989E-2</v>
      </c>
      <c r="IU162" s="3">
        <f t="shared" si="362"/>
        <v>7.1586547199999989E-2</v>
      </c>
      <c r="IW162" s="15">
        <v>281.839924</v>
      </c>
      <c r="IX162" s="16">
        <v>61.975999999999999</v>
      </c>
      <c r="IZ162" s="15">
        <v>343.815924</v>
      </c>
      <c r="JG162" s="15">
        <v>203.2</v>
      </c>
      <c r="JI162" s="5">
        <v>46.259842519685044</v>
      </c>
      <c r="JJ162" s="15">
        <v>50.8</v>
      </c>
      <c r="JK162" s="5">
        <v>47.37872396519905</v>
      </c>
      <c r="JL162" s="4">
        <v>4.9212598425196852</v>
      </c>
      <c r="JV162" s="15">
        <v>254</v>
      </c>
      <c r="JW162" s="4">
        <v>4.9212598425196852</v>
      </c>
      <c r="KL162" s="6">
        <v>7852.5623999999998</v>
      </c>
      <c r="KN162" s="5">
        <v>42.961008498321519</v>
      </c>
      <c r="KO162" s="6">
        <v>10752.328</v>
      </c>
      <c r="KP162" s="5">
        <v>96.465085514504395</v>
      </c>
      <c r="KQ162" s="5">
        <v>39.028199288563371</v>
      </c>
      <c r="LC162" s="6">
        <v>18604.8904</v>
      </c>
      <c r="LD162" s="5">
        <v>39.028199288563371</v>
      </c>
      <c r="LL162" s="6">
        <v>7852.5623999999998</v>
      </c>
      <c r="LN162" s="5">
        <v>42.961008498321519</v>
      </c>
      <c r="LO162" s="6">
        <v>15270.48</v>
      </c>
      <c r="LP162" s="5">
        <v>66.229732595616511</v>
      </c>
      <c r="LQ162" s="5">
        <v>16.741058565284131</v>
      </c>
      <c r="MC162" s="6">
        <v>23123.042399999998</v>
      </c>
      <c r="MG162" s="15">
        <v>5.08</v>
      </c>
      <c r="MI162" s="5">
        <v>24.803149606299211</v>
      </c>
      <c r="MJ162" s="15">
        <v>30.48</v>
      </c>
      <c r="MK162" s="5">
        <v>94</v>
      </c>
      <c r="ML162" s="15">
        <v>142.51968503937007</v>
      </c>
      <c r="MQ162" s="5">
        <v>35.56</v>
      </c>
      <c r="MR162" s="15">
        <v>125.70303712035995</v>
      </c>
      <c r="MY162" s="3">
        <v>7.6200000000000004E-2</v>
      </c>
      <c r="MZ162" s="6">
        <v>1089.2388451443569</v>
      </c>
      <c r="NA162" s="4">
        <v>0.85366959992742453</v>
      </c>
      <c r="NB162" s="6">
        <v>1094.4822695035459</v>
      </c>
      <c r="NC162" s="7">
        <v>3.9623999999999996E-3</v>
      </c>
      <c r="ND162" s="6">
        <v>3028.4675953967294</v>
      </c>
      <c r="NJ162" s="4">
        <v>0.93383199992742461</v>
      </c>
      <c r="NK162" s="6">
        <v>3698.3431017263515</v>
      </c>
    </row>
    <row r="163" spans="1:375" x14ac:dyDescent="0.25">
      <c r="A163" s="2">
        <v>1951</v>
      </c>
      <c r="B163" s="6">
        <v>2443.8380000000002</v>
      </c>
      <c r="C163" s="6">
        <v>1521.1010000000001</v>
      </c>
      <c r="D163" s="6">
        <v>2054.5592999999999</v>
      </c>
      <c r="E163" s="15">
        <v>449.27060000000006</v>
      </c>
      <c r="F163" s="5">
        <v>11.2582</v>
      </c>
      <c r="G163" s="6">
        <v>20160.4195</v>
      </c>
      <c r="H163" s="6">
        <v>1211.1895</v>
      </c>
      <c r="I163" s="6">
        <v>27851.6361</v>
      </c>
      <c r="J163" s="15">
        <v>996.24851655741463</v>
      </c>
      <c r="K163" s="6">
        <v>26762.355459936683</v>
      </c>
      <c r="M163" s="6">
        <v>83850.762600000002</v>
      </c>
      <c r="N163" s="6">
        <v>201512.2323</v>
      </c>
      <c r="O163" s="15">
        <v>258.93860000000001</v>
      </c>
      <c r="P163" s="6">
        <v>30501.698200000003</v>
      </c>
      <c r="Q163" s="5">
        <v>14.2127</v>
      </c>
      <c r="R163" s="6">
        <v>6118.7073000000009</v>
      </c>
      <c r="S163" s="3">
        <v>3.1100000000000003E-2</v>
      </c>
      <c r="T163" s="6">
        <v>322256.58280000003</v>
      </c>
      <c r="U163" s="5">
        <v>25.536940000000001</v>
      </c>
      <c r="V163" s="6">
        <v>310662.68267868407</v>
      </c>
      <c r="X163" s="15">
        <v>373.18461538461543</v>
      </c>
      <c r="Y163" s="6">
        <v>2076.7040000000002</v>
      </c>
      <c r="Z163" s="6">
        <v>3088.64</v>
      </c>
      <c r="AC163" s="6">
        <f t="shared" si="358"/>
        <v>5538.5286153846155</v>
      </c>
      <c r="AE163" s="4">
        <v>1.8731605467124828</v>
      </c>
      <c r="AN163" s="6">
        <v>2513355.4</v>
      </c>
      <c r="AO163" s="6">
        <v>13729455.904000001</v>
      </c>
      <c r="AP163" s="6">
        <v>150106.88800000001</v>
      </c>
      <c r="AQ163" s="6">
        <v>240678.20800000001</v>
      </c>
      <c r="AR163" s="6">
        <v>394515.848</v>
      </c>
      <c r="AS163" s="6">
        <v>862050.6</v>
      </c>
      <c r="AT163" s="6">
        <v>17890162.848000005</v>
      </c>
      <c r="AU163" s="4">
        <v>4.6307529049666538</v>
      </c>
      <c r="AW163" s="6">
        <v>7961432.8960000006</v>
      </c>
      <c r="AX163" s="4">
        <v>0.69204175579601601</v>
      </c>
      <c r="BA163" s="5">
        <v>42.875200000000007</v>
      </c>
      <c r="BB163" s="4">
        <v>0.10160000000000001</v>
      </c>
      <c r="BD163" s="4">
        <v>8.1280000000000001</v>
      </c>
      <c r="BE163" s="5">
        <v>51.104800000000004</v>
      </c>
      <c r="BF163" s="6">
        <v>3946.7809625859454</v>
      </c>
      <c r="BH163" s="6">
        <v>5518.9120000000003</v>
      </c>
      <c r="BI163" s="6">
        <v>3737.864</v>
      </c>
      <c r="BK163" s="6">
        <v>8920.48</v>
      </c>
      <c r="BM163" s="15">
        <v>143.256</v>
      </c>
      <c r="BN163" s="15">
        <v>196.08799999999999</v>
      </c>
      <c r="BO163" s="6">
        <v>18516.599999999999</v>
      </c>
      <c r="BP163" s="4">
        <v>249.47477437490753</v>
      </c>
      <c r="BQ163" s="6">
        <v>17935.349008000001</v>
      </c>
      <c r="BS163" s="2">
        <v>129</v>
      </c>
      <c r="BV163" s="15">
        <v>129</v>
      </c>
      <c r="BW163" s="4">
        <v>4</v>
      </c>
      <c r="BZ163" s="6">
        <v>1628.6479999999999</v>
      </c>
      <c r="CA163" s="6">
        <v>11891.264000000001</v>
      </c>
      <c r="CC163" s="6">
        <v>3286.76</v>
      </c>
      <c r="CD163" s="6">
        <v>2438986.2319999998</v>
      </c>
      <c r="CE163" s="6">
        <v>36222.432000000001</v>
      </c>
      <c r="CG163" s="6">
        <v>2492015.3359999997</v>
      </c>
      <c r="CH163" s="4">
        <v>7</v>
      </c>
      <c r="CK163" s="6">
        <v>2726.944</v>
      </c>
      <c r="CN163" s="5">
        <v>27.432000000000002</v>
      </c>
      <c r="CO163" s="6">
        <v>5341.1120000000001</v>
      </c>
      <c r="CQ163" s="6">
        <v>1541.2719999999999</v>
      </c>
      <c r="CR163" s="6">
        <v>9636.7599999999984</v>
      </c>
      <c r="CS163" s="5">
        <v>20.61006700809963</v>
      </c>
      <c r="DD163" s="6">
        <v>34599.879999999997</v>
      </c>
      <c r="DE163" s="6">
        <v>171258.992</v>
      </c>
      <c r="DG163" s="6">
        <v>8382</v>
      </c>
      <c r="DH163" s="5">
        <v>41.655999999999999</v>
      </c>
      <c r="DI163" s="6">
        <v>1943.6079999999999</v>
      </c>
      <c r="DK163" s="6">
        <v>216226.136</v>
      </c>
      <c r="DL163" s="15">
        <v>344.67363157424774</v>
      </c>
      <c r="DM163" s="6">
        <v>213232.40884990984</v>
      </c>
      <c r="DO163" s="6">
        <v>30833.567999999999</v>
      </c>
      <c r="DP163" s="6">
        <v>156890.72</v>
      </c>
      <c r="DR163" s="6">
        <v>26915.871999999999</v>
      </c>
      <c r="DT163" s="4">
        <v>9.1440000000000001</v>
      </c>
      <c r="DV163" s="6">
        <v>214649.304</v>
      </c>
      <c r="DW163" s="15">
        <v>354.49593713724443</v>
      </c>
      <c r="DX163" s="6">
        <v>199762.35478446184</v>
      </c>
      <c r="DZ163" s="15">
        <v>346.78111999999999</v>
      </c>
      <c r="EA163" s="15">
        <v>419.06697999999994</v>
      </c>
      <c r="EB163" s="15">
        <v>33.020000000000003</v>
      </c>
      <c r="EC163" s="6">
        <v>698.03800000000001</v>
      </c>
      <c r="ED163" s="5">
        <v>43.315387796889603</v>
      </c>
      <c r="EE163" s="5">
        <v>15.786350148367951</v>
      </c>
      <c r="EF163" s="6">
        <v>1556.0078379452575</v>
      </c>
      <c r="EG163" s="6">
        <v>1385.419854761971</v>
      </c>
      <c r="EY163" s="5">
        <v>28.448</v>
      </c>
      <c r="EZ163" s="15">
        <v>153.416</v>
      </c>
      <c r="FA163" s="5">
        <v>73.152000000000001</v>
      </c>
      <c r="FC163" s="6">
        <v>3271.52</v>
      </c>
      <c r="FE163" s="15">
        <v>21.335999999999999</v>
      </c>
      <c r="FF163" s="6">
        <v>3547.8719999999998</v>
      </c>
      <c r="FG163" s="15">
        <v>190.44254268370182</v>
      </c>
      <c r="FI163" s="6">
        <v>1402.08</v>
      </c>
      <c r="FJ163" s="200"/>
      <c r="FK163" s="200"/>
      <c r="FL163" s="200"/>
      <c r="FM163" s="15">
        <f t="shared" si="354"/>
        <v>1402.08</v>
      </c>
      <c r="FN163" s="5">
        <v>71.432000000000002</v>
      </c>
      <c r="FP163" s="5">
        <v>29.463999999999999</v>
      </c>
      <c r="FQ163" s="5"/>
      <c r="FS163" s="5">
        <v>17.271999999999998</v>
      </c>
      <c r="FV163" s="5">
        <v>46.735999999999997</v>
      </c>
      <c r="FW163" s="6">
        <f>2*4405</f>
        <v>8810</v>
      </c>
      <c r="GE163" s="4">
        <v>0.15529909414631102</v>
      </c>
      <c r="GF163" s="4">
        <v>0.92661792840632229</v>
      </c>
      <c r="GK163" s="4">
        <f t="shared" si="355"/>
        <v>1.0819170225526333</v>
      </c>
      <c r="GL163" s="15">
        <v>885.82677165354335</v>
      </c>
      <c r="GO163" s="15">
        <v>29.463999999999999</v>
      </c>
      <c r="GQ163" s="6">
        <v>8026.4000000000005</v>
      </c>
      <c r="GS163" s="115">
        <v>300000</v>
      </c>
      <c r="GT163" s="6">
        <v>308055.864</v>
      </c>
      <c r="GU163" s="4">
        <v>4.4136963789069972</v>
      </c>
      <c r="GW163" s="4">
        <v>0.24880000000000002</v>
      </c>
      <c r="GX163" s="87">
        <v>0.18883920000000001</v>
      </c>
      <c r="GY163" s="88">
        <v>3.2344000000000003E-4</v>
      </c>
      <c r="GZ163" s="85">
        <v>2.9109600000000002E-3</v>
      </c>
      <c r="HA163" s="85">
        <v>3.2344000000000001E-3</v>
      </c>
      <c r="HG163" s="4">
        <v>1.0380558000000002</v>
      </c>
      <c r="HH163" s="85">
        <v>3.1141674000000007E-3</v>
      </c>
      <c r="HI163" s="86">
        <v>2.8027506600000005E-2</v>
      </c>
      <c r="HJ163" s="87">
        <v>0.34774869300000011</v>
      </c>
      <c r="HK163" s="87">
        <v>0.60311041980000002</v>
      </c>
      <c r="HO163" s="17"/>
      <c r="HP163" s="17"/>
      <c r="HQ163" s="7">
        <v>3.1141674000000007E-3</v>
      </c>
      <c r="HR163" s="3">
        <v>2.8027506600000005E-2</v>
      </c>
      <c r="HS163" s="4">
        <v>0.34774869300000011</v>
      </c>
      <c r="HT163" s="4">
        <v>0.60311041980000002</v>
      </c>
      <c r="HW163" s="5">
        <v>19.202399999999997</v>
      </c>
      <c r="HZ163" s="5">
        <f t="shared" si="363"/>
        <v>19.202399999999997</v>
      </c>
      <c r="IA163" s="15">
        <v>304.34614790798207</v>
      </c>
      <c r="IC163" s="5">
        <v>85.113787828517459</v>
      </c>
      <c r="ID163" s="5">
        <v>16.818350014847809</v>
      </c>
      <c r="IF163" s="15">
        <v>817.11484102475458</v>
      </c>
      <c r="IH163" s="4">
        <v>2.6964356510288638</v>
      </c>
      <c r="II163" s="5">
        <v>42.93910543572045</v>
      </c>
      <c r="IJ163" s="15">
        <v>964.68251995486912</v>
      </c>
      <c r="IK163" s="6">
        <v>7581.0340208947237</v>
      </c>
      <c r="IN163" s="4">
        <v>1.477001872</v>
      </c>
      <c r="IO163" s="3">
        <v>7.4556518399999994E-2</v>
      </c>
      <c r="IP163" s="4">
        <v>1.5515583903999999</v>
      </c>
      <c r="IQ163" s="6">
        <v>8568.4654429398724</v>
      </c>
      <c r="IT163" s="3">
        <v>3.1816243199999997E-2</v>
      </c>
      <c r="IU163" s="3">
        <f t="shared" si="362"/>
        <v>3.1816243199999997E-2</v>
      </c>
      <c r="IW163" s="15">
        <v>194.15922559999998</v>
      </c>
      <c r="IX163" s="16">
        <v>40.64</v>
      </c>
      <c r="IZ163" s="15">
        <v>234.7992256</v>
      </c>
      <c r="JG163" s="5">
        <v>20.827999999999999</v>
      </c>
      <c r="JI163" s="4">
        <v>9.9865565584789717</v>
      </c>
      <c r="JJ163" s="6">
        <v>1252.7280000000001</v>
      </c>
      <c r="JK163" s="5">
        <v>31.0862836073366</v>
      </c>
      <c r="JL163" s="4">
        <v>6.0028992726274177</v>
      </c>
      <c r="JV163" s="6">
        <v>1273.556</v>
      </c>
      <c r="JW163" s="4">
        <v>6.0028992726274177</v>
      </c>
      <c r="KL163" s="6">
        <v>12322.6068</v>
      </c>
      <c r="KN163" s="5">
        <v>45.153595260379483</v>
      </c>
      <c r="KO163" s="6">
        <v>23428.452000000001</v>
      </c>
      <c r="KP163" s="5">
        <v>96.753181985732567</v>
      </c>
      <c r="KQ163" s="5">
        <v>46.001502788148358</v>
      </c>
      <c r="LC163" s="6">
        <v>35751.058799999999</v>
      </c>
      <c r="LD163" s="5">
        <v>46.001502788148358</v>
      </c>
      <c r="LL163" s="6">
        <v>12322.6068</v>
      </c>
      <c r="LN163" s="5">
        <v>45.153595260379483</v>
      </c>
      <c r="LO163" s="6">
        <v>32797.495999999999</v>
      </c>
      <c r="LP163" s="5">
        <v>66.462956399834866</v>
      </c>
      <c r="LQ163" s="5">
        <v>18.111870491576553</v>
      </c>
      <c r="MC163" s="6">
        <v>45120.102800000001</v>
      </c>
      <c r="MJ163" s="5">
        <v>32.003999999999998</v>
      </c>
      <c r="MK163" s="5">
        <v>93.80952380952381</v>
      </c>
      <c r="ML163" s="15">
        <v>197.10036245469317</v>
      </c>
      <c r="MQ163" s="5">
        <v>32.003999999999998</v>
      </c>
      <c r="MR163" s="15">
        <v>197.10036245469317</v>
      </c>
      <c r="NA163" s="5">
        <v>1.1303637848135717</v>
      </c>
      <c r="NB163" s="6">
        <v>5552.1948635634026</v>
      </c>
      <c r="NG163" s="3">
        <v>5.801959539145423E-2</v>
      </c>
      <c r="NH163" s="6">
        <v>2902.4676725822846</v>
      </c>
      <c r="NJ163" s="4">
        <v>1.1883833802050259</v>
      </c>
      <c r="NK163" s="6">
        <v>5913.6311039331176</v>
      </c>
    </row>
    <row r="164" spans="1:375" x14ac:dyDescent="0.25">
      <c r="A164" s="2">
        <v>1952</v>
      </c>
      <c r="B164" s="6">
        <v>2667.0116000000003</v>
      </c>
      <c r="C164" s="6">
        <v>1213.8330000000001</v>
      </c>
      <c r="D164" s="6">
        <v>2076.7647000000002</v>
      </c>
      <c r="E164" s="15">
        <v>499.83920000000001</v>
      </c>
      <c r="F164" s="5">
        <v>13.5907</v>
      </c>
      <c r="G164" s="6">
        <v>22624.285900000003</v>
      </c>
      <c r="H164" s="6">
        <v>1396.2034000000001</v>
      </c>
      <c r="I164" s="6">
        <v>30491.5285</v>
      </c>
      <c r="J164" s="6">
        <v>1043.7670607946275</v>
      </c>
      <c r="K164" s="6">
        <v>29093.638547000002</v>
      </c>
      <c r="M164" s="6">
        <v>104206.6767</v>
      </c>
      <c r="N164" s="6">
        <v>210119.4994</v>
      </c>
      <c r="O164" s="15">
        <v>181.81059999999999</v>
      </c>
      <c r="P164" s="6">
        <v>35830.341100000005</v>
      </c>
      <c r="Q164" s="5">
        <v>20.028400000000001</v>
      </c>
      <c r="R164" s="6">
        <v>6517.9691000000003</v>
      </c>
      <c r="S164" s="15">
        <v>134.32089999999999</v>
      </c>
      <c r="T164" s="6">
        <v>357010.64619999996</v>
      </c>
      <c r="U164" s="5">
        <v>24.376170000000002</v>
      </c>
      <c r="V164" s="6">
        <v>342681.26128996967</v>
      </c>
      <c r="X164" s="15">
        <v>373.18461538461543</v>
      </c>
      <c r="Y164" s="6">
        <v>4091.4320000000002</v>
      </c>
      <c r="Z164" s="6">
        <v>3259.328</v>
      </c>
      <c r="AC164" s="6">
        <f t="shared" si="358"/>
        <v>7723.9446153846147</v>
      </c>
      <c r="AE164" s="4">
        <v>2.4338666755307186</v>
      </c>
      <c r="AN164" s="6">
        <v>2786111.7760000001</v>
      </c>
      <c r="AO164" s="6">
        <v>15262453.6</v>
      </c>
      <c r="AP164" s="6">
        <v>146121.12</v>
      </c>
      <c r="AQ164" s="6">
        <v>251865.38399999999</v>
      </c>
      <c r="AR164" s="6">
        <v>424211.49599999998</v>
      </c>
      <c r="AS164" s="6">
        <v>843748.37600000005</v>
      </c>
      <c r="AT164" s="6">
        <v>19714511.751999997</v>
      </c>
      <c r="AU164" s="4">
        <v>5.6925047561831033</v>
      </c>
      <c r="AW164" s="6">
        <v>8233424.2240000004</v>
      </c>
      <c r="AX164" s="4">
        <v>0.84451545442437292</v>
      </c>
      <c r="BA164" s="5">
        <v>54.7624</v>
      </c>
      <c r="BB164" s="4">
        <v>0.30480000000000002</v>
      </c>
      <c r="BD164" s="5">
        <v>10.16</v>
      </c>
      <c r="BE164" s="5">
        <v>65.227199999999996</v>
      </c>
      <c r="BF164" s="6">
        <v>4464.6843468166808</v>
      </c>
      <c r="BH164" s="6">
        <v>7077.4560000000001</v>
      </c>
      <c r="BI164" s="6">
        <v>3618.9920000000002</v>
      </c>
      <c r="BK164" s="6">
        <v>7983.7280000000001</v>
      </c>
      <c r="BL164" s="4">
        <v>2.032</v>
      </c>
      <c r="BM164" s="15">
        <v>185.928</v>
      </c>
      <c r="BN164" s="15">
        <v>434.84800000000001</v>
      </c>
      <c r="BO164" s="6">
        <v>19302.984</v>
      </c>
      <c r="BP164" s="4">
        <v>249.75882481911862</v>
      </c>
      <c r="BQ164" s="6">
        <v>18625.246999999999</v>
      </c>
      <c r="BS164" s="2">
        <v>49</v>
      </c>
      <c r="BV164" s="15">
        <v>49</v>
      </c>
      <c r="BW164" s="4">
        <v>4.8163265306122449</v>
      </c>
      <c r="BZ164" s="6">
        <v>1273.048</v>
      </c>
      <c r="CA164" s="6">
        <v>12512.04</v>
      </c>
      <c r="CC164" s="6">
        <v>4749.8</v>
      </c>
      <c r="CD164" s="6">
        <v>2726909.4560000002</v>
      </c>
      <c r="CE164" s="6">
        <v>227368.60800000001</v>
      </c>
      <c r="CG164" s="6">
        <v>2972812.952</v>
      </c>
      <c r="CH164" s="4">
        <v>6.5</v>
      </c>
      <c r="CK164" s="6">
        <v>2056.384</v>
      </c>
      <c r="CO164" s="6">
        <v>5125.72</v>
      </c>
      <c r="CQ164" s="6">
        <v>1983.232</v>
      </c>
      <c r="CR164" s="6">
        <v>9165.3359999999993</v>
      </c>
      <c r="CS164" s="5">
        <v>20.35623099711546</v>
      </c>
      <c r="DD164" s="6">
        <v>42390.567999999999</v>
      </c>
      <c r="DE164" s="6">
        <v>176207.92800000001</v>
      </c>
      <c r="DG164" s="6">
        <v>8676.64</v>
      </c>
      <c r="DH164" s="5">
        <v>51.816000000000003</v>
      </c>
      <c r="DI164" s="6">
        <v>5582.92</v>
      </c>
      <c r="DK164" s="6">
        <v>232909.872</v>
      </c>
      <c r="DL164" s="15">
        <v>324.13608357889098</v>
      </c>
      <c r="DM164" s="6">
        <v>232976.19661753441</v>
      </c>
      <c r="DO164" s="6">
        <v>34321.495999999999</v>
      </c>
      <c r="DP164" s="6">
        <v>160763.712</v>
      </c>
      <c r="DR164" s="6">
        <v>27711.4</v>
      </c>
      <c r="DT164" s="5">
        <v>47.752000000000002</v>
      </c>
      <c r="DV164" s="6">
        <v>222844.36</v>
      </c>
      <c r="DW164" s="15">
        <v>318.77846236271097</v>
      </c>
      <c r="DX164" s="6">
        <v>207957.67490228248</v>
      </c>
      <c r="DZ164" s="15">
        <v>335.29523999999998</v>
      </c>
      <c r="EA164" s="15">
        <v>396.86484000000013</v>
      </c>
      <c r="EB164" s="15">
        <v>34.340800000000002</v>
      </c>
      <c r="EC164" s="6">
        <v>764.90200000000004</v>
      </c>
      <c r="ED164" s="5">
        <v>66.456559999999996</v>
      </c>
      <c r="EE164" s="5">
        <v>6.2314540059347179</v>
      </c>
      <c r="EF164" s="6">
        <v>1604.0908940059348</v>
      </c>
      <c r="EG164" s="6">
        <v>1497.3297442024502</v>
      </c>
      <c r="EY164" s="5">
        <v>22.352</v>
      </c>
      <c r="EZ164" s="5">
        <v>83.311999999999998</v>
      </c>
      <c r="FA164" s="2">
        <v>5.08</v>
      </c>
      <c r="FB164" s="15">
        <v>268.81327999999996</v>
      </c>
      <c r="FC164" s="6">
        <v>3584.4479999999999</v>
      </c>
      <c r="FE164" s="15">
        <v>19.304000000000002</v>
      </c>
      <c r="FF164" s="6">
        <v>3983.3092799999999</v>
      </c>
      <c r="FG164" s="15">
        <v>190.76483579796428</v>
      </c>
      <c r="FI164" s="6">
        <v>635</v>
      </c>
      <c r="FJ164" s="200"/>
      <c r="FK164" s="200"/>
      <c r="FL164" s="6">
        <v>785.36800000000005</v>
      </c>
      <c r="FM164" s="15">
        <f t="shared" si="354"/>
        <v>1420.3679999999999</v>
      </c>
      <c r="FN164" s="5">
        <v>83.932600000000008</v>
      </c>
      <c r="FP164" s="2">
        <v>76.2</v>
      </c>
      <c r="FR164" s="2">
        <v>5.08</v>
      </c>
      <c r="FV164" s="5">
        <v>81.28</v>
      </c>
      <c r="FW164" s="6">
        <f>2*3208</f>
        <v>6416</v>
      </c>
      <c r="GE164" s="4">
        <v>5.1766364715437004E-2</v>
      </c>
      <c r="GF164" s="3">
        <v>1.55299094146311E-2</v>
      </c>
      <c r="GK164" s="3">
        <f t="shared" si="355"/>
        <v>6.7296274130068098E-2</v>
      </c>
      <c r="GL164" s="15">
        <v>822.05423728813548</v>
      </c>
      <c r="GO164" s="15">
        <v>10.16</v>
      </c>
      <c r="GQ164" s="6">
        <v>5622.5439999999999</v>
      </c>
      <c r="GS164" s="115">
        <v>500000</v>
      </c>
      <c r="GT164" s="6">
        <v>505632.70400000003</v>
      </c>
      <c r="GU164" s="4">
        <v>4.1669149215006343</v>
      </c>
      <c r="HG164" s="4">
        <v>1.5849182000000002</v>
      </c>
      <c r="HH164" s="85">
        <v>4.754754600000001E-3</v>
      </c>
      <c r="HI164" s="86">
        <v>4.2792791400000002E-2</v>
      </c>
      <c r="HJ164" s="87">
        <v>0.53094759700000005</v>
      </c>
      <c r="HK164" s="87">
        <v>0.92083747420000006</v>
      </c>
      <c r="HO164" s="17"/>
      <c r="HP164" s="17"/>
      <c r="HQ164" s="7">
        <v>4.754754600000001E-3</v>
      </c>
      <c r="HR164" s="3">
        <v>4.2792791400000002E-2</v>
      </c>
      <c r="HS164" s="4">
        <v>0.53094759700000005</v>
      </c>
      <c r="HT164" s="4">
        <v>0.92083747420000006</v>
      </c>
      <c r="HW164" s="5">
        <v>53.644799999999996</v>
      </c>
      <c r="HZ164" s="5">
        <f t="shared" si="363"/>
        <v>53.644799999999996</v>
      </c>
      <c r="IA164" s="15">
        <v>206.6322147350177</v>
      </c>
      <c r="IC164" s="15">
        <v>127.012055953105</v>
      </c>
      <c r="ID164" s="5">
        <v>25.376436372332599</v>
      </c>
      <c r="IE164" s="4">
        <v>0.96533401278601627</v>
      </c>
      <c r="IF164" s="15">
        <v>847.57110744145257</v>
      </c>
      <c r="II164" s="5">
        <v>90.067391889559971</v>
      </c>
      <c r="IJ164" s="6">
        <v>1090.9923256692362</v>
      </c>
      <c r="IK164" s="6">
        <v>7875.7031877846248</v>
      </c>
      <c r="IN164" s="4">
        <v>5.033278224</v>
      </c>
      <c r="IP164" s="4">
        <v>5.033278224</v>
      </c>
      <c r="IQ164" s="6">
        <v>10710.244196683394</v>
      </c>
      <c r="IW164" s="15">
        <v>229.05770800000002</v>
      </c>
      <c r="IX164" s="16">
        <v>64.007999999999996</v>
      </c>
      <c r="IZ164" s="15">
        <v>293.06570800000003</v>
      </c>
      <c r="JJ164" s="15">
        <v>31.496000000000002</v>
      </c>
      <c r="JK164" s="5">
        <v>46.190010460695845</v>
      </c>
      <c r="JL164" s="4">
        <v>6.6040132080264158</v>
      </c>
      <c r="JV164" s="15">
        <v>31.496000000000002</v>
      </c>
      <c r="JW164" s="4">
        <v>6.6040132080264158</v>
      </c>
      <c r="KL164" s="6">
        <v>13780.17056</v>
      </c>
      <c r="KN164" s="5">
        <v>76.145066233490795</v>
      </c>
      <c r="KO164" s="6">
        <v>24841.200000000001</v>
      </c>
      <c r="KP164" s="5">
        <v>96.755010224948876</v>
      </c>
      <c r="KQ164" s="5">
        <v>81.578023605944963</v>
      </c>
      <c r="LC164" s="6">
        <v>38621.370560000003</v>
      </c>
      <c r="LD164" s="5">
        <v>81.578023605944963</v>
      </c>
      <c r="LL164" s="6">
        <v>13780.17056</v>
      </c>
      <c r="LN164" s="5">
        <v>76.145066233490795</v>
      </c>
      <c r="LO164" s="6">
        <v>17430.495999999999</v>
      </c>
      <c r="LP164" s="5">
        <v>66.311633223104593</v>
      </c>
      <c r="LQ164" s="5">
        <v>14.947251070767006</v>
      </c>
      <c r="MC164" s="6">
        <v>31210.666559999998</v>
      </c>
      <c r="MJ164" s="15">
        <v>89.408000000000001</v>
      </c>
      <c r="MK164" s="5">
        <v>92.045454545454547</v>
      </c>
      <c r="ML164" s="15">
        <v>197.99123120973513</v>
      </c>
      <c r="MQ164" s="5">
        <v>89.408000000000001</v>
      </c>
      <c r="MR164" s="15">
        <v>197.99123120973513</v>
      </c>
      <c r="MY164" s="3">
        <v>1.2700000000000001E-2</v>
      </c>
      <c r="MZ164" s="6">
        <v>2047.2440944881887</v>
      </c>
      <c r="NA164" s="5">
        <v>1.4170371042365961</v>
      </c>
      <c r="NB164" s="6">
        <v>4634.0987919463087</v>
      </c>
      <c r="NJ164" s="4">
        <v>1.4297371042365961</v>
      </c>
      <c r="NK164" s="6">
        <v>6020.4282948081809</v>
      </c>
    </row>
    <row r="165" spans="1:375" x14ac:dyDescent="0.25">
      <c r="A165" s="2">
        <v>1953</v>
      </c>
      <c r="B165" s="6">
        <v>2857.6857</v>
      </c>
      <c r="C165" s="15">
        <v>822.9371000000001</v>
      </c>
      <c r="D165" s="6">
        <v>1987.8187000000003</v>
      </c>
      <c r="E165" s="15">
        <v>528.32680000000005</v>
      </c>
      <c r="F165" s="5">
        <v>13.7773</v>
      </c>
      <c r="G165" s="6">
        <v>25597.228200000001</v>
      </c>
      <c r="H165" s="6">
        <v>1630.3552999999999</v>
      </c>
      <c r="I165" s="6">
        <v>33438.129100000006</v>
      </c>
      <c r="J165" s="6">
        <v>1038.0332609387674</v>
      </c>
      <c r="K165" s="6">
        <v>32047.881311124998</v>
      </c>
      <c r="M165" s="6">
        <v>92698.805900000007</v>
      </c>
      <c r="N165" s="6">
        <v>250946.30430000002</v>
      </c>
      <c r="O165" s="15">
        <v>194.93480000000002</v>
      </c>
      <c r="P165" s="6">
        <v>38583.002099999998</v>
      </c>
      <c r="Q165" s="5">
        <v>21.738900000000001</v>
      </c>
      <c r="R165" s="6">
        <v>7514.6619000000001</v>
      </c>
      <c r="S165" s="4">
        <v>7.9305000000000003</v>
      </c>
      <c r="T165" s="6">
        <v>389967.37840000005</v>
      </c>
      <c r="U165" s="5">
        <v>24.376170000000002</v>
      </c>
      <c r="V165" s="6">
        <v>372228.94879065297</v>
      </c>
      <c r="X165" s="15">
        <v>373.18461538461543</v>
      </c>
      <c r="Y165" s="6">
        <v>1881.6320000000001</v>
      </c>
      <c r="Z165" s="6">
        <v>2235.1999999999998</v>
      </c>
      <c r="AC165" s="6">
        <f t="shared" si="358"/>
        <v>4490.0166153846149</v>
      </c>
      <c r="AE165" s="4">
        <v>2.434057243924423</v>
      </c>
      <c r="AN165" s="6">
        <v>2557080.9920000001</v>
      </c>
      <c r="AO165" s="6">
        <v>14400612.296</v>
      </c>
      <c r="AP165" s="6">
        <v>154337.51199999999</v>
      </c>
      <c r="AQ165" s="6">
        <v>237367.06400000001</v>
      </c>
      <c r="AR165" s="6">
        <v>455659.74400000001</v>
      </c>
      <c r="AS165" s="6">
        <v>900360.91200000001</v>
      </c>
      <c r="AT165" s="6">
        <v>18705418.519999996</v>
      </c>
      <c r="AU165" s="4">
        <v>5.7826869810918051</v>
      </c>
      <c r="AW165" s="6">
        <v>8389415.7840000018</v>
      </c>
      <c r="AX165" s="4">
        <v>0.86696573244962438</v>
      </c>
      <c r="BA165" s="5">
        <v>53.543200000000006</v>
      </c>
      <c r="BB165" s="4">
        <v>0.10160000000000001</v>
      </c>
      <c r="BD165" s="5">
        <v>11.176</v>
      </c>
      <c r="BE165" s="5">
        <v>64.820800000000006</v>
      </c>
      <c r="BF165" s="6">
        <v>4527.1899276721142</v>
      </c>
      <c r="BH165" s="6">
        <v>25049.48</v>
      </c>
      <c r="BI165" s="6">
        <v>3684.0160000000001</v>
      </c>
      <c r="BK165" s="6">
        <v>9044.4320000000007</v>
      </c>
      <c r="BL165" s="4">
        <v>1.016</v>
      </c>
      <c r="BM165" s="15">
        <v>186.94400000000002</v>
      </c>
      <c r="BN165" s="15">
        <v>89.408000000000001</v>
      </c>
      <c r="BO165" s="6">
        <v>38055.296000000002</v>
      </c>
      <c r="BP165" s="4">
        <v>265.12213824077116</v>
      </c>
      <c r="BQ165" s="6">
        <v>35645.782293333337</v>
      </c>
      <c r="BS165" s="2">
        <v>736</v>
      </c>
      <c r="BV165" s="15">
        <v>736</v>
      </c>
      <c r="BW165" s="4">
        <v>13.078804347826088</v>
      </c>
      <c r="BZ165" s="6">
        <v>1062.7360000000001</v>
      </c>
      <c r="CA165" s="6">
        <v>5665.2160000000003</v>
      </c>
      <c r="CC165" s="6">
        <v>4904.232</v>
      </c>
      <c r="CD165" s="6">
        <v>2632796.36</v>
      </c>
      <c r="CE165" s="6">
        <v>718701.12800000003</v>
      </c>
      <c r="CG165" s="6">
        <v>3363129.6719999998</v>
      </c>
      <c r="CH165" s="4">
        <v>6</v>
      </c>
      <c r="CJ165" s="5">
        <v>43.688000000000002</v>
      </c>
      <c r="CK165" s="6">
        <v>2482.0880000000002</v>
      </c>
      <c r="CO165" s="6">
        <v>30944.312000000002</v>
      </c>
      <c r="CQ165" s="6">
        <v>2319.5280000000002</v>
      </c>
      <c r="CR165" s="6">
        <v>35789.616000000002</v>
      </c>
      <c r="CS165" s="5">
        <v>17.84396632911638</v>
      </c>
      <c r="DD165" s="6">
        <v>38433.248</v>
      </c>
      <c r="DE165" s="6">
        <v>221055.18400000001</v>
      </c>
      <c r="DG165" s="6">
        <v>10198.608</v>
      </c>
      <c r="DH165" s="5">
        <v>20.32</v>
      </c>
      <c r="DI165" s="6">
        <v>4775.2</v>
      </c>
      <c r="DK165" s="6">
        <v>274482.56</v>
      </c>
      <c r="DL165" s="15">
        <v>265.20225020091084</v>
      </c>
      <c r="DM165" s="6">
        <v>270342.3209164954</v>
      </c>
      <c r="DO165" s="6">
        <v>28739.592000000001</v>
      </c>
      <c r="DP165" s="6">
        <v>205514.448</v>
      </c>
      <c r="DR165" s="6">
        <v>30249.368000000002</v>
      </c>
      <c r="DT165" s="5">
        <v>69.087999999999994</v>
      </c>
      <c r="DV165" s="6">
        <v>264572.49599999998</v>
      </c>
      <c r="DW165" s="15">
        <v>213.41191177783733</v>
      </c>
      <c r="DX165" s="6">
        <v>250553.06760000001</v>
      </c>
      <c r="DZ165" s="15">
        <v>292.68369200000001</v>
      </c>
      <c r="EA165" s="15">
        <v>344.62466000000006</v>
      </c>
      <c r="EB165" s="15">
        <v>29.057600000000001</v>
      </c>
      <c r="EC165" s="6">
        <v>778.97199999999998</v>
      </c>
      <c r="ED165" s="5">
        <v>77.541120000000006</v>
      </c>
      <c r="EE165" s="5">
        <v>18.27893175074184</v>
      </c>
      <c r="EF165" s="6">
        <v>1541.1580037507417</v>
      </c>
      <c r="EG165" s="6">
        <v>1097.11031199232</v>
      </c>
      <c r="EY165" s="4">
        <v>8.1280000000000001</v>
      </c>
      <c r="EZ165" s="5">
        <v>39.624000000000002</v>
      </c>
      <c r="FA165" s="4">
        <v>2.032</v>
      </c>
      <c r="FB165" s="15">
        <v>364.16488000000004</v>
      </c>
      <c r="FC165" s="6">
        <v>4111.7520000000004</v>
      </c>
      <c r="FE165" s="15">
        <v>17.271999999999998</v>
      </c>
      <c r="FF165" s="6">
        <v>4542.9728800000003</v>
      </c>
      <c r="FG165" s="15">
        <v>146.68529337058675</v>
      </c>
      <c r="FI165" s="6">
        <v>785.36800000000005</v>
      </c>
      <c r="FJ165" s="200"/>
      <c r="FK165" s="200"/>
      <c r="FL165" s="6">
        <v>1999.4880000000001</v>
      </c>
      <c r="FM165" s="6">
        <f t="shared" si="354"/>
        <v>2784.8560000000002</v>
      </c>
      <c r="FN165" s="5">
        <v>98.218999999999994</v>
      </c>
      <c r="FR165" s="5">
        <v>13.208</v>
      </c>
      <c r="FT165" s="5">
        <v>20.32</v>
      </c>
      <c r="FV165" s="5">
        <v>33.527999999999999</v>
      </c>
      <c r="FW165" s="6">
        <f>2*721</f>
        <v>1442</v>
      </c>
      <c r="GE165" s="4">
        <v>1.1129768413818955</v>
      </c>
      <c r="GK165" s="4">
        <f t="shared" si="355"/>
        <v>1.1129768413818955</v>
      </c>
      <c r="GL165" s="15">
        <v>822.05423728813548</v>
      </c>
      <c r="GQ165" s="6">
        <v>3421.8879999999999</v>
      </c>
      <c r="GS165" s="115">
        <v>500000</v>
      </c>
      <c r="GT165" s="6">
        <v>503421.88799999998</v>
      </c>
      <c r="GU165" s="4">
        <v>3.9253471032208438</v>
      </c>
      <c r="HG165" s="4">
        <v>1.8296441000000001</v>
      </c>
      <c r="HH165" s="85">
        <v>5.4889323000000007E-3</v>
      </c>
      <c r="HI165" s="86">
        <v>4.9400390700000005E-2</v>
      </c>
      <c r="HJ165" s="87">
        <v>0.61293077350000003</v>
      </c>
      <c r="HK165" s="87">
        <v>1.0630232221</v>
      </c>
      <c r="HO165" s="17"/>
      <c r="HP165" s="17"/>
      <c r="HQ165" s="7">
        <v>5.4889323000000007E-3</v>
      </c>
      <c r="HR165" s="3">
        <v>4.9400390700000005E-2</v>
      </c>
      <c r="HS165" s="4">
        <v>0.61293077350000003</v>
      </c>
      <c r="HT165" s="4">
        <v>1.0630232221</v>
      </c>
      <c r="HV165" s="5">
        <v>48.768000000000001</v>
      </c>
      <c r="HW165" s="5">
        <v>71.0184</v>
      </c>
      <c r="HZ165" s="15">
        <f t="shared" si="363"/>
        <v>119.7864</v>
      </c>
      <c r="IA165" s="15">
        <v>190.43918114423133</v>
      </c>
      <c r="IC165" s="15">
        <v>102.02053057622381</v>
      </c>
      <c r="ID165" s="5">
        <v>45.948143725067759</v>
      </c>
      <c r="IF165" s="15">
        <v>964.93246270288182</v>
      </c>
      <c r="IH165" s="4">
        <v>2.9054079122809768</v>
      </c>
      <c r="II165" s="15">
        <v>169.13818360655739</v>
      </c>
      <c r="IJ165" s="6">
        <v>1284.9447285230117</v>
      </c>
      <c r="IK165" s="6">
        <v>7759.6213947673905</v>
      </c>
      <c r="IN165" s="4">
        <v>5.8004588080000001</v>
      </c>
      <c r="IP165" s="4">
        <v>5.8004588080000001</v>
      </c>
      <c r="IQ165" s="6">
        <v>18754.489862010571</v>
      </c>
      <c r="IW165" s="15">
        <v>224.4900768</v>
      </c>
      <c r="IX165" s="16">
        <v>76.2</v>
      </c>
      <c r="IZ165" s="15">
        <v>300.69007679999999</v>
      </c>
      <c r="JB165" s="5">
        <v>35.56</v>
      </c>
      <c r="JD165" s="5">
        <v>35.56</v>
      </c>
      <c r="JE165" s="4">
        <v>9.4488188976377945</v>
      </c>
      <c r="KL165" s="6">
        <v>16380.968000000001</v>
      </c>
      <c r="KN165" s="15">
        <v>101.66542050506416</v>
      </c>
      <c r="KO165" s="6">
        <v>22265.64</v>
      </c>
      <c r="KP165" s="5">
        <v>96.843714350901209</v>
      </c>
      <c r="KQ165" s="5">
        <v>93.164804604763219</v>
      </c>
      <c r="LC165" s="6">
        <v>38646.608</v>
      </c>
      <c r="LD165" s="5">
        <v>93.164804604763219</v>
      </c>
      <c r="LL165" s="6">
        <v>16380.968000000001</v>
      </c>
      <c r="LN165" s="5">
        <v>101.66542050506416</v>
      </c>
      <c r="LO165" s="6">
        <v>15776.448</v>
      </c>
      <c r="LP165" s="5">
        <v>66.253249430003336</v>
      </c>
      <c r="LQ165" s="5">
        <v>12.259667068277979</v>
      </c>
      <c r="MC165" s="6">
        <v>32157.416000000001</v>
      </c>
      <c r="MG165" s="15">
        <v>81.28</v>
      </c>
      <c r="MI165" s="15">
        <v>278.14960629921262</v>
      </c>
      <c r="MJ165" s="5">
        <v>118.364</v>
      </c>
      <c r="MK165" s="5">
        <v>91.330472103004297</v>
      </c>
      <c r="ML165" s="15">
        <v>196.7490115237741</v>
      </c>
      <c r="MQ165" s="15">
        <v>199.64400000000001</v>
      </c>
      <c r="MR165" s="15">
        <v>229.88920278095009</v>
      </c>
      <c r="MY165" s="4">
        <v>0.15240000000000001</v>
      </c>
      <c r="MZ165" s="15">
        <v>682.41469816272968</v>
      </c>
      <c r="NA165" s="4">
        <v>0.14560464483352992</v>
      </c>
      <c r="NB165" s="6">
        <v>1267.0114942528735</v>
      </c>
      <c r="NJ165" s="4">
        <v>0.29800464483352995</v>
      </c>
      <c r="NK165" s="6">
        <v>4686.0053466268582</v>
      </c>
    </row>
    <row r="166" spans="1:375" x14ac:dyDescent="0.25">
      <c r="A166" s="2">
        <v>1954</v>
      </c>
      <c r="B166" s="6">
        <v>3046.2761</v>
      </c>
      <c r="C166" s="15">
        <v>975.73140000000001</v>
      </c>
      <c r="D166" s="6">
        <v>1637.8815</v>
      </c>
      <c r="E166" s="15">
        <v>602.34480000000008</v>
      </c>
      <c r="F166" s="4">
        <v>1.6794</v>
      </c>
      <c r="G166" s="6">
        <v>26807.951200000003</v>
      </c>
      <c r="H166" s="6">
        <v>1689.9118000000001</v>
      </c>
      <c r="I166" s="6">
        <v>34761.776200000008</v>
      </c>
      <c r="J166" s="6">
        <v>1006.6323168075079</v>
      </c>
      <c r="K166" s="6">
        <v>33149.639344791671</v>
      </c>
      <c r="M166" s="6">
        <v>112458.34640000001</v>
      </c>
      <c r="N166" s="6">
        <v>269951.54540000006</v>
      </c>
      <c r="O166" s="15">
        <v>107.07730000000001</v>
      </c>
      <c r="P166" s="6">
        <v>41094.638100000004</v>
      </c>
      <c r="Q166" s="5">
        <v>19.4375</v>
      </c>
      <c r="R166" s="6">
        <v>7390.5729000000001</v>
      </c>
      <c r="S166" s="15">
        <v>110.15620000000001</v>
      </c>
      <c r="T166" s="6">
        <v>431131.77380000002</v>
      </c>
      <c r="U166" s="5">
        <v>24.376170000000002</v>
      </c>
      <c r="V166" s="6">
        <v>405471.12157926825</v>
      </c>
      <c r="X166" s="15">
        <v>828.04</v>
      </c>
      <c r="Y166" s="6">
        <v>2467.864</v>
      </c>
      <c r="Z166" s="6">
        <v>2278.8879999999999</v>
      </c>
      <c r="AC166" s="6">
        <f t="shared" si="358"/>
        <v>5574.7919999999995</v>
      </c>
      <c r="AE166" s="4">
        <v>2.2270270971171833</v>
      </c>
      <c r="AN166" s="6">
        <v>2804982.96</v>
      </c>
      <c r="AO166" s="6">
        <v>15324592.16</v>
      </c>
      <c r="AP166" s="6">
        <v>143579.08799999999</v>
      </c>
      <c r="AQ166" s="6">
        <v>268429.23200000002</v>
      </c>
      <c r="AR166" s="6">
        <v>503027.696</v>
      </c>
      <c r="AS166" s="6">
        <v>1034636.488</v>
      </c>
      <c r="AT166" s="6">
        <v>20079247.624000002</v>
      </c>
      <c r="AU166" s="4">
        <v>5.58088783747443</v>
      </c>
      <c r="AW166" s="6">
        <v>9480555.0800000001</v>
      </c>
      <c r="AX166" s="4">
        <v>0.83223629137968158</v>
      </c>
      <c r="BA166" s="5">
        <v>69.596000000000004</v>
      </c>
      <c r="BB166" s="4">
        <v>0.20320000000000002</v>
      </c>
      <c r="BD166" s="5">
        <v>11.176</v>
      </c>
      <c r="BE166" s="5">
        <v>80.975200000000001</v>
      </c>
      <c r="BF166" s="6">
        <v>4884.3646754174488</v>
      </c>
      <c r="BH166" s="6">
        <v>28302.712</v>
      </c>
      <c r="BI166" s="6">
        <v>3232.9120000000003</v>
      </c>
      <c r="BK166" s="6">
        <v>10038.08</v>
      </c>
      <c r="BM166" s="15">
        <v>402.33600000000001</v>
      </c>
      <c r="BN166" s="15">
        <v>601.47199999999998</v>
      </c>
      <c r="BO166" s="6">
        <v>42577.512000000002</v>
      </c>
      <c r="BP166" s="4">
        <v>250.42747788050502</v>
      </c>
      <c r="BQ166" s="6">
        <v>41632.681400000001</v>
      </c>
      <c r="BS166" s="6">
        <v>1564</v>
      </c>
      <c r="BV166" s="6">
        <v>1564</v>
      </c>
      <c r="BW166" s="4">
        <v>16.205882352941178</v>
      </c>
      <c r="BZ166" s="15">
        <v>164.59200000000001</v>
      </c>
      <c r="CA166" s="6">
        <v>5304.5360000000001</v>
      </c>
      <c r="CC166" s="6">
        <v>6482.08</v>
      </c>
      <c r="CD166" s="6">
        <v>2912932.96</v>
      </c>
      <c r="CE166" s="6">
        <v>662171.90399999998</v>
      </c>
      <c r="CG166" s="6">
        <v>3587056.0720000002</v>
      </c>
      <c r="CH166" s="4">
        <v>5.5</v>
      </c>
      <c r="CJ166" s="15">
        <v>140.208</v>
      </c>
      <c r="CK166" s="6">
        <v>1641.856</v>
      </c>
      <c r="CO166" s="6">
        <v>26871.168000000001</v>
      </c>
      <c r="CQ166" s="6">
        <v>1923.288</v>
      </c>
      <c r="CR166" s="6">
        <v>30576.52</v>
      </c>
      <c r="CS166" s="5">
        <v>23.608710496553783</v>
      </c>
      <c r="DD166" s="6">
        <v>42866.056000000004</v>
      </c>
      <c r="DE166" s="6">
        <v>234078.272</v>
      </c>
      <c r="DG166" s="6">
        <v>11717.528</v>
      </c>
      <c r="DH166" s="5">
        <v>14.224</v>
      </c>
      <c r="DI166" s="6">
        <v>1520.952</v>
      </c>
      <c r="DJ166" s="4">
        <v>2.032</v>
      </c>
      <c r="DK166" s="6">
        <v>290199.06399999995</v>
      </c>
      <c r="DL166" s="15">
        <v>276.81042950263418</v>
      </c>
      <c r="DM166" s="6">
        <v>285422.26278400002</v>
      </c>
      <c r="DO166" s="6">
        <v>30285.944</v>
      </c>
      <c r="DP166" s="6">
        <v>219810.584</v>
      </c>
      <c r="DR166" s="6">
        <v>33176.464</v>
      </c>
      <c r="DT166" s="5">
        <v>75.183999999999997</v>
      </c>
      <c r="DV166" s="6">
        <v>283348.17599999998</v>
      </c>
      <c r="DW166" s="15">
        <v>210.73310116974733</v>
      </c>
      <c r="DX166" s="6">
        <v>266659.29143999994</v>
      </c>
      <c r="DZ166" s="15">
        <v>735.41635999999994</v>
      </c>
      <c r="EA166" s="15">
        <v>379.37440000000004</v>
      </c>
      <c r="EB166" s="15">
        <v>23.114000000000001</v>
      </c>
      <c r="EC166" s="6">
        <v>938.798</v>
      </c>
      <c r="ED166" s="5">
        <v>80.924399999999991</v>
      </c>
      <c r="EE166" s="5">
        <v>14.955489614243323</v>
      </c>
      <c r="EF166" s="6">
        <v>2172.5826496142431</v>
      </c>
      <c r="EG166" s="6">
        <v>1021.8469538488698</v>
      </c>
      <c r="EL166" s="2">
        <v>13.9</v>
      </c>
      <c r="EM166" s="2">
        <v>13.9</v>
      </c>
      <c r="EN166" s="6">
        <v>9920.7000000000007</v>
      </c>
      <c r="EO166" s="6">
        <v>27.8</v>
      </c>
      <c r="EY166" s="4">
        <v>8.1280000000000001</v>
      </c>
      <c r="EZ166" s="5">
        <v>84.328000000000003</v>
      </c>
      <c r="FA166" s="4">
        <v>3.048</v>
      </c>
      <c r="FB166" s="5">
        <v>46.16704</v>
      </c>
      <c r="FC166" s="6">
        <v>4076.192</v>
      </c>
      <c r="FE166" s="15">
        <v>20.32</v>
      </c>
      <c r="FF166" s="6">
        <v>4238.1830399999999</v>
      </c>
      <c r="FG166" s="15">
        <v>129.05617739486601</v>
      </c>
      <c r="FI166" s="6">
        <v>683.76800000000003</v>
      </c>
      <c r="FJ166" s="200"/>
      <c r="FK166" s="200"/>
      <c r="FL166" s="6">
        <v>4338.32</v>
      </c>
      <c r="FM166" s="6">
        <f t="shared" si="354"/>
        <v>5022.0879999999997</v>
      </c>
      <c r="FN166" s="5">
        <v>75.896500000000003</v>
      </c>
      <c r="FP166" s="5">
        <v>71.12</v>
      </c>
      <c r="FV166" s="5">
        <v>71.12</v>
      </c>
      <c r="FW166" s="6">
        <f>2*1624</f>
        <v>3248</v>
      </c>
      <c r="FZ166" s="4">
        <v>0.29265560374832661</v>
      </c>
      <c r="GB166" s="4">
        <v>0.29265560374832661</v>
      </c>
      <c r="GC166" s="6">
        <v>1964.4611125993395</v>
      </c>
      <c r="GE166" s="4">
        <v>0.44001410008121455</v>
      </c>
      <c r="GK166" s="4">
        <f t="shared" si="355"/>
        <v>0.44001410008121455</v>
      </c>
      <c r="GL166" s="6">
        <v>2160.9072238592735</v>
      </c>
      <c r="GQ166" s="6">
        <v>6217.92</v>
      </c>
      <c r="GS166" s="115">
        <v>500000</v>
      </c>
      <c r="GT166" s="6">
        <v>506217.92</v>
      </c>
      <c r="GU166" s="4">
        <v>3.8857994289885274</v>
      </c>
      <c r="GW166" s="4">
        <v>0.71530000000000005</v>
      </c>
      <c r="GX166" s="87">
        <v>0.54291270000000003</v>
      </c>
      <c r="GY166" s="88">
        <v>9.2989000000000006E-4</v>
      </c>
      <c r="GZ166" s="85">
        <v>8.3690100000000014E-3</v>
      </c>
      <c r="HA166" s="85">
        <v>9.2989000000000006E-3</v>
      </c>
      <c r="HG166" s="4">
        <v>0.49436560000000002</v>
      </c>
      <c r="HH166" s="85">
        <v>1.4830968E-3</v>
      </c>
      <c r="HI166" s="86">
        <v>1.33478712E-2</v>
      </c>
      <c r="HJ166" s="87">
        <v>0.16561247600000001</v>
      </c>
      <c r="HK166" s="87">
        <v>0.28722641360000001</v>
      </c>
      <c r="HO166" s="17"/>
      <c r="HP166" s="17"/>
      <c r="HQ166" s="7">
        <v>1.4830968E-3</v>
      </c>
      <c r="HR166" s="3">
        <v>1.33478712E-2</v>
      </c>
      <c r="HS166" s="4">
        <v>0.16561247600000001</v>
      </c>
      <c r="HT166" s="4">
        <v>0.28722641360000001</v>
      </c>
      <c r="HV166" s="4">
        <v>5.5473599999999994</v>
      </c>
      <c r="HW166" s="5">
        <v>42.062399999999997</v>
      </c>
      <c r="HZ166" s="5">
        <f t="shared" si="363"/>
        <v>47.609759999999994</v>
      </c>
      <c r="IA166" s="15">
        <v>164.85151900426183</v>
      </c>
      <c r="IC166" s="5">
        <v>30.802337007466456</v>
      </c>
      <c r="ID166" s="4">
        <v>6.8024431216220052</v>
      </c>
      <c r="IF166" s="6">
        <v>1109.0048199058476</v>
      </c>
      <c r="IH166" s="4">
        <v>2.1764796599479039</v>
      </c>
      <c r="II166" s="5">
        <v>83.259972735116477</v>
      </c>
      <c r="IJ166" s="6">
        <v>1232.0460524300006</v>
      </c>
      <c r="IK166" s="6">
        <v>7777.4801321546574</v>
      </c>
      <c r="IN166" s="5">
        <v>37.362411431999995</v>
      </c>
      <c r="IO166" s="4">
        <v>0.1384621056</v>
      </c>
      <c r="IP166" s="5">
        <v>37.500873537599993</v>
      </c>
      <c r="IQ166" s="6">
        <v>11018.70153577097</v>
      </c>
      <c r="IT166" s="3">
        <v>5.9087308800000002E-2</v>
      </c>
      <c r="IU166" s="3">
        <f t="shared" ref="IU166" si="364">IS166+IT166</f>
        <v>5.9087308800000002E-2</v>
      </c>
      <c r="IW166" s="15">
        <v>233.54212879999997</v>
      </c>
      <c r="IX166" s="16">
        <v>58.927999999999997</v>
      </c>
      <c r="IZ166" s="15">
        <v>292.4701288</v>
      </c>
      <c r="JJ166" s="15">
        <v>473.45600000000002</v>
      </c>
      <c r="JK166" s="5">
        <v>49.999578509768952</v>
      </c>
      <c r="JL166" s="5">
        <v>12.541820148017978</v>
      </c>
      <c r="JV166" s="15">
        <v>473.45600000000002</v>
      </c>
      <c r="JW166" s="5">
        <v>12.541820148017978</v>
      </c>
      <c r="KL166" s="6">
        <v>19719.544000000002</v>
      </c>
      <c r="KN166" s="5">
        <v>76.515562428826954</v>
      </c>
      <c r="KO166" s="6">
        <v>23097.743999999999</v>
      </c>
      <c r="KP166" s="5">
        <v>96.208762206386908</v>
      </c>
      <c r="KQ166" s="5">
        <v>67.446673579895943</v>
      </c>
      <c r="LC166" s="6">
        <v>42817.288</v>
      </c>
      <c r="LD166" s="5">
        <v>67.446673579895943</v>
      </c>
      <c r="LL166" s="6">
        <v>19719.544000000002</v>
      </c>
      <c r="LN166" s="5">
        <v>76.515562428826954</v>
      </c>
      <c r="LO166" s="6">
        <v>27928.824000000001</v>
      </c>
      <c r="LP166" s="5">
        <v>66.11295596144241</v>
      </c>
      <c r="LQ166" s="5">
        <v>14.289251849630331</v>
      </c>
      <c r="MC166" s="6">
        <v>47648.368000000002</v>
      </c>
      <c r="MG166" s="5">
        <v>9.2455999999999996</v>
      </c>
      <c r="MI166" s="15">
        <v>321.01756511205332</v>
      </c>
      <c r="MJ166" s="15">
        <v>70.103999999999999</v>
      </c>
      <c r="MK166" s="5">
        <v>90</v>
      </c>
      <c r="ML166" s="15">
        <v>242.06892616683785</v>
      </c>
      <c r="MQ166" s="5">
        <v>79.349599999999995</v>
      </c>
      <c r="MR166" s="15">
        <v>251.26780727313056</v>
      </c>
      <c r="NI166" s="4">
        <v>0.62992000000000004</v>
      </c>
      <c r="NJ166" s="4">
        <v>0.62992000000000004</v>
      </c>
      <c r="NK166" s="6">
        <v>4434.7927827397689</v>
      </c>
    </row>
    <row r="167" spans="1:375" x14ac:dyDescent="0.25">
      <c r="A167" s="2">
        <v>1955</v>
      </c>
      <c r="B167" s="6">
        <v>2000.4142000000002</v>
      </c>
      <c r="C167" s="15">
        <v>935.08370000000002</v>
      </c>
      <c r="D167" s="6">
        <v>1182.8885</v>
      </c>
      <c r="E167" s="15">
        <v>525.03020000000004</v>
      </c>
      <c r="F167" s="4">
        <v>1.5549999999999999</v>
      </c>
      <c r="G167" s="6">
        <v>25947.5386</v>
      </c>
      <c r="H167" s="6">
        <v>2032.6027000000001</v>
      </c>
      <c r="I167" s="6">
        <v>32625.1129</v>
      </c>
      <c r="J167" s="6">
        <v>1006.2916468844185</v>
      </c>
      <c r="K167" s="6">
        <v>30936.253240078346</v>
      </c>
      <c r="M167" s="6">
        <v>136704.40400000001</v>
      </c>
      <c r="N167" s="6">
        <v>274401.86210000003</v>
      </c>
      <c r="O167" s="5">
        <v>50.786300000000004</v>
      </c>
      <c r="P167" s="6">
        <v>36272.147700000001</v>
      </c>
      <c r="Q167" s="4">
        <v>4.4161999999999999</v>
      </c>
      <c r="R167" s="6">
        <v>6243.2628000000004</v>
      </c>
      <c r="S167" s="15">
        <v>516.91309999999999</v>
      </c>
      <c r="T167" s="6">
        <v>454193.79220000003</v>
      </c>
      <c r="U167" s="5">
        <v>25.536940000000001</v>
      </c>
      <c r="V167" s="6">
        <v>412129.08975836838</v>
      </c>
      <c r="X167" s="6">
        <v>1752.6</v>
      </c>
      <c r="Y167" s="6">
        <v>2892.5520000000001</v>
      </c>
      <c r="Z167" s="6">
        <v>3038.8560000000002</v>
      </c>
      <c r="AC167" s="6">
        <f t="shared" si="358"/>
        <v>7684.0079999999998</v>
      </c>
      <c r="AE167" s="4">
        <v>2.1773160862795207</v>
      </c>
      <c r="AH167" s="6">
        <v>4383.0240000000003</v>
      </c>
      <c r="AK167" s="6">
        <v>4383.0240000000003</v>
      </c>
      <c r="AN167" s="6">
        <v>2791119.64</v>
      </c>
      <c r="AO167" s="6">
        <v>14972179.352</v>
      </c>
      <c r="AP167" s="6">
        <v>135014.20800000001</v>
      </c>
      <c r="AQ167" s="6">
        <v>304008.53600000002</v>
      </c>
      <c r="AR167" s="6">
        <v>462571.592</v>
      </c>
      <c r="AS167" s="6">
        <v>918252.67200000002</v>
      </c>
      <c r="AT167" s="6">
        <v>19583145.999999996</v>
      </c>
      <c r="AU167" s="4">
        <v>4.9064888268299178</v>
      </c>
      <c r="AW167" s="6">
        <v>10274021.616</v>
      </c>
      <c r="AX167" s="4">
        <v>0.85529228066392882</v>
      </c>
      <c r="BA167" s="5">
        <v>61.671200000000006</v>
      </c>
      <c r="BB167" s="4">
        <v>0.40640000000000004</v>
      </c>
      <c r="BD167" s="5">
        <v>12.192</v>
      </c>
      <c r="BE167" s="5">
        <v>74.269599999999997</v>
      </c>
      <c r="BF167" s="6">
        <v>4875.4353067238153</v>
      </c>
      <c r="BH167" s="6">
        <v>32367.727999999999</v>
      </c>
      <c r="BI167" s="6">
        <v>3547.8719999999998</v>
      </c>
      <c r="BK167" s="6">
        <v>8528.3040000000001</v>
      </c>
      <c r="BM167" s="15">
        <v>648.20799999999997</v>
      </c>
      <c r="BN167" s="6">
        <v>2914.904</v>
      </c>
      <c r="BO167" s="6">
        <v>48007.016000000003</v>
      </c>
      <c r="BP167" s="4">
        <v>300.68049112434699</v>
      </c>
      <c r="BQ167" s="6">
        <v>44690.636576000004</v>
      </c>
      <c r="BS167" s="2">
        <v>731</v>
      </c>
      <c r="BV167" s="15">
        <v>731</v>
      </c>
      <c r="BW167" s="4">
        <v>19.3734610123119</v>
      </c>
      <c r="BZ167" s="15">
        <v>938.78399999999999</v>
      </c>
      <c r="CA167" s="6">
        <v>3461.5120000000002</v>
      </c>
      <c r="CB167" s="6">
        <v>2032</v>
      </c>
      <c r="CC167" s="6">
        <v>6687.3119999999999</v>
      </c>
      <c r="CD167" s="6">
        <v>3092682.6639999999</v>
      </c>
      <c r="CE167" s="6">
        <v>537088.07999999996</v>
      </c>
      <c r="CG167" s="6">
        <v>3642890.352</v>
      </c>
      <c r="CH167" s="4">
        <v>5</v>
      </c>
      <c r="CJ167" s="5">
        <v>79.248000000000005</v>
      </c>
      <c r="CK167" s="6">
        <v>1647.952</v>
      </c>
      <c r="CO167" s="6">
        <v>44901.103999999999</v>
      </c>
      <c r="CP167" s="6">
        <v>1485.3920000000001</v>
      </c>
      <c r="CQ167" s="6">
        <v>1778</v>
      </c>
      <c r="CR167" s="6">
        <v>49891.695999999996</v>
      </c>
      <c r="CS167" s="5">
        <v>25.722412688844514</v>
      </c>
      <c r="DD167" s="6">
        <v>49595.023999999998</v>
      </c>
      <c r="DE167" s="6">
        <v>238611.66399999999</v>
      </c>
      <c r="DG167" s="6">
        <v>11447.272000000001</v>
      </c>
      <c r="DH167" s="4">
        <v>0.20320000000000002</v>
      </c>
      <c r="DI167" s="6">
        <v>1023.112</v>
      </c>
      <c r="DK167" s="6">
        <v>300677.27519999997</v>
      </c>
      <c r="DL167" s="15">
        <v>298.24091436735426</v>
      </c>
      <c r="DM167" s="6">
        <v>290351.40879733337</v>
      </c>
      <c r="DO167" s="6">
        <v>27790.648000000001</v>
      </c>
      <c r="DP167" s="6">
        <v>228496.36800000002</v>
      </c>
      <c r="DR167" s="6">
        <v>30752.288</v>
      </c>
      <c r="DV167" s="6">
        <v>287039.304</v>
      </c>
      <c r="DW167" s="15">
        <v>241.98589159746408</v>
      </c>
      <c r="DX167" s="6">
        <v>271058.07104000001</v>
      </c>
      <c r="DZ167" s="15">
        <v>775.03019999999992</v>
      </c>
      <c r="EA167" s="15">
        <v>272.92935</v>
      </c>
      <c r="EB167" s="15">
        <v>1.95</v>
      </c>
      <c r="EC167" s="6">
        <v>838.10400000000004</v>
      </c>
      <c r="ED167" s="15">
        <v>121.33072000000001</v>
      </c>
      <c r="EE167" s="5">
        <v>2.0771513353115725</v>
      </c>
      <c r="EF167" s="6">
        <v>2011.4214213353116</v>
      </c>
      <c r="EG167" s="6">
        <v>2044</v>
      </c>
      <c r="EJ167" s="15">
        <v>121.75714285714285</v>
      </c>
      <c r="EL167" s="15">
        <v>240.58</v>
      </c>
      <c r="EM167" s="15">
        <v>362.33714285714285</v>
      </c>
      <c r="EN167" s="6">
        <v>9920.7000000000007</v>
      </c>
      <c r="EO167" s="6">
        <v>301.13</v>
      </c>
      <c r="EY167" s="5">
        <v>11.176</v>
      </c>
      <c r="EZ167" s="15">
        <v>238.76</v>
      </c>
      <c r="FA167" s="4">
        <v>3.048</v>
      </c>
      <c r="FB167" s="5">
        <v>207.14207999999999</v>
      </c>
      <c r="FC167" s="6">
        <v>3427.9839999999999</v>
      </c>
      <c r="FE167" s="15">
        <v>16.256</v>
      </c>
      <c r="FF167" s="6">
        <v>3904.3660799999998</v>
      </c>
      <c r="FG167" s="15">
        <v>145.55838970832872</v>
      </c>
      <c r="FI167" s="200"/>
      <c r="FJ167" s="200"/>
      <c r="FK167" s="200"/>
      <c r="FL167" s="200"/>
      <c r="FN167" s="5">
        <v>76.789400000000001</v>
      </c>
      <c r="FT167" s="15">
        <v>111.76</v>
      </c>
      <c r="FV167" s="15">
        <v>111.76</v>
      </c>
      <c r="FW167" s="6">
        <f>2*972</f>
        <v>1944</v>
      </c>
      <c r="FZ167" s="4">
        <v>0.11800629183400266</v>
      </c>
      <c r="GB167" s="4">
        <v>0.11800629183400266</v>
      </c>
      <c r="GC167" s="6">
        <v>1901.9555317439058</v>
      </c>
      <c r="GE167" s="4">
        <v>1.4494582120322359</v>
      </c>
      <c r="GF167" s="3">
        <v>1.55299094146311E-2</v>
      </c>
      <c r="GK167" s="4">
        <f t="shared" si="355"/>
        <v>1.464988121446867</v>
      </c>
      <c r="GL167" s="6">
        <v>1037.4588235294116</v>
      </c>
      <c r="GQ167" s="6">
        <v>6472.9359999999997</v>
      </c>
      <c r="GS167" s="115">
        <v>750000</v>
      </c>
      <c r="GT167" s="6">
        <v>756472.93599999999</v>
      </c>
      <c r="GU167" s="4">
        <v>4.1171273509527717</v>
      </c>
      <c r="GW167" s="4">
        <v>0.2177</v>
      </c>
      <c r="GX167" s="87">
        <v>0.1652343</v>
      </c>
      <c r="GY167" s="88">
        <v>2.8300999999999999E-4</v>
      </c>
      <c r="GZ167" s="85">
        <v>2.5470900000000001E-3</v>
      </c>
      <c r="HA167" s="85">
        <v>2.8300999999999999E-3</v>
      </c>
      <c r="HG167" s="4">
        <v>0.66843229999999998</v>
      </c>
      <c r="HH167" s="85">
        <v>2.0052969E-3</v>
      </c>
      <c r="HI167" s="86">
        <v>1.8047672099999999E-2</v>
      </c>
      <c r="HJ167" s="87">
        <v>0.22392482050000001</v>
      </c>
      <c r="HK167" s="87">
        <v>0.38835916629999995</v>
      </c>
      <c r="HO167" s="17"/>
      <c r="HP167" s="17"/>
      <c r="HQ167" s="7">
        <v>2.0052969E-3</v>
      </c>
      <c r="HR167" s="3">
        <v>1.8047672099999999E-2</v>
      </c>
      <c r="HS167" s="4">
        <v>0.22392482050000001</v>
      </c>
      <c r="HT167" s="4">
        <v>0.38835916629999995</v>
      </c>
      <c r="HV167" s="5">
        <v>25.603199999999998</v>
      </c>
      <c r="HW167" s="5">
        <v>71.3232</v>
      </c>
      <c r="HZ167" s="5">
        <f t="shared" si="363"/>
        <v>96.926400000000001</v>
      </c>
      <c r="IA167" s="15">
        <v>405.84929711840317</v>
      </c>
      <c r="IC167" s="5">
        <v>42.117810054477935</v>
      </c>
      <c r="ID167" s="4">
        <v>6.0895390254367889</v>
      </c>
      <c r="IF167" s="6">
        <v>1174.0346904319158</v>
      </c>
      <c r="IH167" s="4">
        <v>4.3832091859347466</v>
      </c>
      <c r="II167" s="5">
        <v>48.159872279551337</v>
      </c>
      <c r="IJ167" s="6">
        <v>1274.7851209773166</v>
      </c>
      <c r="IK167" s="6">
        <v>7670.3277078310566</v>
      </c>
      <c r="IN167" s="4">
        <v>9.3065457760000001</v>
      </c>
      <c r="IP167" s="4">
        <v>9.3065457760000001</v>
      </c>
      <c r="IQ167" s="6">
        <v>14907.584889568076</v>
      </c>
      <c r="IW167" s="15">
        <v>226.25192240000001</v>
      </c>
      <c r="IX167" s="16">
        <v>79.248000000000005</v>
      </c>
      <c r="IZ167" s="15">
        <v>305.4999224</v>
      </c>
      <c r="JG167" s="15">
        <v>15.24</v>
      </c>
      <c r="JI167" s="5">
        <v>13.123359580052494</v>
      </c>
      <c r="JJ167" s="15">
        <v>477.52</v>
      </c>
      <c r="JK167" s="5">
        <v>50.010875296598996</v>
      </c>
      <c r="JL167" s="5">
        <v>11.216284134695929</v>
      </c>
      <c r="JV167" s="15">
        <v>492.76</v>
      </c>
      <c r="JW167" s="5">
        <v>11.216284134695929</v>
      </c>
      <c r="KL167" s="6">
        <v>21676.36</v>
      </c>
      <c r="KN167" s="5">
        <v>90.555958281079882</v>
      </c>
      <c r="KO167" s="6">
        <v>34953.448000000004</v>
      </c>
      <c r="KP167" s="5">
        <v>96.052669825305927</v>
      </c>
      <c r="KQ167" s="15">
        <v>106.18609071127975</v>
      </c>
      <c r="LC167" s="6">
        <v>56629.808000000005</v>
      </c>
      <c r="LD167" s="15">
        <v>106.18609071127975</v>
      </c>
      <c r="LL167" s="6">
        <v>21676.36</v>
      </c>
      <c r="LN167" s="5">
        <v>90.555958281079882</v>
      </c>
      <c r="LO167" s="6">
        <v>33352.232000000004</v>
      </c>
      <c r="LP167" s="5">
        <v>66.478201125657918</v>
      </c>
      <c r="LQ167" s="5">
        <v>14.727350181541071</v>
      </c>
      <c r="MC167" s="6">
        <v>55028.592000000004</v>
      </c>
      <c r="MG167" s="15">
        <v>42.671999999999997</v>
      </c>
      <c r="MI167" s="15">
        <v>293.91638545181854</v>
      </c>
      <c r="MJ167" s="15">
        <v>118.872</v>
      </c>
      <c r="MK167" s="5">
        <v>90</v>
      </c>
      <c r="ML167" s="15">
        <v>275.97752204051415</v>
      </c>
      <c r="MQ167" s="15">
        <v>161.54399999999998</v>
      </c>
      <c r="MR167" s="15">
        <v>280.71608973406632</v>
      </c>
      <c r="NI167" s="5">
        <v>1.27</v>
      </c>
      <c r="NJ167" s="17">
        <v>1.27</v>
      </c>
      <c r="NK167" s="6">
        <v>4441.1889145239747</v>
      </c>
    </row>
    <row r="168" spans="1:375" x14ac:dyDescent="0.25">
      <c r="A168" s="2">
        <v>1956</v>
      </c>
      <c r="B168" s="6">
        <v>1742.2842000000003</v>
      </c>
      <c r="C168" s="15">
        <v>896.33310000000006</v>
      </c>
      <c r="D168" s="6">
        <v>1208.1106000000002</v>
      </c>
      <c r="E168" s="15">
        <v>532.77409999999998</v>
      </c>
      <c r="F168" s="4">
        <v>1.3372999999999999</v>
      </c>
      <c r="G168" s="6">
        <v>25301.000700000004</v>
      </c>
      <c r="H168" s="6">
        <v>2345.5931</v>
      </c>
      <c r="I168" s="6">
        <v>32027.433100000002</v>
      </c>
      <c r="J168" s="6">
        <v>1005.7847131388944</v>
      </c>
      <c r="K168" s="6">
        <v>30464.85117501999</v>
      </c>
      <c r="M168" s="6">
        <v>116048.9347</v>
      </c>
      <c r="N168" s="6">
        <v>288906.03130000003</v>
      </c>
      <c r="O168" s="5">
        <v>70.130499999999998</v>
      </c>
      <c r="P168" s="6">
        <v>42693.6757</v>
      </c>
      <c r="Q168" s="5">
        <v>20.308299999999999</v>
      </c>
      <c r="R168" s="6">
        <v>5989.5179000000007</v>
      </c>
      <c r="S168" s="15">
        <v>851.05150000000003</v>
      </c>
      <c r="T168" s="6">
        <v>454579.64990000002</v>
      </c>
      <c r="U168" s="5">
        <v>26.16197</v>
      </c>
      <c r="V168" s="6">
        <v>437006.26668042107</v>
      </c>
      <c r="X168" s="2">
        <v>889</v>
      </c>
      <c r="Y168" s="6">
        <v>4856.4799999999996</v>
      </c>
      <c r="Z168" s="6">
        <v>4748.7839999999997</v>
      </c>
      <c r="AC168" s="6">
        <f t="shared" si="358"/>
        <v>10494.263999999999</v>
      </c>
      <c r="AE168" s="4">
        <v>2.0121569531841992</v>
      </c>
      <c r="AH168" s="6">
        <v>17132.808000000001</v>
      </c>
      <c r="AK168" s="6">
        <v>17132.808000000001</v>
      </c>
      <c r="AN168" s="6">
        <v>2778413.5440000002</v>
      </c>
      <c r="AO168" s="6">
        <v>15047127.640000001</v>
      </c>
      <c r="AP168" s="6">
        <v>120728.232</v>
      </c>
      <c r="AQ168" s="6">
        <v>303492.408</v>
      </c>
      <c r="AR168" s="6">
        <v>489166.408</v>
      </c>
      <c r="AS168" s="6">
        <v>843287.11199999996</v>
      </c>
      <c r="AT168" s="6">
        <v>19582215.344000001</v>
      </c>
      <c r="AU168" s="4">
        <v>5.4013335929939643</v>
      </c>
      <c r="AW168" s="6">
        <v>10728757.816</v>
      </c>
      <c r="AX168" s="4">
        <v>0.86208246645354236</v>
      </c>
      <c r="BA168" s="5">
        <v>60.147200000000005</v>
      </c>
      <c r="BB168" s="4">
        <v>0.40640000000000004</v>
      </c>
      <c r="BD168" s="5">
        <v>12.192</v>
      </c>
      <c r="BE168" s="5">
        <v>72.745599999999996</v>
      </c>
      <c r="BF168" s="6">
        <v>4973.6583623537817</v>
      </c>
      <c r="BH168" s="6">
        <v>36279.328000000001</v>
      </c>
      <c r="BI168" s="6">
        <v>4357.6239999999998</v>
      </c>
      <c r="BK168" s="6">
        <v>8947.9120000000003</v>
      </c>
      <c r="BL168" s="4">
        <v>1.016</v>
      </c>
      <c r="BM168" s="15">
        <v>720.34400000000005</v>
      </c>
      <c r="BN168" s="6">
        <v>5992.3680000000004</v>
      </c>
      <c r="BO168" s="6">
        <v>56298.592000000004</v>
      </c>
      <c r="BP168" s="4">
        <v>350.2657839585849</v>
      </c>
      <c r="BQ168" s="6">
        <v>54983.679976000014</v>
      </c>
      <c r="BS168" s="2">
        <v>383</v>
      </c>
      <c r="BV168" s="15">
        <v>383</v>
      </c>
      <c r="BW168" s="4">
        <v>20.020887728459531</v>
      </c>
      <c r="BZ168" s="6">
        <v>4158.4880000000003</v>
      </c>
      <c r="CA168" s="6">
        <v>3583.4320000000002</v>
      </c>
      <c r="CB168" s="6">
        <v>2336.8000000000002</v>
      </c>
      <c r="CC168" s="6">
        <v>5775.96</v>
      </c>
      <c r="CD168" s="6">
        <v>3644488.52</v>
      </c>
      <c r="CE168" s="6">
        <v>342280.24</v>
      </c>
      <c r="CG168" s="6">
        <v>4002623.4400000004</v>
      </c>
      <c r="CH168" s="4">
        <v>4.5</v>
      </c>
      <c r="CJ168" s="15">
        <v>315.976</v>
      </c>
      <c r="CK168" s="6">
        <v>1537.2080000000001</v>
      </c>
      <c r="CO168" s="6">
        <v>57133.743999999999</v>
      </c>
      <c r="CP168" s="6">
        <v>1347.2160000000001</v>
      </c>
      <c r="CQ168" s="6">
        <v>1697.7360000000001</v>
      </c>
      <c r="CR168" s="6">
        <v>62031.88</v>
      </c>
      <c r="CS168" s="5">
        <v>27.812269564259257</v>
      </c>
      <c r="DD168" s="6">
        <v>43789.599999999999</v>
      </c>
      <c r="DE168" s="6">
        <v>242132.10399999999</v>
      </c>
      <c r="DG168" s="6">
        <v>12412.472</v>
      </c>
      <c r="DH168" s="5">
        <v>17.271999999999998</v>
      </c>
      <c r="DI168" s="6">
        <v>5922.2640000000001</v>
      </c>
      <c r="DK168" s="6">
        <v>304273.712</v>
      </c>
      <c r="DL168" s="15">
        <v>315.20671488525767</v>
      </c>
      <c r="DM168" s="6">
        <v>300311.67335733335</v>
      </c>
      <c r="DO168" s="6">
        <v>25732.232</v>
      </c>
      <c r="DP168" s="6">
        <v>246917.46400000001</v>
      </c>
      <c r="DR168" s="6">
        <v>35842.448000000004</v>
      </c>
      <c r="DS168" s="4">
        <v>7.1120000000000001</v>
      </c>
      <c r="DV168" s="6">
        <v>308499.25599999999</v>
      </c>
      <c r="DW168" s="2">
        <v>244</v>
      </c>
      <c r="DX168" s="6">
        <v>290314.21744000004</v>
      </c>
      <c r="DZ168" s="15">
        <v>628.16740000000004</v>
      </c>
      <c r="EA168" s="15">
        <v>273.12185659999994</v>
      </c>
      <c r="EC168" s="6">
        <v>999.24</v>
      </c>
      <c r="ED168" s="15">
        <v>244.33784</v>
      </c>
      <c r="EE168" s="5">
        <v>0.83086053412462901</v>
      </c>
      <c r="EF168" s="6">
        <v>2145.6979571341244</v>
      </c>
      <c r="EG168" s="6">
        <v>2171</v>
      </c>
      <c r="EJ168" s="15">
        <v>121.75714285714285</v>
      </c>
      <c r="EL168" s="15">
        <v>227.25</v>
      </c>
      <c r="EM168" s="15">
        <v>349.00714285714287</v>
      </c>
      <c r="EN168" s="6">
        <v>18486.787304093672</v>
      </c>
      <c r="EO168" s="6">
        <v>339.93701459199997</v>
      </c>
      <c r="EZ168" s="15">
        <v>267.20800000000003</v>
      </c>
      <c r="FA168" s="4">
        <v>0.76200000000000001</v>
      </c>
      <c r="FB168" s="5">
        <v>79.695040000000006</v>
      </c>
      <c r="FC168" s="6">
        <v>2732.0239999999999</v>
      </c>
      <c r="FE168" s="15">
        <v>16.256</v>
      </c>
      <c r="FF168" s="6">
        <v>3095.9450399999996</v>
      </c>
      <c r="FG168" s="15">
        <v>147.61042570213482</v>
      </c>
      <c r="FI168" s="200"/>
      <c r="FJ168" s="200"/>
      <c r="FK168" s="200"/>
      <c r="FL168" s="6">
        <v>6193.5360000000001</v>
      </c>
      <c r="FM168" s="6">
        <f t="shared" si="354"/>
        <v>6193.5360000000001</v>
      </c>
      <c r="FN168" s="5">
        <v>85.718400000000003</v>
      </c>
      <c r="FP168" s="4">
        <v>9.1440000000000001</v>
      </c>
      <c r="FT168" s="2">
        <v>5.08</v>
      </c>
      <c r="FV168" s="5">
        <v>14.224</v>
      </c>
      <c r="FW168" s="6">
        <f>2*569</f>
        <v>1138</v>
      </c>
      <c r="GC168" s="6">
        <v>1901.9555317439058</v>
      </c>
      <c r="GE168" s="4">
        <v>5.1766364715437004E-2</v>
      </c>
      <c r="GK168" s="3">
        <f t="shared" si="355"/>
        <v>5.1766364715437004E-2</v>
      </c>
      <c r="GL168" s="6">
        <v>2428.7882846682742</v>
      </c>
      <c r="GQ168" s="6">
        <v>6896.6080000000002</v>
      </c>
      <c r="GS168" s="115">
        <v>750000</v>
      </c>
      <c r="GT168" s="6">
        <v>756896.60800000001</v>
      </c>
      <c r="GU168" s="4">
        <v>4.1607691591395843</v>
      </c>
      <c r="GW168" s="4">
        <v>0.55980000000000008</v>
      </c>
      <c r="GX168" s="87">
        <v>0.42488820000000005</v>
      </c>
      <c r="GY168" s="88">
        <v>7.2774000000000005E-4</v>
      </c>
      <c r="GZ168" s="85">
        <v>6.5496600000000014E-3</v>
      </c>
      <c r="HA168" s="85">
        <v>7.2774000000000007E-3</v>
      </c>
      <c r="HG168" s="4">
        <v>0.78869600000000006</v>
      </c>
      <c r="HH168" s="85">
        <v>2.3660880000000001E-3</v>
      </c>
      <c r="HI168" s="86">
        <v>2.1294792E-2</v>
      </c>
      <c r="HJ168" s="87">
        <v>0.26421316000000006</v>
      </c>
      <c r="HK168" s="87">
        <v>0.458232376</v>
      </c>
      <c r="HO168" s="17"/>
      <c r="HP168" s="17"/>
      <c r="HQ168" s="7">
        <v>2.3660880000000001E-3</v>
      </c>
      <c r="HR168" s="3">
        <v>2.1294792E-2</v>
      </c>
      <c r="HS168" s="4">
        <v>0.26421316000000006</v>
      </c>
      <c r="HT168" s="4">
        <v>0.458232376</v>
      </c>
      <c r="HV168" s="4">
        <v>3.6576</v>
      </c>
      <c r="HW168" s="5">
        <v>58.521599999999999</v>
      </c>
      <c r="HZ168" s="5">
        <f t="shared" si="363"/>
        <v>62.179200000000002</v>
      </c>
      <c r="IA168" s="15">
        <v>270.09793764169569</v>
      </c>
      <c r="IC168" s="5">
        <v>38.961643044035263</v>
      </c>
      <c r="ID168" s="4">
        <v>3.5544491818881485</v>
      </c>
      <c r="IF168" s="6">
        <v>1247.1532107477581</v>
      </c>
      <c r="II168" s="5">
        <v>79.571294119137193</v>
      </c>
      <c r="IJ168" s="6">
        <v>1369.2405970928187</v>
      </c>
      <c r="IK168" s="6">
        <v>7188.1417983748552</v>
      </c>
      <c r="IN168" s="5">
        <v>51.099962824000002</v>
      </c>
      <c r="IP168" s="5">
        <v>51.099962824000002</v>
      </c>
      <c r="IQ168" s="6">
        <v>13454.392609187122</v>
      </c>
      <c r="IW168" s="15">
        <v>229.86177039999998</v>
      </c>
      <c r="IX168" s="16">
        <v>51.816000000000003</v>
      </c>
      <c r="IZ168" s="15">
        <v>281.67777039999999</v>
      </c>
      <c r="JJ168" s="15">
        <v>996.69600000000003</v>
      </c>
      <c r="JK168" s="5">
        <v>47.545078075848181</v>
      </c>
      <c r="JL168" s="5">
        <v>10.835801488116738</v>
      </c>
      <c r="JR168" s="6">
        <v>3346.0944</v>
      </c>
      <c r="JS168" s="2">
        <v>54.03</v>
      </c>
      <c r="JT168" s="4">
        <v>4.5275620436769506</v>
      </c>
      <c r="JV168" s="6">
        <v>4342.7903999999999</v>
      </c>
      <c r="JW168" s="4">
        <v>4.5275620436769506</v>
      </c>
      <c r="KL168" s="6">
        <v>26156.310400000002</v>
      </c>
      <c r="KN168" s="15">
        <v>122.44234806904802</v>
      </c>
      <c r="KO168" s="6">
        <v>65952.623999999996</v>
      </c>
      <c r="KP168" s="5">
        <v>96.235018640046832</v>
      </c>
      <c r="KQ168" s="15">
        <v>142.65136744218094</v>
      </c>
      <c r="LC168" s="6">
        <v>92108.934399999998</v>
      </c>
      <c r="LD168" s="15">
        <v>142.65136744218094</v>
      </c>
      <c r="LL168" s="6">
        <v>26156.310400000002</v>
      </c>
      <c r="LN168" s="5">
        <v>122.44234806904802</v>
      </c>
      <c r="LO168" s="6">
        <v>51470.559999999998</v>
      </c>
      <c r="LP168" s="5">
        <v>66.522855160929254</v>
      </c>
      <c r="LQ168" s="5">
        <v>15.788170946653777</v>
      </c>
      <c r="MC168" s="6">
        <v>77626.8704</v>
      </c>
      <c r="MG168" s="15">
        <v>6.0960000000000001</v>
      </c>
      <c r="MI168" s="15">
        <v>289.37007874015745</v>
      </c>
      <c r="MJ168" s="15">
        <v>97.536000000000001</v>
      </c>
      <c r="MK168" s="5">
        <v>90.625</v>
      </c>
      <c r="ML168" s="15">
        <v>290.80544619422574</v>
      </c>
      <c r="MQ168" s="15">
        <v>103.63200000000001</v>
      </c>
      <c r="MR168" s="15">
        <v>290.72101281457469</v>
      </c>
      <c r="MY168" s="4">
        <v>0.27940000000000004</v>
      </c>
      <c r="MZ168" s="15">
        <v>608.44667143879735</v>
      </c>
      <c r="NI168" s="5">
        <v>2.032</v>
      </c>
      <c r="NJ168" s="4">
        <v>2.3113999999999999</v>
      </c>
      <c r="NK168" s="6">
        <v>4324.5490442320515</v>
      </c>
    </row>
    <row r="169" spans="1:375" x14ac:dyDescent="0.25">
      <c r="A169" s="2">
        <v>1957</v>
      </c>
      <c r="B169" s="6">
        <v>1970.5893000000001</v>
      </c>
      <c r="C169" s="15">
        <v>965.43730000000005</v>
      </c>
      <c r="D169" s="6">
        <v>1422.8871999999999</v>
      </c>
      <c r="E169" s="15">
        <v>622.83970000000011</v>
      </c>
      <c r="F169" s="4">
        <v>1.0885</v>
      </c>
      <c r="G169" s="6">
        <v>26427.256100000002</v>
      </c>
      <c r="H169" s="6">
        <v>2300.4670000000001</v>
      </c>
      <c r="I169" s="6">
        <v>33710.5651</v>
      </c>
      <c r="J169" s="6">
        <v>1006.7986168481085</v>
      </c>
      <c r="K169" s="6">
        <v>32500.722580000005</v>
      </c>
      <c r="M169" s="6">
        <v>133913.0546</v>
      </c>
      <c r="N169" s="6">
        <v>310039.0722</v>
      </c>
      <c r="O169" s="5">
        <v>98.182700000000011</v>
      </c>
      <c r="P169" s="6">
        <v>40400.859300000004</v>
      </c>
      <c r="Q169" s="5">
        <v>30.322500000000002</v>
      </c>
      <c r="R169" s="6">
        <v>5832.183</v>
      </c>
      <c r="S169" s="6">
        <v>1412.4686999999999</v>
      </c>
      <c r="T169" s="6">
        <v>491726.14299999998</v>
      </c>
      <c r="U169" s="5">
        <v>26.16197</v>
      </c>
      <c r="V169" s="6">
        <v>464577.1636533158</v>
      </c>
      <c r="X169" s="6">
        <v>1003.808</v>
      </c>
      <c r="Y169" s="6">
        <v>3299.9679999999998</v>
      </c>
      <c r="Z169" s="6">
        <v>3526.5360000000001</v>
      </c>
      <c r="AC169" s="6">
        <f t="shared" si="358"/>
        <v>7830.3119999999999</v>
      </c>
      <c r="AE169" s="4">
        <v>1.9321399480237385</v>
      </c>
      <c r="AH169" s="6">
        <v>20437.856</v>
      </c>
      <c r="AK169" s="6">
        <v>20437.856</v>
      </c>
      <c r="AN169" s="6">
        <v>2744802.2319999998</v>
      </c>
      <c r="AO169" s="6">
        <v>15636479.776000001</v>
      </c>
      <c r="AP169" s="6">
        <v>113354.10400000001</v>
      </c>
      <c r="AQ169" s="6">
        <v>272430.24</v>
      </c>
      <c r="AR169" s="6">
        <v>618655.60800000001</v>
      </c>
      <c r="AS169" s="6">
        <v>852079.576</v>
      </c>
      <c r="AT169" s="6">
        <v>20237801.535999998</v>
      </c>
      <c r="AU169" s="4">
        <v>5.1737734553381101</v>
      </c>
      <c r="AW169" s="6">
        <v>10912824.504000001</v>
      </c>
      <c r="AX169" s="4">
        <v>0.95396646501421922</v>
      </c>
      <c r="BA169" s="5">
        <v>69.189599999999999</v>
      </c>
      <c r="BB169" s="4">
        <v>0.20320000000000002</v>
      </c>
      <c r="BD169" s="5">
        <v>12.192</v>
      </c>
      <c r="BE169" s="5">
        <v>81.584800000000001</v>
      </c>
      <c r="BF169" s="6">
        <v>3937.8515938923124</v>
      </c>
      <c r="BH169" s="6">
        <v>36358.576000000001</v>
      </c>
      <c r="BI169" s="6">
        <v>4452.1120000000001</v>
      </c>
      <c r="BK169" s="6">
        <v>11159.744000000001</v>
      </c>
      <c r="BL169" s="4">
        <v>2.032</v>
      </c>
      <c r="BM169" s="15">
        <v>805.68799999999999</v>
      </c>
      <c r="BN169" s="6">
        <v>8728.4560000000001</v>
      </c>
      <c r="BO169" s="6">
        <v>61506.608</v>
      </c>
      <c r="BP169" s="4">
        <v>292.14646579582171</v>
      </c>
      <c r="BQ169" s="6">
        <v>59969.849379343999</v>
      </c>
      <c r="BS169" s="2">
        <v>312</v>
      </c>
      <c r="BV169" s="15">
        <v>312</v>
      </c>
      <c r="BW169" s="4">
        <v>25.833333333333332</v>
      </c>
      <c r="BZ169" s="6">
        <v>4341.3680000000004</v>
      </c>
      <c r="CA169" s="6">
        <v>2797.0480000000002</v>
      </c>
      <c r="CB169" s="6">
        <v>2336.8000000000002</v>
      </c>
      <c r="CC169" s="6">
        <v>5867.4</v>
      </c>
      <c r="CD169" s="6">
        <v>3443464.7919999999</v>
      </c>
      <c r="CE169" s="6">
        <v>422895.77600000001</v>
      </c>
      <c r="CG169" s="6">
        <v>3881703.1839999999</v>
      </c>
      <c r="CH169" s="4">
        <v>4</v>
      </c>
      <c r="CJ169" s="6">
        <v>1258.8240000000001</v>
      </c>
      <c r="CK169" s="6">
        <v>1486.4080000000001</v>
      </c>
      <c r="CO169" s="6">
        <v>74451.464000000007</v>
      </c>
      <c r="CP169" s="6">
        <v>1045.4639999999999</v>
      </c>
      <c r="CQ169" s="6">
        <v>2953.5120000000002</v>
      </c>
      <c r="CR169" s="6">
        <v>81195.672000000006</v>
      </c>
      <c r="CS169" s="5">
        <v>34.579390725887734</v>
      </c>
      <c r="DD169" s="6">
        <v>52089.304000000004</v>
      </c>
      <c r="DE169" s="6">
        <v>271198.848</v>
      </c>
      <c r="DF169" s="4">
        <v>4.0640000000000001</v>
      </c>
      <c r="DG169" s="6">
        <v>12644.12</v>
      </c>
      <c r="DH169" s="5">
        <v>20.32</v>
      </c>
      <c r="DI169" s="6">
        <v>3136.3919999999998</v>
      </c>
      <c r="DK169" s="6">
        <v>339093.04800000001</v>
      </c>
      <c r="DL169" s="15">
        <v>288.41860880435758</v>
      </c>
      <c r="DM169" s="6">
        <v>334657.53710133338</v>
      </c>
      <c r="DO169" s="6">
        <v>29979.112000000001</v>
      </c>
      <c r="DP169" s="6">
        <v>260376.416</v>
      </c>
      <c r="DR169" s="6">
        <v>33499.552000000003</v>
      </c>
      <c r="DS169" s="5">
        <v>98.552000000000007</v>
      </c>
      <c r="DV169" s="6">
        <v>323953.63200000004</v>
      </c>
      <c r="DW169" s="2">
        <v>208</v>
      </c>
      <c r="DX169" s="6">
        <v>305198.67839999998</v>
      </c>
      <c r="DZ169" s="15">
        <v>821.22264000000007</v>
      </c>
      <c r="EA169" s="15">
        <v>214.428832</v>
      </c>
      <c r="EB169" s="5">
        <v>0.33020000000000005</v>
      </c>
      <c r="EC169" s="6">
        <v>783.78399999999988</v>
      </c>
      <c r="ED169" s="15">
        <v>185.10503999999997</v>
      </c>
      <c r="EE169" s="5">
        <v>7.0623145400593463</v>
      </c>
      <c r="EF169" s="6">
        <v>2011.9330265400592</v>
      </c>
      <c r="EG169" s="6">
        <v>2080</v>
      </c>
      <c r="EJ169" s="15">
        <v>121.75714285714285</v>
      </c>
      <c r="EL169" s="15">
        <v>219.95</v>
      </c>
      <c r="EM169" s="15">
        <v>341.70714285714286</v>
      </c>
      <c r="EN169" s="6">
        <v>15584.632483116664</v>
      </c>
      <c r="EO169" s="6">
        <v>341.21926367200001</v>
      </c>
      <c r="EZ169" s="15">
        <v>491.74400000000003</v>
      </c>
      <c r="FA169" s="4">
        <v>0.76200000000000001</v>
      </c>
      <c r="FC169" s="6">
        <v>2529.84</v>
      </c>
      <c r="FE169" s="15">
        <v>19.304000000000002</v>
      </c>
      <c r="FF169" s="6">
        <v>3041.65</v>
      </c>
      <c r="FG169" s="15">
        <v>139.22733613566109</v>
      </c>
      <c r="FI169" s="6">
        <v>1764.7919999999999</v>
      </c>
      <c r="FJ169" s="200"/>
      <c r="FK169" s="200"/>
      <c r="FL169" s="6">
        <v>1332.992</v>
      </c>
      <c r="FM169" s="6">
        <f t="shared" si="354"/>
        <v>3097.7839999999997</v>
      </c>
      <c r="FN169" s="15">
        <v>100.0048</v>
      </c>
      <c r="GC169" s="6">
        <v>1535.851415304938</v>
      </c>
      <c r="GE169" s="4">
        <v>1.4235750296745173</v>
      </c>
      <c r="GK169" s="4">
        <f t="shared" si="355"/>
        <v>1.4235750296745173</v>
      </c>
      <c r="GL169" s="6">
        <v>2544.870077685508</v>
      </c>
      <c r="GQ169" s="6">
        <v>11016.487999999999</v>
      </c>
      <c r="GR169" s="15">
        <v>596.39200000000005</v>
      </c>
      <c r="GS169" s="115">
        <v>750000</v>
      </c>
      <c r="GT169" s="6">
        <v>761612.88</v>
      </c>
      <c r="GU169" s="4">
        <v>5.0652306009894286</v>
      </c>
      <c r="GW169" s="4">
        <v>0.52870000000000006</v>
      </c>
      <c r="GX169" s="87">
        <v>0.40128330000000006</v>
      </c>
      <c r="GY169" s="88">
        <v>6.8731E-4</v>
      </c>
      <c r="GZ169" s="85">
        <v>6.1857900000000009E-3</v>
      </c>
      <c r="HA169" s="85">
        <v>6.8731E-3</v>
      </c>
      <c r="HG169" s="4">
        <v>2.0526</v>
      </c>
      <c r="HH169" s="85">
        <v>6.1577999999999997E-3</v>
      </c>
      <c r="HI169" s="86">
        <v>5.5420199999999996E-2</v>
      </c>
      <c r="HJ169" s="87">
        <v>0.68762100000000004</v>
      </c>
      <c r="HK169" s="87">
        <v>1.1925606</v>
      </c>
      <c r="HO169" s="17"/>
      <c r="HP169" s="17"/>
      <c r="HQ169" s="7">
        <v>6.1577999999999997E-3</v>
      </c>
      <c r="HR169" s="3">
        <v>5.5420199999999996E-2</v>
      </c>
      <c r="HS169" s="4">
        <v>0.68762100000000004</v>
      </c>
      <c r="HT169" s="4">
        <v>1.1925606</v>
      </c>
      <c r="HV169" s="5">
        <v>53.980079999999994</v>
      </c>
      <c r="HW169" s="5">
        <v>31.699199999999998</v>
      </c>
      <c r="HZ169" s="5">
        <f t="shared" si="363"/>
        <v>85.679279999999991</v>
      </c>
      <c r="IA169" s="5">
        <v>66.638354193566741</v>
      </c>
      <c r="IC169" s="5">
        <v>16.574408633652094</v>
      </c>
      <c r="ID169" s="4">
        <v>1.2186271835900673</v>
      </c>
      <c r="IF169" s="6">
        <v>1164.7001502607438</v>
      </c>
      <c r="IH169" s="4">
        <v>0.10715257495568008</v>
      </c>
      <c r="II169" s="15">
        <v>80.263999999999996</v>
      </c>
      <c r="IJ169" s="6">
        <v>1262.8643386529416</v>
      </c>
      <c r="IK169" s="6">
        <v>3071.7028306098759</v>
      </c>
      <c r="IN169" s="5">
        <v>16.017583408</v>
      </c>
      <c r="IP169" s="5">
        <v>16.017583408</v>
      </c>
      <c r="IQ169" s="6">
        <v>3977.7793898963514</v>
      </c>
      <c r="IW169" s="15">
        <v>313.89929600000005</v>
      </c>
      <c r="IX169" s="16">
        <v>85.343999999999994</v>
      </c>
      <c r="IZ169" s="15">
        <v>399.24329600000004</v>
      </c>
      <c r="JG169" s="15">
        <v>152.4</v>
      </c>
      <c r="JI169" s="5">
        <v>13.779527559055117</v>
      </c>
      <c r="JJ169" s="15">
        <v>991.61599999999999</v>
      </c>
      <c r="JK169" s="5">
        <v>49.692622950819676</v>
      </c>
      <c r="JL169" s="5">
        <v>11.203933780818382</v>
      </c>
      <c r="JR169" s="6">
        <v>41586.901839999999</v>
      </c>
      <c r="JS169" s="4">
        <v>54.534485200939407</v>
      </c>
      <c r="JT169" s="4">
        <v>5.6141614227062604</v>
      </c>
      <c r="JV169" s="6">
        <v>42730.917840000002</v>
      </c>
      <c r="JW169" s="4">
        <v>5.6141614227062604</v>
      </c>
      <c r="KL169" s="6">
        <v>32885.887999999999</v>
      </c>
      <c r="KN169" s="15">
        <v>134.73234686896541</v>
      </c>
      <c r="KO169" s="6">
        <v>87533.48</v>
      </c>
      <c r="KP169" s="5">
        <v>96.759329116127915</v>
      </c>
      <c r="KQ169" s="15">
        <v>128.80285349102996</v>
      </c>
      <c r="LC169" s="6">
        <v>120419.36799999999</v>
      </c>
      <c r="LD169" s="15">
        <v>128.80285349102996</v>
      </c>
      <c r="LL169" s="6">
        <v>32885.887999999999</v>
      </c>
      <c r="LN169" s="5">
        <v>134.73234686896541</v>
      </c>
      <c r="LO169" s="6">
        <v>60322.968000000001</v>
      </c>
      <c r="LP169" s="5">
        <v>66.51073499680227</v>
      </c>
      <c r="LQ169" s="5">
        <v>18.799671793337488</v>
      </c>
      <c r="MC169" s="6">
        <v>93208.856</v>
      </c>
      <c r="MG169" s="5">
        <v>89.966799999999992</v>
      </c>
      <c r="MI169" s="15">
        <v>331.54452531378246</v>
      </c>
      <c r="MJ169" s="15">
        <v>52.832000000000001</v>
      </c>
      <c r="MK169" s="5">
        <v>90.384615384615387</v>
      </c>
      <c r="ML169" s="15">
        <v>311.97001817080559</v>
      </c>
      <c r="MQ169" s="15">
        <v>142.7988</v>
      </c>
      <c r="MR169" s="15">
        <v>324.30244511858643</v>
      </c>
      <c r="NI169" s="4">
        <v>0.60960000000000003</v>
      </c>
      <c r="NJ169" s="4">
        <v>0.60960000000000003</v>
      </c>
      <c r="NK169" s="6">
        <v>4441.9151893681465</v>
      </c>
    </row>
    <row r="170" spans="1:375" x14ac:dyDescent="0.25">
      <c r="A170" s="2">
        <v>1958</v>
      </c>
      <c r="B170" s="6">
        <v>2319.0648000000001</v>
      </c>
      <c r="C170" s="15">
        <v>581.84990000000005</v>
      </c>
      <c r="D170" s="6">
        <v>1289.9036000000001</v>
      </c>
      <c r="E170" s="15">
        <v>676.23840000000007</v>
      </c>
      <c r="F170" s="4">
        <v>1.4928000000000001</v>
      </c>
      <c r="G170" s="6">
        <v>27206.870900000002</v>
      </c>
      <c r="H170" s="6">
        <v>2258.3576000000003</v>
      </c>
      <c r="I170" s="6">
        <v>34333.778000000006</v>
      </c>
      <c r="J170" s="6">
        <v>1005.2035410373809</v>
      </c>
      <c r="K170" s="6">
        <v>33269.604210200006</v>
      </c>
      <c r="M170" s="6">
        <v>177581.96409999998</v>
      </c>
      <c r="N170" s="6">
        <v>279660.31229999999</v>
      </c>
      <c r="O170" s="5">
        <v>93.859800000000007</v>
      </c>
      <c r="P170" s="6">
        <v>43378.653200000001</v>
      </c>
      <c r="Q170" s="5">
        <v>19.064299999999999</v>
      </c>
      <c r="R170" s="6">
        <v>5889.5625</v>
      </c>
      <c r="S170" s="6">
        <v>1544.5504000000001</v>
      </c>
      <c r="T170" s="6">
        <v>508167.96660000004</v>
      </c>
      <c r="U170" s="5">
        <v>25.536940000000001</v>
      </c>
      <c r="V170" s="6">
        <v>475745.05935263156</v>
      </c>
      <c r="X170" s="6">
        <v>1210.056</v>
      </c>
      <c r="Y170" s="6">
        <v>1690.624</v>
      </c>
      <c r="Z170" s="6">
        <v>4118.8640000000005</v>
      </c>
      <c r="AC170" s="6">
        <f t="shared" si="358"/>
        <v>7019.5440000000008</v>
      </c>
      <c r="AE170" s="4">
        <v>1.752015823743186</v>
      </c>
      <c r="AH170" s="6">
        <v>22849.84</v>
      </c>
      <c r="AK170" s="6">
        <v>22849.84</v>
      </c>
      <c r="AN170" s="6">
        <v>2621658.9679999999</v>
      </c>
      <c r="AO170" s="6">
        <v>16104563.168</v>
      </c>
      <c r="AP170" s="6">
        <v>110092.74400000001</v>
      </c>
      <c r="AQ170" s="6">
        <v>280688.288</v>
      </c>
      <c r="AR170" s="6">
        <v>767102.35199999996</v>
      </c>
      <c r="AS170" s="6">
        <v>884816.11199999996</v>
      </c>
      <c r="AT170" s="6">
        <v>20768921.631999996</v>
      </c>
      <c r="AU170" s="4">
        <v>4.9581219414047757</v>
      </c>
      <c r="AW170" s="6">
        <v>11829927.063999999</v>
      </c>
      <c r="AX170" s="4">
        <v>0.97523779627590113</v>
      </c>
      <c r="BA170" s="5">
        <v>71.52640000000001</v>
      </c>
      <c r="BB170" s="4">
        <v>0.40640000000000004</v>
      </c>
      <c r="BD170" s="5">
        <v>15.24</v>
      </c>
      <c r="BE170" s="5">
        <v>87.172800000000009</v>
      </c>
      <c r="BF170" s="6">
        <v>3893.2047504241455</v>
      </c>
      <c r="BH170" s="6">
        <v>51319.175999999999</v>
      </c>
      <c r="BI170" s="6">
        <v>4087.3679999999999</v>
      </c>
      <c r="BK170" s="6">
        <v>11595.608</v>
      </c>
      <c r="BL170" s="4">
        <v>1.016</v>
      </c>
      <c r="BM170" s="6">
        <v>1124.712</v>
      </c>
      <c r="BN170" s="6">
        <v>8798.56</v>
      </c>
      <c r="BO170" s="6">
        <v>76926.44</v>
      </c>
      <c r="BP170" s="4">
        <v>277.94636725176088</v>
      </c>
      <c r="BQ170" s="6">
        <v>72426.730719999992</v>
      </c>
      <c r="BS170" s="2">
        <v>158</v>
      </c>
      <c r="BV170" s="15">
        <v>158</v>
      </c>
      <c r="BW170" s="4">
        <v>24.873417721518987</v>
      </c>
      <c r="BZ170" s="6">
        <v>1011.936</v>
      </c>
      <c r="CA170" s="6">
        <v>2983.9920000000002</v>
      </c>
      <c r="CB170" s="15">
        <v>770.12800000000004</v>
      </c>
      <c r="CC170" s="6">
        <v>4334.2560000000003</v>
      </c>
      <c r="CD170" s="6">
        <v>3406237.5359999998</v>
      </c>
      <c r="CE170" s="6">
        <v>582094.848</v>
      </c>
      <c r="CG170" s="6">
        <v>3997432.6959999995</v>
      </c>
      <c r="CH170" s="4">
        <v>3.5</v>
      </c>
      <c r="CJ170" s="6">
        <v>7181.0879999999997</v>
      </c>
      <c r="CK170" s="6">
        <v>1887.7280000000001</v>
      </c>
      <c r="CO170" s="6">
        <v>48345.343999999997</v>
      </c>
      <c r="CP170" s="6">
        <v>3223.768</v>
      </c>
      <c r="CQ170" s="6">
        <v>3414.7759999999998</v>
      </c>
      <c r="CR170" s="6">
        <v>64052.703999999998</v>
      </c>
      <c r="CS170" s="5">
        <v>22.973871880946117</v>
      </c>
      <c r="DD170" s="6">
        <v>66851.784</v>
      </c>
      <c r="DE170" s="6">
        <v>250846.33600000001</v>
      </c>
      <c r="DG170" s="6">
        <v>14005.56</v>
      </c>
      <c r="DH170" s="5">
        <v>13.208</v>
      </c>
      <c r="DI170" s="6">
        <v>1882.6480000000001</v>
      </c>
      <c r="DK170" s="6">
        <v>333599.53599999996</v>
      </c>
      <c r="DL170" s="15">
        <v>238.41414412001075</v>
      </c>
      <c r="DM170" s="6">
        <v>324239.79517333338</v>
      </c>
      <c r="DO170" s="6">
        <v>30010.608</v>
      </c>
      <c r="DP170" s="6">
        <v>231079.04000000001</v>
      </c>
      <c r="DR170" s="6">
        <v>37182.552000000003</v>
      </c>
      <c r="DS170" s="15">
        <v>114.80800000000001</v>
      </c>
      <c r="DT170" s="5">
        <v>20.32</v>
      </c>
      <c r="DV170" s="6">
        <v>298407.32800000004</v>
      </c>
      <c r="DW170" s="2">
        <v>182</v>
      </c>
      <c r="DX170" s="6">
        <v>276444.51695999998</v>
      </c>
      <c r="DZ170" s="6">
        <v>1012.6776800000001</v>
      </c>
      <c r="EA170" s="15">
        <v>243.19991999999999</v>
      </c>
      <c r="EC170" s="6">
        <v>893.14400000000012</v>
      </c>
      <c r="ED170" s="5">
        <v>95.026479999999992</v>
      </c>
      <c r="EE170" s="5">
        <v>1.2462908011869436</v>
      </c>
      <c r="EF170" s="6">
        <v>2245.2943708011871</v>
      </c>
      <c r="EG170" s="6">
        <v>2026</v>
      </c>
      <c r="EI170" s="15">
        <v>254.92</v>
      </c>
      <c r="EJ170" s="15">
        <v>121.75714285714285</v>
      </c>
      <c r="EL170" s="2">
        <v>174</v>
      </c>
      <c r="EM170" s="15">
        <v>550.67714285714283</v>
      </c>
      <c r="EN170" s="6">
        <v>17181.671726667995</v>
      </c>
      <c r="EO170" s="6">
        <v>568.75707678599997</v>
      </c>
      <c r="EZ170" s="15">
        <v>513.08000000000004</v>
      </c>
      <c r="FA170" s="4">
        <v>0.76200000000000001</v>
      </c>
      <c r="FC170" s="6">
        <v>2524.7600000000002</v>
      </c>
      <c r="FE170" s="15">
        <v>21.335999999999999</v>
      </c>
      <c r="FF170" s="6">
        <v>3059.9380000000001</v>
      </c>
      <c r="FG170" s="15">
        <v>153.68392712913936</v>
      </c>
      <c r="FI170" s="6">
        <v>748.79200000000003</v>
      </c>
      <c r="FJ170" s="6">
        <v>39.624000000000002</v>
      </c>
      <c r="FK170" s="200"/>
      <c r="FL170" s="200"/>
      <c r="FM170" s="15">
        <f t="shared" si="354"/>
        <v>788.41600000000005</v>
      </c>
      <c r="FN170" s="15">
        <v>100.0048</v>
      </c>
      <c r="FY170" s="202"/>
      <c r="FZ170" s="4">
        <v>1.3452717269076304</v>
      </c>
      <c r="GA170" s="202"/>
      <c r="GB170" s="5">
        <v>1.3452717269076304</v>
      </c>
      <c r="GC170" s="6">
        <v>1437.6283596749711</v>
      </c>
      <c r="GE170" s="4">
        <v>2.3294864121946652</v>
      </c>
      <c r="GK170" s="4">
        <f t="shared" si="355"/>
        <v>2.3294864121946652</v>
      </c>
      <c r="GL170" s="6">
        <v>2634.1637646218414</v>
      </c>
      <c r="GQ170" s="6">
        <v>7367.0160000000005</v>
      </c>
      <c r="GR170" s="15">
        <v>172.72</v>
      </c>
      <c r="GS170" s="115">
        <v>750000</v>
      </c>
      <c r="GT170" s="6">
        <v>757539.73600000003</v>
      </c>
      <c r="GU170" s="4">
        <v>5.1903489078013614</v>
      </c>
      <c r="GW170" s="4">
        <v>0.68420000000000003</v>
      </c>
      <c r="GX170" s="87">
        <v>0.51930779999999999</v>
      </c>
      <c r="GY170" s="88">
        <v>8.8946000000000001E-4</v>
      </c>
      <c r="GZ170" s="85">
        <v>8.0051400000000009E-3</v>
      </c>
      <c r="HA170" s="85">
        <v>8.8946000000000008E-3</v>
      </c>
      <c r="HG170" s="4">
        <v>1.3062</v>
      </c>
      <c r="HH170" s="85">
        <v>3.9186000000000004E-3</v>
      </c>
      <c r="HI170" s="86">
        <v>3.5267399999999997E-2</v>
      </c>
      <c r="HJ170" s="87">
        <v>0.43757700000000005</v>
      </c>
      <c r="HK170" s="87">
        <v>0.75890219999999997</v>
      </c>
      <c r="HO170" s="17"/>
      <c r="HP170" s="17"/>
      <c r="HQ170" s="7">
        <v>3.9186000000000004E-3</v>
      </c>
      <c r="HR170" s="3">
        <v>3.5267399999999997E-2</v>
      </c>
      <c r="HS170" s="4">
        <v>0.43757700000000005</v>
      </c>
      <c r="HT170" s="4">
        <v>0.75890219999999997</v>
      </c>
      <c r="HV170" s="5">
        <v>70.7136</v>
      </c>
      <c r="HW170" s="15">
        <v>137.7696</v>
      </c>
      <c r="HZ170" s="15">
        <f t="shared" si="363"/>
        <v>208.48320000000001</v>
      </c>
      <c r="IA170" s="15">
        <v>424.33114978274767</v>
      </c>
      <c r="IC170" s="4">
        <v>3.9799527840681175</v>
      </c>
      <c r="ID170" s="4">
        <v>0.90066188539242298</v>
      </c>
      <c r="IF170" s="15">
        <v>716.10952067185144</v>
      </c>
      <c r="II170" s="15">
        <v>25.956361600000001</v>
      </c>
      <c r="IJ170" s="15">
        <v>746.94649694131203</v>
      </c>
      <c r="IK170" s="6">
        <v>2178.76596124654</v>
      </c>
      <c r="IN170" s="4">
        <v>4.3234569359999995</v>
      </c>
      <c r="IP170" s="4">
        <v>4.3234569359999995</v>
      </c>
      <c r="IQ170" s="6">
        <v>10650.039296178678</v>
      </c>
      <c r="IW170" s="15">
        <v>281.43200000000002</v>
      </c>
      <c r="IX170" s="16">
        <v>76.2</v>
      </c>
      <c r="IZ170" s="15">
        <v>357.63200000000001</v>
      </c>
      <c r="JB170" s="5">
        <v>36.576000000000001</v>
      </c>
      <c r="JD170" s="5">
        <v>36.576000000000001</v>
      </c>
      <c r="JE170" s="5">
        <v>13.834208223972004</v>
      </c>
      <c r="JJ170" s="15">
        <v>133.096</v>
      </c>
      <c r="JK170" s="5">
        <v>45.038167938931295</v>
      </c>
      <c r="JL170" s="4">
        <v>8.5502193905151174</v>
      </c>
      <c r="JR170" s="6">
        <v>84253.090320000003</v>
      </c>
      <c r="JS170" s="2">
        <v>54.82</v>
      </c>
      <c r="JT170" s="4">
        <v>5.319902193470071</v>
      </c>
      <c r="JV170" s="6">
        <v>84386.186320000008</v>
      </c>
      <c r="JW170" s="4">
        <v>5.319902193470071</v>
      </c>
      <c r="KL170" s="6">
        <v>23350.727999999999</v>
      </c>
      <c r="KN170" s="15">
        <v>133.26274024518636</v>
      </c>
      <c r="KO170" s="6">
        <v>47234.856</v>
      </c>
      <c r="KP170" s="5">
        <v>96.610096577832266</v>
      </c>
      <c r="KQ170" s="15">
        <v>104.00052876206503</v>
      </c>
      <c r="LC170" s="6">
        <v>70585.584000000003</v>
      </c>
      <c r="LD170" s="15">
        <v>104.00052876206503</v>
      </c>
      <c r="LL170" s="6">
        <v>23350.727999999999</v>
      </c>
      <c r="LN170" s="5">
        <v>133.26274024518636</v>
      </c>
      <c r="LO170" s="6">
        <v>33062.671999999999</v>
      </c>
      <c r="LP170" s="5">
        <v>66.574990296925208</v>
      </c>
      <c r="LQ170" s="5">
        <v>15.09394038086214</v>
      </c>
      <c r="MC170" s="6">
        <v>56413.399999999994</v>
      </c>
      <c r="MG170" s="15">
        <v>117.85599999999999</v>
      </c>
      <c r="MI170" s="15">
        <v>266.25712734184089</v>
      </c>
      <c r="MJ170" s="15">
        <v>229.61600000000001</v>
      </c>
      <c r="MK170" s="5">
        <v>92.920353982300881</v>
      </c>
      <c r="ML170" s="15">
        <v>268.11720437600167</v>
      </c>
      <c r="MQ170" s="15">
        <v>347.47199999999998</v>
      </c>
      <c r="MR170" s="15">
        <v>267.48630105447347</v>
      </c>
      <c r="NG170" s="5">
        <v>1.0559389458405155</v>
      </c>
      <c r="NH170" s="6">
        <v>2794.19564135068</v>
      </c>
      <c r="NJ170" s="4">
        <v>1.0559389458405155</v>
      </c>
      <c r="NK170" s="6">
        <v>4471.3493951505461</v>
      </c>
    </row>
    <row r="171" spans="1:375" x14ac:dyDescent="0.25">
      <c r="A171" s="2">
        <v>1959</v>
      </c>
      <c r="B171" s="6">
        <v>2851.4657000000002</v>
      </c>
      <c r="C171" s="15">
        <v>412.85250000000002</v>
      </c>
      <c r="D171" s="6">
        <v>1077.9882</v>
      </c>
      <c r="E171" s="15">
        <v>664.07830000000001</v>
      </c>
      <c r="F171" s="4">
        <v>0.49760000000000004</v>
      </c>
      <c r="G171" s="6">
        <v>26776.135900000001</v>
      </c>
      <c r="H171" s="6">
        <v>1963.7162000000003</v>
      </c>
      <c r="I171" s="6">
        <v>33746.734400000001</v>
      </c>
      <c r="J171" s="6">
        <v>1004.9096443419395</v>
      </c>
      <c r="K171" s="6">
        <v>33051.178856999992</v>
      </c>
      <c r="M171" s="6">
        <v>154044.79990000001</v>
      </c>
      <c r="N171" s="6">
        <v>266066.81330000004</v>
      </c>
      <c r="O171" s="5">
        <v>62.697600000000008</v>
      </c>
      <c r="P171" s="6">
        <v>42578.045899999997</v>
      </c>
      <c r="Q171" s="5">
        <v>12.253400000000001</v>
      </c>
      <c r="R171" s="6">
        <v>5585.5911000000006</v>
      </c>
      <c r="S171" s="6">
        <v>3145.3918000000003</v>
      </c>
      <c r="T171" s="6">
        <v>471495.59299999999</v>
      </c>
      <c r="U171" s="5">
        <v>26.16197</v>
      </c>
      <c r="V171" s="6">
        <v>442641.12921578949</v>
      </c>
      <c r="Y171" s="6">
        <v>4311.9040000000005</v>
      </c>
      <c r="Z171" s="6">
        <v>3519.424</v>
      </c>
      <c r="AA171" s="6">
        <v>7393.4319999999998</v>
      </c>
      <c r="AC171" s="6">
        <f t="shared" si="358"/>
        <v>15224.76</v>
      </c>
      <c r="AE171" s="4">
        <v>1.7226728609913391</v>
      </c>
      <c r="AH171" s="6">
        <v>27330.400000000001</v>
      </c>
      <c r="AK171" s="6">
        <v>27330.400000000001</v>
      </c>
      <c r="AN171" s="6">
        <v>2635897.1919999998</v>
      </c>
      <c r="AO171" s="6">
        <v>15963839.040000001</v>
      </c>
      <c r="AP171" s="6">
        <v>91885.008000000002</v>
      </c>
      <c r="AQ171" s="6">
        <v>304157.88799999998</v>
      </c>
      <c r="AR171" s="6">
        <v>701419.98400000005</v>
      </c>
      <c r="AS171" s="6">
        <v>926017.96</v>
      </c>
      <c r="AT171" s="6">
        <v>20623217.072000004</v>
      </c>
      <c r="AU171" s="4">
        <v>4.6901818423746766</v>
      </c>
      <c r="AW171" s="6">
        <v>13243158.679999998</v>
      </c>
      <c r="AX171" s="4">
        <v>0.93525587676506916</v>
      </c>
      <c r="BA171" s="5">
        <v>61.061600000000006</v>
      </c>
      <c r="BB171" s="4">
        <v>0.60960000000000003</v>
      </c>
      <c r="BD171" s="5">
        <v>14.224</v>
      </c>
      <c r="BE171" s="5">
        <v>75.895200000000003</v>
      </c>
      <c r="BF171" s="6">
        <v>3509.2418965979109</v>
      </c>
      <c r="BH171" s="6">
        <v>67866.767999999996</v>
      </c>
      <c r="BI171" s="6">
        <v>3787.6480000000001</v>
      </c>
      <c r="BJ171" s="5">
        <v>14.224</v>
      </c>
      <c r="BK171" s="6">
        <v>12439.904</v>
      </c>
      <c r="BL171" s="5">
        <v>16.256</v>
      </c>
      <c r="BM171" s="6">
        <v>2232.152</v>
      </c>
      <c r="BN171" s="6">
        <v>10112.248</v>
      </c>
      <c r="BO171" s="6">
        <v>96469.2</v>
      </c>
      <c r="BP171" s="4">
        <v>242.42659322757069</v>
      </c>
      <c r="BQ171" s="6">
        <v>76056.535472000003</v>
      </c>
      <c r="BS171" s="2">
        <v>37</v>
      </c>
      <c r="BV171" s="15">
        <v>37</v>
      </c>
      <c r="BW171" s="4">
        <v>8</v>
      </c>
      <c r="BZ171" s="6">
        <v>1344.1680000000001</v>
      </c>
      <c r="CA171" s="6">
        <v>5327.9040000000005</v>
      </c>
      <c r="CB171" s="6">
        <v>2276.8560000000002</v>
      </c>
      <c r="CC171" s="6">
        <v>5142.9920000000002</v>
      </c>
      <c r="CD171" s="6">
        <v>3477980.344</v>
      </c>
      <c r="CE171" s="6">
        <v>738717.34400000004</v>
      </c>
      <c r="CG171" s="6">
        <v>4230789.608</v>
      </c>
      <c r="CH171" s="4">
        <v>3</v>
      </c>
      <c r="CJ171" s="6">
        <v>9820.6560000000009</v>
      </c>
      <c r="CK171" s="6">
        <v>2619.248</v>
      </c>
      <c r="CO171" s="6">
        <v>76944.728000000003</v>
      </c>
      <c r="CP171" s="6">
        <v>2024.8879999999999</v>
      </c>
      <c r="CQ171" s="6">
        <v>3753.1040000000003</v>
      </c>
      <c r="CR171" s="6">
        <v>95162.624000000011</v>
      </c>
      <c r="CS171" s="5">
        <v>24</v>
      </c>
      <c r="DD171" s="6">
        <v>55285.64</v>
      </c>
      <c r="DE171" s="6">
        <v>250392.18400000001</v>
      </c>
      <c r="DG171" s="6">
        <v>14263.624</v>
      </c>
      <c r="DH171" s="4">
        <v>8.1280000000000001</v>
      </c>
      <c r="DI171" s="6">
        <v>1404.1120000000001</v>
      </c>
      <c r="DK171" s="6">
        <v>321353.68800000008</v>
      </c>
      <c r="DL171" s="15">
        <v>102.45200703791265</v>
      </c>
      <c r="DM171" s="6">
        <v>315606.58070666669</v>
      </c>
      <c r="DO171" s="6">
        <v>23843.488000000001</v>
      </c>
      <c r="DP171" s="6">
        <v>220464.88800000001</v>
      </c>
      <c r="DR171" s="6">
        <v>35509.199999999997</v>
      </c>
      <c r="DV171" s="6">
        <v>279817.576</v>
      </c>
      <c r="DW171" s="2">
        <v>212</v>
      </c>
      <c r="DX171" s="6">
        <v>261375.144</v>
      </c>
      <c r="DZ171" s="6">
        <v>1100.0486000000001</v>
      </c>
      <c r="EA171" s="15">
        <v>176.361344</v>
      </c>
      <c r="EC171" s="6">
        <v>901.32800000000009</v>
      </c>
      <c r="ED171" s="15">
        <v>176.95671999999999</v>
      </c>
      <c r="EE171" s="5">
        <v>5.8160237388724036</v>
      </c>
      <c r="EF171" s="6">
        <v>2360.5106877388725</v>
      </c>
      <c r="EG171" s="6">
        <v>2164</v>
      </c>
      <c r="EI171" s="15">
        <v>658.68</v>
      </c>
      <c r="EJ171" s="15">
        <v>121.75714285714285</v>
      </c>
      <c r="EL171" s="15">
        <v>237.78</v>
      </c>
      <c r="EM171" s="6">
        <v>1018.2171428571428</v>
      </c>
      <c r="EN171" s="6">
        <v>18090.132264569478</v>
      </c>
      <c r="EO171" s="6">
        <v>1068.4363424190001</v>
      </c>
      <c r="EZ171" s="15">
        <v>637.03200000000004</v>
      </c>
      <c r="FA171" s="4">
        <v>0.76200000000000001</v>
      </c>
      <c r="FC171" s="6">
        <v>4503.9279999999999</v>
      </c>
      <c r="FE171" s="15">
        <v>19.304000000000002</v>
      </c>
      <c r="FF171" s="6">
        <v>5161.0259999999998</v>
      </c>
      <c r="FG171" s="15">
        <v>158.57553509602073</v>
      </c>
      <c r="FI171" s="6">
        <v>121.92</v>
      </c>
      <c r="FJ171" s="200"/>
      <c r="FK171" s="200"/>
      <c r="FL171" s="200"/>
      <c r="FM171" s="5">
        <f t="shared" ref="FM171:FM176" si="365">SUM(FI171:FL171)</f>
        <v>121.92</v>
      </c>
      <c r="FN171" s="15">
        <v>120.5415</v>
      </c>
      <c r="FY171" s="202"/>
      <c r="FZ171" s="4">
        <v>0.48146567068273094</v>
      </c>
      <c r="GA171" s="202"/>
      <c r="GB171" s="5">
        <v>0.48146567068273094</v>
      </c>
      <c r="GC171" s="6">
        <v>1437.6283596749711</v>
      </c>
      <c r="GQ171" s="6">
        <v>4851.3999999999996</v>
      </c>
      <c r="GS171" s="115">
        <v>750000</v>
      </c>
      <c r="GT171" s="6">
        <v>754851.4</v>
      </c>
      <c r="GU171" s="4">
        <v>5.5613637562847211</v>
      </c>
      <c r="HG171" s="3">
        <v>9.3300000000000008E-2</v>
      </c>
      <c r="HH171" s="88">
        <v>2.7990000000000003E-4</v>
      </c>
      <c r="HI171" s="85">
        <v>2.5191000000000002E-3</v>
      </c>
      <c r="HJ171" s="86">
        <v>3.1255500000000006E-2</v>
      </c>
      <c r="HK171" s="86">
        <v>5.42073E-2</v>
      </c>
      <c r="HO171" s="17"/>
      <c r="HP171" s="17"/>
      <c r="HR171" s="7">
        <v>2.5191000000000002E-3</v>
      </c>
      <c r="HS171" s="3">
        <v>3.1255500000000006E-2</v>
      </c>
      <c r="HT171" s="3">
        <v>5.42073E-2</v>
      </c>
      <c r="HV171" s="5">
        <v>53.949599999999997</v>
      </c>
      <c r="HW171" s="15">
        <v>113.9952</v>
      </c>
      <c r="HY171" s="5">
        <v>66.781679999999994</v>
      </c>
      <c r="HZ171" s="15">
        <f t="shared" si="363"/>
        <v>234.72647999999998</v>
      </c>
      <c r="IA171" s="15">
        <v>190.53085499249633</v>
      </c>
      <c r="ID171" s="4">
        <v>0.40704669705054453</v>
      </c>
      <c r="IF171" s="15">
        <v>520.43522260898828</v>
      </c>
      <c r="II171" s="5">
        <v>0.18327666954270921</v>
      </c>
      <c r="IJ171" s="15">
        <v>521.02554597558151</v>
      </c>
      <c r="IK171" s="6">
        <v>2553.799446379141</v>
      </c>
      <c r="IN171" s="4">
        <v>6.065745552000001</v>
      </c>
      <c r="IP171" s="4">
        <v>6.065745552000001</v>
      </c>
      <c r="IQ171" s="6">
        <v>8730.0771914330853</v>
      </c>
      <c r="IW171" s="15">
        <v>270.25599999999997</v>
      </c>
      <c r="IX171" s="16">
        <v>76.2</v>
      </c>
      <c r="IZ171" s="15">
        <v>346.45599999999996</v>
      </c>
      <c r="JB171" s="5">
        <v>48.768000000000001</v>
      </c>
      <c r="JD171" s="5">
        <v>48.768000000000001</v>
      </c>
      <c r="JE171" s="5">
        <v>14.271653543307087</v>
      </c>
      <c r="JG171" s="15">
        <v>25.4</v>
      </c>
      <c r="JI171" s="5">
        <v>11.338582677165356</v>
      </c>
      <c r="JJ171" s="6">
        <v>233.68</v>
      </c>
      <c r="JK171" s="5">
        <v>48.260869565217391</v>
      </c>
      <c r="JL171" s="5">
        <v>12.341663813762409</v>
      </c>
      <c r="JR171" s="6">
        <v>74805.712719999996</v>
      </c>
      <c r="JS171" s="2">
        <v>54.58</v>
      </c>
      <c r="JT171" s="4">
        <v>4.7199028946034218</v>
      </c>
      <c r="JV171" s="6">
        <v>75064.792719999998</v>
      </c>
      <c r="JW171" s="4">
        <v>4.7199028946034218</v>
      </c>
      <c r="KE171" s="5">
        <v>280.67</v>
      </c>
      <c r="KF171" s="4">
        <v>80.37285067873303</v>
      </c>
      <c r="KG171" s="5">
        <v>14.003277870809136</v>
      </c>
      <c r="KI171" s="6">
        <v>280.67</v>
      </c>
      <c r="KJ171" s="5">
        <v>14.003277870809136</v>
      </c>
      <c r="KL171" s="6">
        <v>20044.664000000001</v>
      </c>
      <c r="KN171" s="15">
        <v>117.9449054371777</v>
      </c>
      <c r="KO171" s="6">
        <v>47023.527999999998</v>
      </c>
      <c r="KP171" s="5">
        <v>96.778514789447527</v>
      </c>
      <c r="KQ171" s="5">
        <v>77.041305790582115</v>
      </c>
      <c r="KY171" s="5">
        <v>302.20920000000001</v>
      </c>
      <c r="KZ171" s="4">
        <v>95.831232139855459</v>
      </c>
      <c r="LA171" s="5">
        <v>27.873076001657129</v>
      </c>
      <c r="LC171" s="6">
        <v>67370.401199999993</v>
      </c>
      <c r="LD171" s="5">
        <v>27.873076001657129</v>
      </c>
      <c r="LL171" s="6">
        <v>20044.664000000001</v>
      </c>
      <c r="LN171" s="5">
        <v>117.9449054371777</v>
      </c>
      <c r="LO171" s="6">
        <v>72925.432000000001</v>
      </c>
      <c r="LP171" s="5">
        <v>66.637895167079321</v>
      </c>
      <c r="LQ171" s="5">
        <v>16.99596376748238</v>
      </c>
      <c r="LY171" s="6">
        <v>4133.4334399999998</v>
      </c>
      <c r="LZ171" s="4">
        <v>65.653558945417558</v>
      </c>
      <c r="MA171" s="5">
        <v>9.9502872362691299</v>
      </c>
      <c r="MC171" s="6">
        <v>97103.529439999998</v>
      </c>
      <c r="MG171" s="15">
        <v>89.915999999999997</v>
      </c>
      <c r="MI171" s="15">
        <v>196.85039370078741</v>
      </c>
      <c r="MJ171" s="15">
        <v>189.99199999999999</v>
      </c>
      <c r="MK171" s="5">
        <v>92.513368983957221</v>
      </c>
      <c r="ML171" s="15">
        <v>208.22982020295592</v>
      </c>
      <c r="MN171" s="5">
        <v>111.3028</v>
      </c>
      <c r="MO171" s="4">
        <v>6.7994523048836149</v>
      </c>
      <c r="MP171" s="5">
        <v>64.780490697448755</v>
      </c>
      <c r="MQ171" s="15">
        <v>391.21080000000001</v>
      </c>
      <c r="MR171" s="15">
        <v>164.80181528730802</v>
      </c>
      <c r="NI171" s="4">
        <v>0.41655999999999999</v>
      </c>
      <c r="NJ171" s="4">
        <v>0.41655999999999999</v>
      </c>
      <c r="NK171" s="6">
        <v>4495.4603813966251</v>
      </c>
    </row>
    <row r="172" spans="1:375" x14ac:dyDescent="0.25">
      <c r="A172" s="2">
        <v>1960</v>
      </c>
      <c r="B172" s="6">
        <v>2434.1037000000001</v>
      </c>
      <c r="C172" s="15">
        <v>423.83080000000007</v>
      </c>
      <c r="D172" s="15">
        <v>888.40260000000012</v>
      </c>
      <c r="E172" s="15">
        <v>746.21339999999998</v>
      </c>
      <c r="F172" s="4">
        <v>1.1196000000000002</v>
      </c>
      <c r="G172" s="6">
        <v>27055.942600000002</v>
      </c>
      <c r="H172" s="6">
        <v>2247.0372000000002</v>
      </c>
      <c r="I172" s="6">
        <v>33796.649900000004</v>
      </c>
      <c r="J172" s="6">
        <v>1004.8555869456575</v>
      </c>
      <c r="K172" s="6">
        <v>33071.156875000008</v>
      </c>
      <c r="M172" s="6">
        <v>159284.87</v>
      </c>
      <c r="N172" s="6">
        <v>261174.34789999999</v>
      </c>
      <c r="O172" s="5">
        <v>17.913600000000002</v>
      </c>
      <c r="P172" s="6">
        <v>43489.680200000003</v>
      </c>
      <c r="R172" s="6">
        <v>6119.1116000000002</v>
      </c>
      <c r="S172" s="6">
        <v>2637.3733000000002</v>
      </c>
      <c r="T172" s="6">
        <v>472723.2966</v>
      </c>
      <c r="U172" s="5">
        <v>26.16197</v>
      </c>
      <c r="V172" s="6">
        <v>446923.95604736847</v>
      </c>
      <c r="X172" s="6">
        <v>32606.488000000001</v>
      </c>
      <c r="Y172" s="6">
        <v>3705.3519999999999</v>
      </c>
      <c r="Z172" s="6">
        <v>4298.6959999999999</v>
      </c>
      <c r="AA172" s="6">
        <v>29935.423999999999</v>
      </c>
      <c r="AC172" s="6">
        <f t="shared" si="358"/>
        <v>70545.960000000006</v>
      </c>
      <c r="AE172" s="4">
        <v>7.848590999999999</v>
      </c>
      <c r="AH172" s="6">
        <v>30277.815999999999</v>
      </c>
      <c r="AK172" s="6">
        <v>30277.815999999999</v>
      </c>
      <c r="AL172" s="5">
        <v>56.699150000000003</v>
      </c>
      <c r="AN172" s="6">
        <v>2692513.7919999999</v>
      </c>
      <c r="AO172" s="6">
        <v>18020785.903999999</v>
      </c>
      <c r="AP172" s="6">
        <v>78203.551999999996</v>
      </c>
      <c r="AQ172" s="6">
        <v>302432.71999999997</v>
      </c>
      <c r="AR172" s="6">
        <v>898976.10400000005</v>
      </c>
      <c r="AS172" s="6">
        <v>937151.28800000006</v>
      </c>
      <c r="AT172" s="6">
        <v>22930063.359999996</v>
      </c>
      <c r="AU172" s="4">
        <v>4.762921045133127</v>
      </c>
      <c r="AW172" s="6">
        <v>15206677.232000001</v>
      </c>
      <c r="AX172" s="4">
        <v>0.8175983359360619</v>
      </c>
      <c r="BA172" s="5">
        <v>65.735200000000006</v>
      </c>
      <c r="BB172" s="4">
        <v>0.40640000000000004</v>
      </c>
      <c r="BD172" s="5">
        <v>14.224</v>
      </c>
      <c r="BE172" s="5">
        <v>80.365600000000015</v>
      </c>
      <c r="BF172" s="6">
        <v>3026.931</v>
      </c>
      <c r="BH172" s="6">
        <v>84077.047999999995</v>
      </c>
      <c r="BI172" s="6">
        <v>3629.152</v>
      </c>
      <c r="BK172" s="6">
        <v>11866.88</v>
      </c>
      <c r="BL172" s="2">
        <v>5.08</v>
      </c>
      <c r="BM172" s="6">
        <v>1687.576</v>
      </c>
      <c r="BN172" s="6">
        <v>9920.2240000000002</v>
      </c>
      <c r="BO172" s="6">
        <v>111185.96</v>
      </c>
      <c r="BP172" s="2">
        <v>640</v>
      </c>
      <c r="BQ172" s="6">
        <v>107923.14784000002</v>
      </c>
      <c r="BS172" s="2">
        <v>6</v>
      </c>
      <c r="BV172" s="15">
        <v>6</v>
      </c>
      <c r="BW172" s="4">
        <v>6.666666666666667</v>
      </c>
      <c r="BZ172" s="6">
        <v>1787.144</v>
      </c>
      <c r="CA172" s="6">
        <v>12926.567999999999</v>
      </c>
      <c r="CB172" s="6">
        <v>1171.4480000000001</v>
      </c>
      <c r="CC172" s="6">
        <v>3552.9520000000002</v>
      </c>
      <c r="CD172" s="6">
        <v>3491586.6159999999</v>
      </c>
      <c r="CE172" s="6">
        <v>943318.40800000005</v>
      </c>
      <c r="CG172" s="6">
        <v>4454343.1359999999</v>
      </c>
      <c r="CH172" s="4">
        <v>2.5</v>
      </c>
      <c r="CJ172" s="6">
        <v>3769.36</v>
      </c>
      <c r="CK172" s="6">
        <v>1604.2640000000001</v>
      </c>
      <c r="CN172" s="5">
        <v>70.103999999999999</v>
      </c>
      <c r="CO172" s="6">
        <v>54874.16</v>
      </c>
      <c r="CP172" s="6">
        <v>1447.8</v>
      </c>
      <c r="CQ172" s="6">
        <v>3908.5520000000001</v>
      </c>
      <c r="CR172" s="6">
        <v>65674.240000000005</v>
      </c>
      <c r="CS172" s="5">
        <v>25.001200000000001</v>
      </c>
      <c r="DD172" s="6">
        <v>58438.288</v>
      </c>
      <c r="DE172" s="6">
        <v>239641.88800000001</v>
      </c>
      <c r="DG172" s="6">
        <v>13246.608</v>
      </c>
      <c r="DI172" s="6">
        <v>1766.8240000000001</v>
      </c>
      <c r="DK172" s="6">
        <v>313093.60800000001</v>
      </c>
      <c r="DL172" s="15">
        <v>196.79</v>
      </c>
      <c r="DM172" s="6">
        <v>310546.38932000002</v>
      </c>
      <c r="DO172" s="6">
        <v>35331.4</v>
      </c>
      <c r="DP172" s="6">
        <v>252134.62400000001</v>
      </c>
      <c r="DR172" s="6">
        <v>35067.24</v>
      </c>
      <c r="DS172" s="5">
        <v>35.56</v>
      </c>
      <c r="DV172" s="6">
        <v>322568.82400000002</v>
      </c>
      <c r="DW172" s="15">
        <v>222.76</v>
      </c>
      <c r="DX172" s="6">
        <v>303877.47200000001</v>
      </c>
      <c r="DZ172" s="15">
        <v>879.22099999999989</v>
      </c>
      <c r="EA172" s="15">
        <v>226.34549600000003</v>
      </c>
      <c r="EC172" s="6">
        <v>894.91200000000003</v>
      </c>
      <c r="ED172" s="15">
        <v>192.56247999999999</v>
      </c>
      <c r="EE172" s="5">
        <v>14.124629080118693</v>
      </c>
      <c r="EF172" s="6">
        <v>2207.1656050801184</v>
      </c>
      <c r="EG172" s="6">
        <v>2196</v>
      </c>
      <c r="EI172" s="15">
        <v>669.42</v>
      </c>
      <c r="EJ172" s="15">
        <v>121.75714285714285</v>
      </c>
      <c r="EL172" s="2">
        <v>322</v>
      </c>
      <c r="EM172" s="6">
        <v>1113.1771428571428</v>
      </c>
      <c r="EN172" s="6">
        <v>17636.188055909526</v>
      </c>
      <c r="EO172" s="6">
        <v>1211.699105635</v>
      </c>
      <c r="EZ172" s="15">
        <v>154.43200000000002</v>
      </c>
      <c r="FA172" s="4">
        <v>2.032</v>
      </c>
      <c r="FC172" s="6">
        <v>7912.6080000000002</v>
      </c>
      <c r="FE172" s="15">
        <v>32.512</v>
      </c>
      <c r="FF172" s="6">
        <v>8101.5839999999998</v>
      </c>
      <c r="FG172" s="15">
        <v>146.05054308922848</v>
      </c>
      <c r="FI172" s="6">
        <v>537.46400000000006</v>
      </c>
      <c r="FJ172" s="200"/>
      <c r="FK172" s="200"/>
      <c r="FL172" s="200"/>
      <c r="FM172" s="15">
        <f t="shared" si="365"/>
        <v>537.46400000000006</v>
      </c>
      <c r="FN172" s="5">
        <v>76.789400000000001</v>
      </c>
      <c r="FY172" s="4">
        <v>0.47202516733601063</v>
      </c>
      <c r="FZ172" s="3">
        <v>1.8881006693440425E-2</v>
      </c>
      <c r="GA172" s="202"/>
      <c r="GB172" s="5">
        <v>0.49090617402945108</v>
      </c>
      <c r="GC172" s="6">
        <v>1455.4269999999999</v>
      </c>
      <c r="GQ172" s="6">
        <v>2269.7440000000001</v>
      </c>
      <c r="GR172" s="15">
        <v>88.391999999999996</v>
      </c>
      <c r="GS172" s="6">
        <v>928082.47200000007</v>
      </c>
      <c r="GT172" s="6">
        <v>930440.60800000012</v>
      </c>
      <c r="GU172" s="4">
        <v>5.4651397013660343</v>
      </c>
      <c r="GW172" s="4">
        <v>0.12440000000000001</v>
      </c>
      <c r="GX172" s="86">
        <v>9.4419600000000006E-2</v>
      </c>
      <c r="GY172" s="88">
        <v>1.6172000000000002E-4</v>
      </c>
      <c r="GZ172" s="85">
        <v>1.4554800000000001E-3</v>
      </c>
      <c r="HA172" s="85">
        <v>1.6172000000000001E-3</v>
      </c>
      <c r="HO172" s="17"/>
      <c r="HP172" s="17"/>
      <c r="HV172" s="5">
        <v>88.391999999999996</v>
      </c>
      <c r="HW172" s="5">
        <v>24.384</v>
      </c>
      <c r="HY172" s="15">
        <v>147.49881600000001</v>
      </c>
      <c r="HZ172" s="15">
        <f t="shared" si="363"/>
        <v>260.27481599999999</v>
      </c>
      <c r="IA172" s="15">
        <v>111.49680726131068</v>
      </c>
      <c r="ID172" s="4">
        <v>0.16653612337727308</v>
      </c>
      <c r="IF172" s="15">
        <v>891.3402353550124</v>
      </c>
      <c r="II172" s="5">
        <v>10.47295254529767</v>
      </c>
      <c r="IJ172" s="15">
        <v>901.97972402368725</v>
      </c>
      <c r="IK172" s="6">
        <v>2777.0336637199753</v>
      </c>
      <c r="IN172" s="4">
        <v>7.5785969839999998</v>
      </c>
      <c r="IP172" s="4">
        <v>7.5785969839999998</v>
      </c>
      <c r="IQ172" s="6">
        <v>12067.470807106829</v>
      </c>
      <c r="IW172" s="15">
        <v>265.17599999999999</v>
      </c>
      <c r="IX172" s="16">
        <v>38.608000000000004</v>
      </c>
      <c r="IZ172" s="15">
        <v>303.78399999999999</v>
      </c>
      <c r="JB172" s="5">
        <v>98.552000000000007</v>
      </c>
      <c r="JD172" s="5">
        <v>98.552000000000007</v>
      </c>
      <c r="JE172" s="5">
        <v>30.798884514435695</v>
      </c>
      <c r="JG172" s="15">
        <v>69.087999999999994</v>
      </c>
      <c r="JI172" s="5">
        <v>16.761232051875869</v>
      </c>
      <c r="JJ172" s="6">
        <v>1211.0720000000001</v>
      </c>
      <c r="JK172" s="5">
        <v>45.050335570469798</v>
      </c>
      <c r="JL172" s="4">
        <v>2.4507213443957085</v>
      </c>
      <c r="JR172" s="6">
        <v>116496.30752</v>
      </c>
      <c r="JS172" s="4">
        <v>55.2</v>
      </c>
      <c r="JT172" s="4">
        <v>4.1680484157546287</v>
      </c>
      <c r="JV172" s="6">
        <v>117776.46752000001</v>
      </c>
      <c r="JW172" s="4">
        <v>4.1680484157546287</v>
      </c>
      <c r="JX172" s="6">
        <v>108000</v>
      </c>
      <c r="JY172" s="2">
        <v>8</v>
      </c>
      <c r="KE172" s="5">
        <v>20.421600000000002</v>
      </c>
      <c r="KF172" s="4">
        <v>91.840796019900495</v>
      </c>
      <c r="KG172" s="5">
        <v>19.185568221882711</v>
      </c>
      <c r="KI172" s="6">
        <v>20.421600000000002</v>
      </c>
      <c r="KJ172" s="5">
        <v>19.185568221882711</v>
      </c>
      <c r="KL172" s="6">
        <v>17301.464</v>
      </c>
      <c r="KN172" s="15">
        <v>112.22506950856875</v>
      </c>
      <c r="KO172" s="6">
        <v>54866.031999999999</v>
      </c>
      <c r="KP172" s="5">
        <v>96.777897114921672</v>
      </c>
      <c r="KQ172" s="5">
        <v>71.889981035989621</v>
      </c>
      <c r="KY172" s="5">
        <v>631.35255999999993</v>
      </c>
      <c r="KZ172" s="4">
        <v>96.517597077613829</v>
      </c>
      <c r="LA172" s="5">
        <v>24.845151495069572</v>
      </c>
      <c r="LC172" s="6">
        <v>72798.848559999999</v>
      </c>
      <c r="LD172" s="5">
        <v>24.845151495069572</v>
      </c>
      <c r="LE172" s="6">
        <v>90000</v>
      </c>
      <c r="LF172" s="2">
        <v>85.3</v>
      </c>
      <c r="LL172" s="6">
        <v>17301.464</v>
      </c>
      <c r="LN172" s="5">
        <v>112.22506950856875</v>
      </c>
      <c r="LO172" s="6">
        <v>67389.248000000007</v>
      </c>
      <c r="LP172" s="5">
        <v>66.647883999613356</v>
      </c>
      <c r="LQ172" s="5">
        <v>17.864303812976218</v>
      </c>
      <c r="LY172" s="6">
        <v>4698.2380000000003</v>
      </c>
      <c r="LZ172" s="4">
        <v>65.677028707357948</v>
      </c>
      <c r="MA172" s="5">
        <v>10.486814418511791</v>
      </c>
      <c r="MC172" s="6">
        <v>89388.95</v>
      </c>
      <c r="MD172" s="6">
        <v>101000</v>
      </c>
      <c r="ME172" s="2">
        <v>26.2</v>
      </c>
      <c r="MG172" s="15">
        <v>147.32</v>
      </c>
      <c r="MI172" s="5">
        <v>81.591094216671195</v>
      </c>
      <c r="MJ172" s="15">
        <v>40.64</v>
      </c>
      <c r="MK172" s="5">
        <v>95</v>
      </c>
      <c r="ML172" s="5">
        <v>68.503937007874015</v>
      </c>
      <c r="MN172" s="5">
        <v>245.83136000000002</v>
      </c>
      <c r="MO172" s="4">
        <v>6.4186229128781607</v>
      </c>
      <c r="MP172" s="5">
        <v>37.908914468845637</v>
      </c>
      <c r="MQ172" s="15">
        <v>433.79136</v>
      </c>
      <c r="MR172" s="5">
        <v>55.61014401024493</v>
      </c>
      <c r="MV172" s="2">
        <v>400</v>
      </c>
      <c r="NI172" s="4">
        <v>0.12192</v>
      </c>
      <c r="NJ172" s="4">
        <v>0.12192</v>
      </c>
      <c r="NK172" s="6">
        <v>4422.4104136366277</v>
      </c>
    </row>
    <row r="173" spans="1:375" x14ac:dyDescent="0.25">
      <c r="A173" s="2">
        <v>1961</v>
      </c>
      <c r="B173" s="6">
        <v>2014.8446000000001</v>
      </c>
      <c r="C173" s="15">
        <v>374.25740000000002</v>
      </c>
      <c r="D173" s="15">
        <v>815.72190000000001</v>
      </c>
      <c r="E173" s="15">
        <v>836.12350000000004</v>
      </c>
      <c r="F173" s="4">
        <v>1.7104999999999999</v>
      </c>
      <c r="G173" s="6">
        <v>27077.463800000001</v>
      </c>
      <c r="H173" s="6">
        <v>2352.5594999999998</v>
      </c>
      <c r="I173" s="6">
        <v>33472.681200000006</v>
      </c>
      <c r="J173" s="15">
        <v>996.78456591639872</v>
      </c>
      <c r="K173" s="6">
        <v>32464.676397000003</v>
      </c>
      <c r="M173" s="6">
        <v>120754.80010000001</v>
      </c>
      <c r="N173" s="6">
        <v>231631.4627</v>
      </c>
      <c r="O173" s="5">
        <v>20.152799999999999</v>
      </c>
      <c r="P173" s="6">
        <v>44660.315300000002</v>
      </c>
      <c r="R173" s="6">
        <v>6591.582800000001</v>
      </c>
      <c r="S173" s="6">
        <v>2555.8602000000001</v>
      </c>
      <c r="T173" s="6">
        <v>406214.17390000005</v>
      </c>
      <c r="U173" s="5">
        <v>26.429840000000002</v>
      </c>
      <c r="V173" s="6">
        <v>387910.56353157898</v>
      </c>
      <c r="X173" s="6">
        <v>40640</v>
      </c>
      <c r="Y173" s="6">
        <v>2475.9920000000002</v>
      </c>
      <c r="Z173" s="6">
        <v>3595.6240000000003</v>
      </c>
      <c r="AC173" s="6">
        <f t="shared" si="358"/>
        <v>46711.616000000002</v>
      </c>
      <c r="AE173" s="4">
        <v>8.4825499999999998</v>
      </c>
      <c r="AH173" s="6">
        <v>29939.488000000001</v>
      </c>
      <c r="AK173" s="6">
        <v>29939.488000000001</v>
      </c>
      <c r="AL173" s="5">
        <v>56.699150000000003</v>
      </c>
      <c r="AN173" s="6">
        <v>2826680.656</v>
      </c>
      <c r="AO173" s="6">
        <v>19325137.879999999</v>
      </c>
      <c r="AP173" s="6">
        <v>67424.808000000005</v>
      </c>
      <c r="AQ173" s="6">
        <v>259921.24799999999</v>
      </c>
      <c r="AR173" s="6">
        <v>1132998.496</v>
      </c>
      <c r="AS173" s="6">
        <v>777991.84</v>
      </c>
      <c r="AT173" s="6">
        <v>24390154.927999996</v>
      </c>
      <c r="AU173" s="2">
        <v>8.01</v>
      </c>
      <c r="AW173" s="6">
        <v>16539685.488</v>
      </c>
      <c r="AX173" s="4">
        <v>0.9337172368870158</v>
      </c>
      <c r="BA173" s="5">
        <v>65.938400000000001</v>
      </c>
      <c r="BB173" s="4">
        <v>0.40640000000000004</v>
      </c>
      <c r="BD173" s="5">
        <v>17.271999999999998</v>
      </c>
      <c r="BE173" s="5">
        <v>83.616800000000012</v>
      </c>
      <c r="BF173" s="6">
        <v>2928.712</v>
      </c>
      <c r="BH173" s="6">
        <v>67657.471999999994</v>
      </c>
      <c r="BI173" s="6">
        <v>3566.16</v>
      </c>
      <c r="BJ173" s="4">
        <v>8.1280000000000001</v>
      </c>
      <c r="BK173" s="6">
        <v>12892.023999999999</v>
      </c>
      <c r="BL173" s="4">
        <v>2.032</v>
      </c>
      <c r="BM173" s="6">
        <v>2241.2959999999998</v>
      </c>
      <c r="BN173" s="6">
        <v>10822.432000000001</v>
      </c>
      <c r="BO173" s="6">
        <v>97189.543999999994</v>
      </c>
      <c r="BP173" s="2">
        <v>603</v>
      </c>
      <c r="BQ173" s="6">
        <v>95821.767472000007</v>
      </c>
      <c r="BV173" s="15"/>
      <c r="BZ173" s="6">
        <v>1773.9359999999999</v>
      </c>
      <c r="CA173" s="6">
        <v>20062.952000000001</v>
      </c>
      <c r="CB173" s="15">
        <v>701.04</v>
      </c>
      <c r="CC173" s="6">
        <v>2345.944</v>
      </c>
      <c r="CD173" s="6">
        <v>4055204.4879999999</v>
      </c>
      <c r="CE173" s="6">
        <v>1381300.7679999999</v>
      </c>
      <c r="CG173" s="6">
        <v>5461389.1279999996</v>
      </c>
      <c r="CH173" s="4">
        <v>2.5</v>
      </c>
      <c r="CJ173" s="6">
        <v>2504.44</v>
      </c>
      <c r="CK173" s="15">
        <v>897.12800000000004</v>
      </c>
      <c r="CN173" s="15">
        <v>299.72000000000003</v>
      </c>
      <c r="CO173" s="6">
        <v>85621.368000000002</v>
      </c>
      <c r="CP173" s="6">
        <v>109.72800000000001</v>
      </c>
      <c r="CQ173" s="6">
        <v>3122.1680000000001</v>
      </c>
      <c r="CR173" s="6">
        <v>92554.552000000011</v>
      </c>
      <c r="CS173" s="5">
        <v>23.215399999999999</v>
      </c>
      <c r="DD173" s="6">
        <v>46004.480000000003</v>
      </c>
      <c r="DE173" s="6">
        <v>215065.864</v>
      </c>
      <c r="DG173" s="6">
        <v>12449.048000000001</v>
      </c>
      <c r="DI173" s="15">
        <v>439.928</v>
      </c>
      <c r="DJ173" s="5">
        <v>11.176</v>
      </c>
      <c r="DK173" s="6">
        <v>273970.49599999998</v>
      </c>
      <c r="DL173" s="15">
        <v>195.51</v>
      </c>
      <c r="DM173" s="6">
        <v>271655.41638666665</v>
      </c>
      <c r="DO173" s="6">
        <v>33750.504000000001</v>
      </c>
      <c r="DP173" s="6">
        <v>241639.34400000001</v>
      </c>
      <c r="DR173" s="6">
        <v>40733.472000000002</v>
      </c>
      <c r="DS173" s="5">
        <v>12.192</v>
      </c>
      <c r="DV173" s="6">
        <v>316135.51199999999</v>
      </c>
      <c r="DW173" s="15">
        <v>202.49</v>
      </c>
      <c r="DX173" s="6">
        <v>306230.52799999999</v>
      </c>
      <c r="DZ173" s="6">
        <v>1341.3232</v>
      </c>
      <c r="EA173" s="15">
        <v>175.85537600000004</v>
      </c>
      <c r="EC173" s="6">
        <v>1007.5119999999999</v>
      </c>
      <c r="ED173" s="15">
        <v>234.69600000000003</v>
      </c>
      <c r="EE173" s="5">
        <v>3.7388724035608307</v>
      </c>
      <c r="EF173" s="6">
        <v>2763.1254484035608</v>
      </c>
      <c r="EG173" s="6">
        <v>2450</v>
      </c>
      <c r="EI173" s="15">
        <v>873.48</v>
      </c>
      <c r="EJ173" s="15">
        <v>121.75714285714285</v>
      </c>
      <c r="EL173" s="15">
        <v>343.03500000000003</v>
      </c>
      <c r="EM173" s="6">
        <v>1338.2721428571429</v>
      </c>
      <c r="EN173" s="6">
        <v>19880.474082335415</v>
      </c>
      <c r="EO173" s="6">
        <v>1351.1055218879999</v>
      </c>
      <c r="EZ173" s="15">
        <v>117.85599999999999</v>
      </c>
      <c r="FC173" s="6">
        <v>6756.4000000000005</v>
      </c>
      <c r="FE173" s="15">
        <v>24.384</v>
      </c>
      <c r="FF173" s="6">
        <v>6898.64</v>
      </c>
      <c r="FG173" s="15">
        <v>666.99630000000002</v>
      </c>
      <c r="FI173" s="200"/>
      <c r="FJ173" s="200"/>
      <c r="FK173" s="200"/>
      <c r="FL173" s="200"/>
      <c r="FN173" s="5">
        <v>62.503</v>
      </c>
      <c r="FY173" s="4">
        <v>0.89684781793842017</v>
      </c>
      <c r="FZ173" s="5">
        <v>2.2373992931726905</v>
      </c>
      <c r="GA173" s="202"/>
      <c r="GB173" s="5">
        <v>3.1342471111111103</v>
      </c>
      <c r="GC173" s="6">
        <v>1321.492</v>
      </c>
      <c r="GE173" s="4">
        <v>0.12941591178859252</v>
      </c>
      <c r="GK173" s="4">
        <f t="shared" si="355"/>
        <v>0.12941591178859252</v>
      </c>
      <c r="GL173" s="6">
        <v>2884.067</v>
      </c>
      <c r="GQ173" s="6">
        <v>4835.1440000000002</v>
      </c>
      <c r="GR173" s="15">
        <v>116.84</v>
      </c>
      <c r="GS173" s="6">
        <v>679546.52</v>
      </c>
      <c r="GT173" s="6">
        <v>684498.50400000007</v>
      </c>
      <c r="GU173" s="4">
        <v>5.3987734437494375</v>
      </c>
      <c r="GW173" s="3">
        <v>6.2200000000000005E-2</v>
      </c>
      <c r="GX173" s="86">
        <v>4.7209800000000003E-2</v>
      </c>
      <c r="GY173" s="88">
        <v>8.0860000000000008E-5</v>
      </c>
      <c r="GZ173" s="85">
        <v>7.2774000000000005E-4</v>
      </c>
      <c r="HA173" s="85">
        <v>8.0860000000000003E-4</v>
      </c>
      <c r="HO173" s="17"/>
      <c r="HP173" s="17"/>
      <c r="HV173" s="5">
        <v>60.959999999999994</v>
      </c>
      <c r="HW173" s="5">
        <v>93.878399999999999</v>
      </c>
      <c r="HY173" s="15">
        <v>612.76992000000007</v>
      </c>
      <c r="HZ173" s="15">
        <f t="shared" si="363"/>
        <v>767.60832000000005</v>
      </c>
      <c r="IA173" s="5">
        <v>74.008537955572194</v>
      </c>
      <c r="IC173" s="4">
        <v>1.1782754952833241</v>
      </c>
      <c r="ID173" s="3">
        <v>8.3447906314313952E-2</v>
      </c>
      <c r="IF173" s="6">
        <v>1071.2437690963909</v>
      </c>
      <c r="II173" s="5">
        <v>12.084176013805005</v>
      </c>
      <c r="IJ173" s="6">
        <v>1084.5896685117937</v>
      </c>
      <c r="IK173" s="6">
        <v>2652.0225020091084</v>
      </c>
      <c r="IN173" s="5">
        <v>10.181275039999999</v>
      </c>
      <c r="IP173" s="5">
        <v>10.181275039999999</v>
      </c>
      <c r="IQ173" s="6">
        <v>12121.931569225571</v>
      </c>
      <c r="IW173" s="15">
        <v>242.82400000000001</v>
      </c>
      <c r="IX173" s="16">
        <v>64.007999999999996</v>
      </c>
      <c r="IY173" s="4">
        <v>8.8918624693822004</v>
      </c>
      <c r="IZ173" s="15">
        <v>315.7238624693822</v>
      </c>
      <c r="JJ173" s="6">
        <v>2044.192</v>
      </c>
      <c r="JK173" s="5">
        <v>44.980119284294233</v>
      </c>
      <c r="JL173" s="4">
        <v>2.3539863183106089</v>
      </c>
      <c r="JR173" s="6">
        <v>125515.07536</v>
      </c>
      <c r="JS173" s="2">
        <v>56.21</v>
      </c>
      <c r="JT173" s="4">
        <v>4.444797156037815</v>
      </c>
      <c r="JV173" s="6">
        <v>127559.26736</v>
      </c>
      <c r="JW173" s="4">
        <v>4.444797156037815</v>
      </c>
      <c r="JX173" s="6">
        <v>169000</v>
      </c>
      <c r="JY173" s="2">
        <v>9</v>
      </c>
      <c r="KE173" s="5">
        <v>272.38960000000003</v>
      </c>
      <c r="KF173" s="4">
        <v>90.533383066020122</v>
      </c>
      <c r="KG173" s="5">
        <v>15.125761042271805</v>
      </c>
      <c r="KI173" s="6">
        <v>272.38960000000003</v>
      </c>
      <c r="KJ173" s="5">
        <v>15.125761042271805</v>
      </c>
      <c r="KL173" s="6">
        <v>14319.504000000001</v>
      </c>
      <c r="KN173" s="5">
        <v>91.719517659270878</v>
      </c>
      <c r="KO173" s="6">
        <v>67672.712</v>
      </c>
      <c r="KP173" s="5">
        <v>96.512378578828049</v>
      </c>
      <c r="KQ173" s="5">
        <v>59.849795882275266</v>
      </c>
      <c r="KY173" s="5">
        <v>561.68544000000009</v>
      </c>
      <c r="KZ173" s="4">
        <v>96.451052745821571</v>
      </c>
      <c r="LA173" s="5">
        <v>21.28086140171267</v>
      </c>
      <c r="LC173" s="6">
        <v>82553.901440000001</v>
      </c>
      <c r="LD173" s="5">
        <v>21.28086140171267</v>
      </c>
      <c r="LE173" s="6">
        <v>103000</v>
      </c>
      <c r="LF173" s="2">
        <v>63.4</v>
      </c>
      <c r="LL173" s="6">
        <v>14319.504000000001</v>
      </c>
      <c r="LN173" s="5">
        <v>91.719517659270878</v>
      </c>
      <c r="LO173" s="6">
        <v>101686.36</v>
      </c>
      <c r="LP173" s="5">
        <v>66.101882354229446</v>
      </c>
      <c r="LQ173" s="5">
        <v>17.632846725952231</v>
      </c>
      <c r="LY173" s="6">
        <v>6196.4823999999999</v>
      </c>
      <c r="LZ173" s="4">
        <v>66.234074997130634</v>
      </c>
      <c r="MA173" s="5">
        <v>9.8948881061939264</v>
      </c>
      <c r="MC173" s="6">
        <v>122202.34639999999</v>
      </c>
      <c r="MD173" s="6">
        <v>134000</v>
      </c>
      <c r="ME173" s="2">
        <v>24.6</v>
      </c>
      <c r="MG173" s="15">
        <v>101.6</v>
      </c>
      <c r="MI173" s="5">
        <v>71.79133858267717</v>
      </c>
      <c r="MJ173" s="15">
        <v>156.464</v>
      </c>
      <c r="MK173" s="5">
        <v>93.571428571428569</v>
      </c>
      <c r="ML173" s="5">
        <v>55.386542591267002</v>
      </c>
      <c r="MN173" s="6">
        <v>1021.2832000000001</v>
      </c>
      <c r="MO173" s="4">
        <v>6.6998360493935474</v>
      </c>
      <c r="MP173" s="5">
        <v>25.162902904894548</v>
      </c>
      <c r="MQ173" s="6">
        <v>1279.3472000000002</v>
      </c>
      <c r="MR173" s="5">
        <v>32.562270820618508</v>
      </c>
      <c r="MV173" s="6">
        <v>1600</v>
      </c>
      <c r="MW173" s="2">
        <v>61.1</v>
      </c>
      <c r="NG173" s="4">
        <v>0.2731833439172639</v>
      </c>
      <c r="NH173" s="6">
        <v>2712.8301065984792</v>
      </c>
      <c r="NI173" s="4">
        <v>0.13208</v>
      </c>
      <c r="NJ173" s="4">
        <v>0.40526334391726393</v>
      </c>
      <c r="NK173" s="6">
        <v>4558.9396072013096</v>
      </c>
    </row>
    <row r="174" spans="1:375" x14ac:dyDescent="0.25">
      <c r="A174" s="2">
        <v>1962</v>
      </c>
      <c r="B174" s="6">
        <v>2106.3719000000001</v>
      </c>
      <c r="C174" s="15">
        <v>349.37740000000002</v>
      </c>
      <c r="D174" s="15">
        <v>878.94820000000004</v>
      </c>
      <c r="E174" s="15">
        <v>998.77650000000006</v>
      </c>
      <c r="F174" s="4">
        <v>1.4928000000000001</v>
      </c>
      <c r="G174" s="6">
        <v>26747.212900000002</v>
      </c>
      <c r="H174" s="6">
        <v>2158.6509999999998</v>
      </c>
      <c r="I174" s="6">
        <v>33240.830699999999</v>
      </c>
      <c r="J174" s="15">
        <v>996.78456591639872</v>
      </c>
      <c r="K174" s="6">
        <v>32570.529445499986</v>
      </c>
      <c r="M174" s="6">
        <v>174175.61220000003</v>
      </c>
      <c r="N174" s="6">
        <v>308797.46690000006</v>
      </c>
      <c r="O174" s="5">
        <v>14.679200000000002</v>
      </c>
      <c r="P174" s="6">
        <v>52871.648300000008</v>
      </c>
      <c r="R174" s="6">
        <v>6791.182600000001</v>
      </c>
      <c r="S174" s="6">
        <v>3269.2009000000003</v>
      </c>
      <c r="T174" s="6">
        <v>545919.79009999998</v>
      </c>
      <c r="U174" s="5">
        <v>31.2515</v>
      </c>
      <c r="V174" s="6">
        <v>529854.51515157893</v>
      </c>
      <c r="X174" s="6">
        <v>20227.544000000002</v>
      </c>
      <c r="Y174" s="6">
        <v>5308.6</v>
      </c>
      <c r="Z174" s="6">
        <v>4483.6080000000002</v>
      </c>
      <c r="AC174" s="6">
        <f t="shared" si="358"/>
        <v>30019.752</v>
      </c>
      <c r="AE174" s="5">
        <v>10.17906</v>
      </c>
      <c r="AH174" s="115">
        <v>50000</v>
      </c>
      <c r="AK174" s="6">
        <v>50000</v>
      </c>
      <c r="AL174" s="5">
        <v>52.32394</v>
      </c>
      <c r="AN174" s="6">
        <v>2843622.4560000002</v>
      </c>
      <c r="AO174" s="6">
        <v>19612272.688000001</v>
      </c>
      <c r="AP174" s="6">
        <v>57628.536</v>
      </c>
      <c r="AQ174" s="6">
        <v>276699.47200000001</v>
      </c>
      <c r="AR174" s="6">
        <v>1414358.36</v>
      </c>
      <c r="AS174" s="6">
        <v>933817.79200000002</v>
      </c>
      <c r="AT174" s="6">
        <v>25138399.303999998</v>
      </c>
      <c r="AU174" s="2">
        <v>7.77</v>
      </c>
      <c r="AW174" s="6">
        <v>17411637.008000001</v>
      </c>
      <c r="AX174" s="4">
        <v>0.82342286330760373</v>
      </c>
      <c r="BA174" s="5">
        <v>77.724000000000004</v>
      </c>
      <c r="BB174" s="4">
        <v>1.1176000000000001</v>
      </c>
      <c r="BD174" s="5">
        <v>14.803059040000001</v>
      </c>
      <c r="BE174" s="5">
        <v>93.644659039999993</v>
      </c>
      <c r="BF174" s="6">
        <v>2866.2089999999998</v>
      </c>
      <c r="BH174" s="6">
        <v>80509.872000000003</v>
      </c>
      <c r="BI174" s="6">
        <v>3806.9520000000002</v>
      </c>
      <c r="BJ174" s="5">
        <v>10.16</v>
      </c>
      <c r="BK174" s="6">
        <v>14747.24</v>
      </c>
      <c r="BL174" s="4">
        <v>2.032</v>
      </c>
      <c r="BM174" s="6">
        <v>1511.808</v>
      </c>
      <c r="BN174" s="6">
        <v>8095.4880000000003</v>
      </c>
      <c r="BO174" s="6">
        <v>108683.552</v>
      </c>
      <c r="BP174" s="2">
        <v>600</v>
      </c>
      <c r="BQ174" s="6">
        <v>106836.61856799998</v>
      </c>
      <c r="BV174" s="15"/>
      <c r="BZ174" s="6">
        <v>2374.3919999999998</v>
      </c>
      <c r="CA174" s="6">
        <v>19821.144</v>
      </c>
      <c r="CB174" s="5">
        <v>82.296000000000006</v>
      </c>
      <c r="CC174" s="6">
        <v>4147.3119999999999</v>
      </c>
      <c r="CD174" s="6">
        <v>3566429.24</v>
      </c>
      <c r="CE174" s="6">
        <v>1453644.0320000001</v>
      </c>
      <c r="CG174" s="6">
        <v>5046498.4160000002</v>
      </c>
      <c r="CH174" s="4">
        <v>2.1641987095610995</v>
      </c>
      <c r="CJ174" s="6">
        <v>2926.08</v>
      </c>
      <c r="CK174" s="15">
        <v>592.32799999999997</v>
      </c>
      <c r="CO174" s="6">
        <v>68956.936000000002</v>
      </c>
      <c r="CP174" s="6">
        <v>323.08800000000002</v>
      </c>
      <c r="CQ174" s="6">
        <v>3659.6320000000001</v>
      </c>
      <c r="CR174" s="6">
        <v>76458.063999999998</v>
      </c>
      <c r="CS174" s="5">
        <v>27.6799</v>
      </c>
      <c r="DD174" s="6">
        <v>63671.703999999998</v>
      </c>
      <c r="DE174" s="6">
        <v>297059.09600000002</v>
      </c>
      <c r="DG174" s="6">
        <v>14990.064</v>
      </c>
      <c r="DI174" s="15">
        <v>310.89600000000002</v>
      </c>
      <c r="DK174" s="6">
        <v>376031.76000000007</v>
      </c>
      <c r="DL174" s="15">
        <v>161.62</v>
      </c>
      <c r="DM174" s="6">
        <v>373763.10989333334</v>
      </c>
      <c r="DO174" s="6">
        <v>45419.264000000003</v>
      </c>
      <c r="DP174" s="6">
        <v>248780.80799999999</v>
      </c>
      <c r="DR174" s="6">
        <v>48684.688000000002</v>
      </c>
      <c r="DS174" s="5">
        <v>47.752000000000002</v>
      </c>
      <c r="DV174" s="6">
        <v>342932.51199999999</v>
      </c>
      <c r="DW174" s="15">
        <v>196.79</v>
      </c>
      <c r="DX174" s="6">
        <v>321483.73599999998</v>
      </c>
      <c r="DZ174" s="6">
        <v>1070.0004000000001</v>
      </c>
      <c r="EA174" s="15">
        <v>215.40114399999999</v>
      </c>
      <c r="EB174" s="15">
        <v>7.2644000000000002</v>
      </c>
      <c r="EC174" s="6">
        <v>1524</v>
      </c>
      <c r="ED174" s="15">
        <v>328.64552000000003</v>
      </c>
      <c r="EE174" s="5">
        <v>26.587537091988128</v>
      </c>
      <c r="EF174" s="6">
        <v>3171.8990010919883</v>
      </c>
      <c r="EG174" s="6">
        <v>2470</v>
      </c>
      <c r="EI174" s="15">
        <v>907.3</v>
      </c>
      <c r="EL174" s="15">
        <v>368.95499999999998</v>
      </c>
      <c r="EM174" s="6">
        <v>1276.2550000000001</v>
      </c>
      <c r="EN174" s="6">
        <v>17305.065511142238</v>
      </c>
      <c r="EO174" s="6">
        <v>1288.8000000000002</v>
      </c>
      <c r="EZ174" s="5">
        <v>67.055999999999997</v>
      </c>
      <c r="FC174" s="6">
        <v>9291.32</v>
      </c>
      <c r="FF174" s="6">
        <v>9358.3760000000002</v>
      </c>
      <c r="FG174" s="15">
        <v>684.85429999999997</v>
      </c>
      <c r="FI174" s="6">
        <v>374.904</v>
      </c>
      <c r="FJ174" s="200"/>
      <c r="FK174" s="200"/>
      <c r="FL174" s="200"/>
      <c r="FM174" s="15">
        <f t="shared" si="365"/>
        <v>374.904</v>
      </c>
      <c r="FN174" s="15">
        <v>111.6125</v>
      </c>
      <c r="FY174" s="5">
        <v>1.0856578848728244</v>
      </c>
      <c r="FZ174" s="5">
        <v>2.4262093601070949</v>
      </c>
      <c r="GA174" s="202"/>
      <c r="GB174" s="5">
        <v>3.5118672449799191</v>
      </c>
      <c r="GC174" s="6">
        <v>1062.5509999999999</v>
      </c>
      <c r="GE174" s="4">
        <v>0.64707955894296243</v>
      </c>
      <c r="GK174" s="4">
        <f t="shared" si="355"/>
        <v>0.64707955894296243</v>
      </c>
      <c r="GL174" s="6">
        <v>2955.4990000000003</v>
      </c>
      <c r="GQ174" s="6">
        <v>4386.0720000000001</v>
      </c>
      <c r="GR174" s="15">
        <v>69.087999999999994</v>
      </c>
      <c r="GS174" s="6">
        <v>704018.91200000001</v>
      </c>
      <c r="GT174" s="6">
        <v>708474.07200000004</v>
      </c>
      <c r="GU174" s="4">
        <v>5.210956468691446</v>
      </c>
      <c r="GW174" s="3">
        <v>6.2200000000000005E-2</v>
      </c>
      <c r="GX174" s="86">
        <v>4.7209800000000003E-2</v>
      </c>
      <c r="GY174" s="88">
        <v>8.0860000000000008E-5</v>
      </c>
      <c r="GZ174" s="85">
        <v>7.2774000000000005E-4</v>
      </c>
      <c r="HA174" s="85">
        <v>8.0860000000000003E-4</v>
      </c>
      <c r="HO174" s="17"/>
      <c r="HP174" s="17"/>
      <c r="HV174" s="5">
        <v>37.795200000000001</v>
      </c>
      <c r="HW174" s="5">
        <v>88.391999999999996</v>
      </c>
      <c r="HY174" s="15">
        <v>579.21143999999993</v>
      </c>
      <c r="HZ174" s="15">
        <f t="shared" si="363"/>
        <v>705.39863999999989</v>
      </c>
      <c r="IA174" s="5">
        <v>86.965498755870357</v>
      </c>
      <c r="IC174" s="4">
        <v>1.1782754952833241</v>
      </c>
      <c r="IF174" s="6">
        <v>1117.3878572962901</v>
      </c>
      <c r="IH174" s="4">
        <v>3.9562664253937032</v>
      </c>
      <c r="II174" s="5">
        <v>9.6753969283865402</v>
      </c>
      <c r="IJ174" s="6">
        <v>1132.1977961453538</v>
      </c>
      <c r="IK174" s="6">
        <v>2857.3979819626757</v>
      </c>
      <c r="IN174" s="5">
        <v>13.794910687999998</v>
      </c>
      <c r="IP174" s="5">
        <v>13.794910687999998</v>
      </c>
      <c r="IQ174" s="6">
        <v>22983.749702405068</v>
      </c>
      <c r="IW174" s="15">
        <v>331.21600000000001</v>
      </c>
      <c r="IX174" s="16">
        <v>16.256</v>
      </c>
      <c r="IY174" s="5">
        <v>77.590039009344096</v>
      </c>
      <c r="IZ174" s="15">
        <v>425.06203900934406</v>
      </c>
      <c r="JJ174" s="6">
        <v>4356.6080000000002</v>
      </c>
      <c r="JK174" s="5">
        <v>45.009328358208954</v>
      </c>
      <c r="JL174" s="4">
        <v>3.1092997120695731</v>
      </c>
      <c r="JR174" s="6">
        <v>209097.83935999998</v>
      </c>
      <c r="JS174" s="2">
        <v>56.09</v>
      </c>
      <c r="JT174" s="4">
        <v>4.3597085115284475</v>
      </c>
      <c r="JV174" s="6">
        <v>213454.44735999999</v>
      </c>
      <c r="JW174" s="4">
        <v>4.3597085115284475</v>
      </c>
      <c r="JX174" s="6">
        <v>182000</v>
      </c>
      <c r="JY174" s="2">
        <v>9</v>
      </c>
      <c r="KE174" s="5">
        <v>801.16679999999997</v>
      </c>
      <c r="KF174" s="4">
        <v>86.182233212859046</v>
      </c>
      <c r="KG174" s="5">
        <v>13.439173964772381</v>
      </c>
      <c r="KI174" s="6">
        <v>801.16679999999997</v>
      </c>
      <c r="KJ174" s="5">
        <v>13.439173964772381</v>
      </c>
      <c r="KL174" s="6">
        <v>16729.456000000002</v>
      </c>
      <c r="KN174" s="5">
        <v>95.235732710017572</v>
      </c>
      <c r="KO174" s="6">
        <v>81453.736000000004</v>
      </c>
      <c r="KP174" s="5">
        <v>96.327849222287355</v>
      </c>
      <c r="KQ174" s="5">
        <v>52.710363094947539</v>
      </c>
      <c r="KY174" s="5">
        <v>888.25832000000003</v>
      </c>
      <c r="KZ174" s="4">
        <v>96.221990918137408</v>
      </c>
      <c r="LA174" s="5">
        <v>22.410541564080141</v>
      </c>
      <c r="LC174" s="6">
        <v>99071.450320000004</v>
      </c>
      <c r="LD174" s="5">
        <v>22.410541564080141</v>
      </c>
      <c r="LE174" s="6">
        <v>121000</v>
      </c>
      <c r="LF174" s="2">
        <v>61.3</v>
      </c>
      <c r="LL174" s="6">
        <v>16729.456000000002</v>
      </c>
      <c r="LN174" s="5">
        <v>95.235732710017572</v>
      </c>
      <c r="LO174" s="6">
        <v>92758.767999999996</v>
      </c>
      <c r="LP174" s="5">
        <v>66.224771133906131</v>
      </c>
      <c r="LQ174" s="5">
        <v>18.249185888281744</v>
      </c>
      <c r="LY174" s="6">
        <v>4198.5895200000004</v>
      </c>
      <c r="LZ174" s="4">
        <v>66.103323194118758</v>
      </c>
      <c r="MA174" s="5">
        <v>10.561475416629916</v>
      </c>
      <c r="MC174" s="6">
        <v>113686.81352</v>
      </c>
      <c r="MD174" s="6">
        <v>132000</v>
      </c>
      <c r="ME174" s="2">
        <v>25.4</v>
      </c>
      <c r="MG174" s="15">
        <v>62.992000000000004</v>
      </c>
      <c r="MI174" s="5">
        <v>84.486918973837945</v>
      </c>
      <c r="MJ174" s="15">
        <v>147.32</v>
      </c>
      <c r="MK174" s="5">
        <v>93.793103448275858</v>
      </c>
      <c r="ML174" s="5">
        <v>66.019549280477875</v>
      </c>
      <c r="MN174" s="5">
        <v>965.35239999999999</v>
      </c>
      <c r="MO174" s="4">
        <v>6.8157448823869924</v>
      </c>
      <c r="MP174" s="5">
        <v>29.568269576995924</v>
      </c>
      <c r="MQ174" s="6">
        <v>1175.6644000000001</v>
      </c>
      <c r="MR174" s="5">
        <v>37.078438370677887</v>
      </c>
      <c r="MV174" s="2">
        <v>800</v>
      </c>
      <c r="MW174" s="5">
        <v>80</v>
      </c>
      <c r="NG174" s="3">
        <v>4.3967159575433193E-2</v>
      </c>
      <c r="NH174" s="6">
        <v>1828.637573506654</v>
      </c>
      <c r="NJ174" s="3">
        <v>4.3967159575433193E-2</v>
      </c>
      <c r="NK174" s="6">
        <v>4596.8447079023745</v>
      </c>
    </row>
    <row r="175" spans="1:375" x14ac:dyDescent="0.25">
      <c r="A175" s="2">
        <v>1963</v>
      </c>
      <c r="B175" s="6">
        <v>2133.0246000000002</v>
      </c>
      <c r="C175" s="15">
        <v>354.3845</v>
      </c>
      <c r="D175" s="15">
        <v>767.1748</v>
      </c>
      <c r="E175" s="6">
        <v>1132.7241999999999</v>
      </c>
      <c r="F175" s="4">
        <v>0.49760000000000004</v>
      </c>
      <c r="G175" s="6">
        <v>24968.946</v>
      </c>
      <c r="H175" s="6">
        <v>2488.7153000000003</v>
      </c>
      <c r="I175" s="6">
        <v>31845.467000000001</v>
      </c>
      <c r="J175" s="15">
        <v>996.78456591639872</v>
      </c>
      <c r="K175" s="6">
        <v>30798.307607999999</v>
      </c>
      <c r="M175" s="6">
        <v>192884.0349</v>
      </c>
      <c r="N175" s="6">
        <v>355313.08380000002</v>
      </c>
      <c r="O175" s="5">
        <v>16.980600000000003</v>
      </c>
      <c r="P175" s="6">
        <v>52952.477200000001</v>
      </c>
      <c r="R175" s="6">
        <v>6868.5594000000001</v>
      </c>
      <c r="S175" s="6">
        <v>2828.7316000000001</v>
      </c>
      <c r="T175" s="6">
        <v>610863.86750000005</v>
      </c>
      <c r="U175" s="5">
        <v>36.835046937863211</v>
      </c>
      <c r="V175" s="6">
        <v>597559.46100526315</v>
      </c>
      <c r="X175" s="6">
        <v>292090.85600000003</v>
      </c>
      <c r="Y175" s="6">
        <v>7469.6320000000005</v>
      </c>
      <c r="Z175" s="6">
        <v>2190.4960000000001</v>
      </c>
      <c r="AA175" s="6">
        <v>58121.296000000002</v>
      </c>
      <c r="AC175" s="6">
        <f t="shared" si="358"/>
        <v>359872.28</v>
      </c>
      <c r="AE175" s="5">
        <v>10.907465355386677</v>
      </c>
      <c r="AH175" s="6">
        <v>50682.144</v>
      </c>
      <c r="AI175" s="6">
        <v>4675.6320000000005</v>
      </c>
      <c r="AJ175" s="6"/>
      <c r="AK175" s="6">
        <v>55357.775999999998</v>
      </c>
      <c r="AL175" s="5">
        <v>54.734769999999997</v>
      </c>
      <c r="AN175" s="6">
        <v>3296065.5440000002</v>
      </c>
      <c r="AO175" s="6">
        <v>19243249.296</v>
      </c>
      <c r="AP175" s="6">
        <v>51288.696000000004</v>
      </c>
      <c r="AQ175" s="6">
        <v>210598.51200000002</v>
      </c>
      <c r="AR175" s="6">
        <v>1535906.504</v>
      </c>
      <c r="AS175" s="6">
        <v>916934.92</v>
      </c>
      <c r="AT175" s="6">
        <v>25254043.471999999</v>
      </c>
      <c r="AU175" s="2">
        <v>8.2100000000000009</v>
      </c>
      <c r="AW175" s="6">
        <v>18751948.272</v>
      </c>
      <c r="AX175" s="4">
        <v>0.91399473544793486</v>
      </c>
      <c r="BA175" s="5">
        <v>87.071200000000005</v>
      </c>
      <c r="BB175" s="4">
        <v>1.1176000000000001</v>
      </c>
      <c r="BD175" s="5">
        <v>16.148791680000002</v>
      </c>
      <c r="BE175" s="15">
        <v>104.33759168</v>
      </c>
      <c r="BF175" s="6">
        <v>2843.0934286991505</v>
      </c>
      <c r="BH175" s="6">
        <v>84552.536000000007</v>
      </c>
      <c r="BI175" s="6">
        <v>3925.8240000000001</v>
      </c>
      <c r="BJ175" s="4">
        <v>6.0960000000000001</v>
      </c>
      <c r="BK175" s="6">
        <v>17073.88</v>
      </c>
      <c r="BL175" s="2">
        <v>5.08</v>
      </c>
      <c r="BM175" s="6">
        <v>1949.704</v>
      </c>
      <c r="BN175" s="6">
        <v>7261.3519999999999</v>
      </c>
      <c r="BO175" s="6">
        <v>114774.47200000001</v>
      </c>
      <c r="BP175" s="2">
        <v>600</v>
      </c>
      <c r="BQ175" s="6">
        <v>107678.17476800001</v>
      </c>
      <c r="BV175" s="15"/>
      <c r="BZ175" s="6">
        <v>3118.1040000000003</v>
      </c>
      <c r="CA175" s="6">
        <v>15057.12</v>
      </c>
      <c r="CB175" s="15">
        <v>102.616</v>
      </c>
      <c r="CC175" s="6">
        <v>4288.5360000000001</v>
      </c>
      <c r="CD175" s="6">
        <v>4310219.4720000001</v>
      </c>
      <c r="CE175" s="6">
        <v>1354468.2080000001</v>
      </c>
      <c r="CG175" s="6">
        <v>5687254.0559999999</v>
      </c>
      <c r="CH175" s="4">
        <v>2.1803403511002499</v>
      </c>
      <c r="CJ175" s="15">
        <v>152.4</v>
      </c>
      <c r="CK175" s="15">
        <v>633.98400000000004</v>
      </c>
      <c r="CO175" s="6">
        <v>35364.928</v>
      </c>
      <c r="CP175" s="6">
        <v>196.08799999999999</v>
      </c>
      <c r="CQ175" s="6">
        <v>4165.6000000000004</v>
      </c>
      <c r="CR175" s="6">
        <v>40513</v>
      </c>
      <c r="CS175" s="5">
        <v>25.927581582476531</v>
      </c>
      <c r="DD175" s="6">
        <v>67778.376000000004</v>
      </c>
      <c r="DE175" s="6">
        <v>333717.39199999999</v>
      </c>
      <c r="DG175" s="6">
        <v>15221.712</v>
      </c>
      <c r="DI175" s="15">
        <v>138.17599999999999</v>
      </c>
      <c r="DK175" s="6">
        <v>416855.65599999996</v>
      </c>
      <c r="DL175" s="15">
        <v>166.46</v>
      </c>
      <c r="DM175" s="6">
        <v>413305.42349333334</v>
      </c>
      <c r="DO175" s="6">
        <v>37941.504000000001</v>
      </c>
      <c r="DP175" s="6">
        <v>269887.19199999998</v>
      </c>
      <c r="DR175" s="6">
        <v>49264.824000000001</v>
      </c>
      <c r="DV175" s="6">
        <v>357093.52</v>
      </c>
      <c r="DW175" s="15">
        <v>200.83</v>
      </c>
      <c r="DX175" s="6">
        <v>334788.25599999999</v>
      </c>
      <c r="DZ175" s="6">
        <v>1153.5999999999999</v>
      </c>
      <c r="EA175" s="15">
        <v>253.662688</v>
      </c>
      <c r="EB175" s="15">
        <v>9.9060000000000006</v>
      </c>
      <c r="EC175" s="6">
        <v>1452.864</v>
      </c>
      <c r="ED175" s="15">
        <v>397.68271999999996</v>
      </c>
      <c r="EE175" s="5">
        <v>23.264094955489615</v>
      </c>
      <c r="EF175" s="6">
        <v>3290.9795029554894</v>
      </c>
      <c r="EG175" s="6">
        <v>2506</v>
      </c>
      <c r="EI175" s="15">
        <v>727.96</v>
      </c>
      <c r="EL175" s="15">
        <v>360.58499999999998</v>
      </c>
      <c r="EM175" s="6">
        <v>1088.5450000000001</v>
      </c>
      <c r="EN175" s="6">
        <v>16874.913302375207</v>
      </c>
      <c r="EO175" s="6">
        <v>1082.0500000000002</v>
      </c>
      <c r="EZ175" s="5">
        <v>75.183999999999997</v>
      </c>
      <c r="FC175" s="6">
        <v>6768.5919999999996</v>
      </c>
      <c r="FF175" s="6">
        <v>6843.7759999999998</v>
      </c>
      <c r="FG175" s="15">
        <v>685.73983012963788</v>
      </c>
      <c r="FI175" s="6">
        <v>162.56</v>
      </c>
      <c r="FJ175" s="200"/>
      <c r="FK175" s="200"/>
      <c r="FL175" s="200"/>
      <c r="FM175" s="5">
        <f t="shared" si="365"/>
        <v>162.56</v>
      </c>
      <c r="FN175" s="15">
        <v>103.71032632990612</v>
      </c>
      <c r="FY175" s="4">
        <v>0.6749959892904952</v>
      </c>
      <c r="FZ175" s="5">
        <v>8.3878872235609112</v>
      </c>
      <c r="GA175" s="202"/>
      <c r="GB175" s="5">
        <v>9.062883212851407</v>
      </c>
      <c r="GC175" s="6">
        <v>1046.0438086723291</v>
      </c>
      <c r="GE175" s="4">
        <v>6.0048983069906923</v>
      </c>
      <c r="GK175" s="4">
        <f t="shared" si="355"/>
        <v>6.0048983069906923</v>
      </c>
      <c r="GL175" s="6">
        <v>2950.3799731783638</v>
      </c>
      <c r="GQ175" s="6">
        <v>4987.5439999999999</v>
      </c>
      <c r="GR175" s="15">
        <v>16.256</v>
      </c>
      <c r="GS175" s="6">
        <v>637422.14400000009</v>
      </c>
      <c r="GT175" s="6">
        <v>642425.94400000013</v>
      </c>
      <c r="GU175" s="4">
        <v>6.0756623405213839</v>
      </c>
      <c r="GW175" s="4">
        <v>0.12440000000000001</v>
      </c>
      <c r="GX175" s="86">
        <v>9.4419600000000006E-2</v>
      </c>
      <c r="GY175" s="88">
        <v>1.6172000000000002E-4</v>
      </c>
      <c r="GZ175" s="85">
        <v>1.4554800000000001E-3</v>
      </c>
      <c r="HA175" s="85">
        <v>1.6172000000000001E-3</v>
      </c>
      <c r="HO175" s="17"/>
      <c r="HP175" s="17"/>
      <c r="HV175" s="5">
        <v>32.918399999999998</v>
      </c>
      <c r="HW175" s="15">
        <v>313.94400000000002</v>
      </c>
      <c r="HY175" s="15">
        <v>639.35457599999995</v>
      </c>
      <c r="HZ175" s="15">
        <f t="shared" si="363"/>
        <v>986.21697599999993</v>
      </c>
      <c r="IA175" s="15">
        <v>119.62086443066848</v>
      </c>
      <c r="IC175" s="4">
        <v>0.1571033993711099</v>
      </c>
      <c r="IF175" s="15">
        <v>813.07051612986731</v>
      </c>
      <c r="II175" s="5">
        <v>0.72505056082830022</v>
      </c>
      <c r="IJ175" s="15">
        <v>813.9526700900667</v>
      </c>
      <c r="IK175" s="6">
        <v>2637.4608851139919</v>
      </c>
      <c r="IN175" s="4">
        <v>9.8873086479999994</v>
      </c>
      <c r="IP175" s="4">
        <v>9.8873086479999994</v>
      </c>
      <c r="IQ175" s="6">
        <v>12654.999329412491</v>
      </c>
      <c r="IW175" s="15">
        <v>316.99199999999996</v>
      </c>
      <c r="IX175" s="16">
        <v>49.783999999999999</v>
      </c>
      <c r="IY175" s="15">
        <v>127.2539236142611</v>
      </c>
      <c r="IZ175" s="15">
        <v>494.02992361426107</v>
      </c>
      <c r="JJ175" s="6">
        <v>6070.6</v>
      </c>
      <c r="JK175" s="5">
        <v>45.004184100418414</v>
      </c>
      <c r="JL175" s="4">
        <v>2.9064672355286132</v>
      </c>
      <c r="JR175" s="6">
        <v>139070.00888000001</v>
      </c>
      <c r="JS175" s="2">
        <v>55.89</v>
      </c>
      <c r="JT175" s="4">
        <v>4.9044887930404801</v>
      </c>
      <c r="JV175" s="6">
        <v>145140.60888000001</v>
      </c>
      <c r="JW175" s="4">
        <v>4.9044887930404801</v>
      </c>
      <c r="JX175" s="6">
        <v>205000</v>
      </c>
      <c r="JY175" s="2">
        <v>10</v>
      </c>
      <c r="KE175" s="5">
        <v>467.36</v>
      </c>
      <c r="KF175" s="4">
        <v>85.395652173913049</v>
      </c>
      <c r="KG175" s="5">
        <v>12.802443512495721</v>
      </c>
      <c r="KI175" s="6">
        <v>467.36</v>
      </c>
      <c r="KJ175" s="5">
        <v>12.802443512495721</v>
      </c>
      <c r="KL175" s="6">
        <v>19652.488000000001</v>
      </c>
      <c r="KN175" s="5">
        <v>77.05141455880802</v>
      </c>
      <c r="KO175" s="6">
        <v>137311.38399999999</v>
      </c>
      <c r="KP175" s="5">
        <v>96.139076130788979</v>
      </c>
      <c r="KQ175" s="5">
        <v>60.017398120464655</v>
      </c>
      <c r="KY175" s="5">
        <v>615.69600000000003</v>
      </c>
      <c r="KZ175" s="4">
        <v>95.966996699669963</v>
      </c>
      <c r="LA175" s="5">
        <v>29.291241131987213</v>
      </c>
      <c r="LC175" s="6">
        <v>157579.568</v>
      </c>
      <c r="LD175" s="5">
        <v>29.291241131987213</v>
      </c>
      <c r="LE175" s="6">
        <v>185000</v>
      </c>
      <c r="LF175" s="2">
        <v>67.5</v>
      </c>
      <c r="LL175" s="6">
        <v>19652.488000000001</v>
      </c>
      <c r="LN175" s="5">
        <v>77.05141455880802</v>
      </c>
      <c r="LO175" s="6">
        <v>121499.376</v>
      </c>
      <c r="LP175" s="5">
        <v>66.058162694646242</v>
      </c>
      <c r="LQ175" s="5">
        <v>18.686548645319792</v>
      </c>
      <c r="LY175" s="6">
        <v>4646.0156000000006</v>
      </c>
      <c r="LZ175" s="4">
        <v>65.886919535956778</v>
      </c>
      <c r="MA175" s="5">
        <v>9.8582535969100036</v>
      </c>
      <c r="MC175" s="6">
        <v>145797.87960000001</v>
      </c>
      <c r="MD175" s="6">
        <v>181000</v>
      </c>
      <c r="ME175" s="2">
        <v>24.9</v>
      </c>
      <c r="MG175" s="15">
        <v>54.864000000000004</v>
      </c>
      <c r="MI175" s="5">
        <v>85.046660834062408</v>
      </c>
      <c r="MJ175" s="15">
        <v>523.24</v>
      </c>
      <c r="MK175" s="5">
        <v>91.456310679611647</v>
      </c>
      <c r="ML175" s="5">
        <v>82.119104044033335</v>
      </c>
      <c r="MN175" s="6">
        <v>1065.59096</v>
      </c>
      <c r="MO175" s="4">
        <v>6.6757510780684548</v>
      </c>
      <c r="MP175" s="5">
        <v>40.671093906427288</v>
      </c>
      <c r="MQ175" s="6">
        <v>1643.69496</v>
      </c>
      <c r="MR175" s="5">
        <v>55.346492027936861</v>
      </c>
      <c r="MV175" s="6">
        <v>2100</v>
      </c>
      <c r="MW175" s="2">
        <v>79.2</v>
      </c>
      <c r="NK175" s="6">
        <v>4404.4979818176971</v>
      </c>
    </row>
    <row r="176" spans="1:375" x14ac:dyDescent="0.25">
      <c r="A176" s="2">
        <v>1964</v>
      </c>
      <c r="B176" s="6">
        <v>3139.1407000000004</v>
      </c>
      <c r="C176" s="15">
        <v>328.69590000000005</v>
      </c>
      <c r="D176" s="15">
        <v>661.93240000000003</v>
      </c>
      <c r="E176" s="6">
        <v>1069.2491</v>
      </c>
      <c r="F176" s="4">
        <v>0.52870000000000006</v>
      </c>
      <c r="G176" s="6">
        <v>22251.4591</v>
      </c>
      <c r="H176" s="6">
        <v>2524.2314999999999</v>
      </c>
      <c r="I176" s="6">
        <v>29975.237399999998</v>
      </c>
      <c r="J176" s="15">
        <v>996.78456591639872</v>
      </c>
      <c r="K176" s="6">
        <v>29296.608436300005</v>
      </c>
      <c r="M176" s="6">
        <v>173277.693</v>
      </c>
      <c r="N176" s="6">
        <v>333852.6532</v>
      </c>
      <c r="O176" s="5">
        <v>20.090600000000002</v>
      </c>
      <c r="P176" s="6">
        <v>55361.141100000001</v>
      </c>
      <c r="R176" s="6">
        <v>7517.8652000000002</v>
      </c>
      <c r="S176" s="6">
        <v>3049.9458999999997</v>
      </c>
      <c r="T176" s="6">
        <v>573079.38899999997</v>
      </c>
      <c r="U176" s="5">
        <v>37.159742120343836</v>
      </c>
      <c r="V176" s="6">
        <v>546617.60535263154</v>
      </c>
      <c r="X176" s="6">
        <v>454741.28</v>
      </c>
      <c r="Y176" s="6">
        <v>11081.512000000001</v>
      </c>
      <c r="Z176" s="6">
        <v>1794.2560000000001</v>
      </c>
      <c r="AA176" s="6">
        <v>386946.64799999999</v>
      </c>
      <c r="AC176" s="6">
        <f t="shared" si="358"/>
        <v>854563.696</v>
      </c>
      <c r="AE176" s="5">
        <v>11.19269340974212</v>
      </c>
      <c r="AH176" s="115">
        <v>50000</v>
      </c>
      <c r="AI176" s="6">
        <v>119607.584</v>
      </c>
      <c r="AJ176" s="6"/>
      <c r="AK176" s="6">
        <v>169607.584</v>
      </c>
      <c r="AL176" s="5">
        <v>52.838623156012517</v>
      </c>
      <c r="AN176" s="6">
        <v>3231288.432</v>
      </c>
      <c r="AO176" s="6">
        <v>21030240.896000002</v>
      </c>
      <c r="AP176" s="6">
        <v>47810.928</v>
      </c>
      <c r="AQ176" s="6">
        <v>153579.576</v>
      </c>
      <c r="AR176" s="6">
        <v>1763890.808</v>
      </c>
      <c r="AS176" s="6">
        <v>1003218.72</v>
      </c>
      <c r="AT176" s="6">
        <v>27230029.359999999</v>
      </c>
      <c r="AU176" s="2">
        <v>8.39</v>
      </c>
      <c r="AW176" s="6">
        <v>19335221.68</v>
      </c>
      <c r="AX176" s="4">
        <v>0.89475474554389367</v>
      </c>
      <c r="BA176" s="5">
        <v>74.472799999999992</v>
      </c>
      <c r="BB176" s="4">
        <v>1.1176000000000001</v>
      </c>
      <c r="BD176" s="5">
        <v>16.148791680000002</v>
      </c>
      <c r="BE176" s="5">
        <v>91.73919167999999</v>
      </c>
      <c r="BF176" s="6">
        <v>2856.375358166189</v>
      </c>
      <c r="BH176" s="6">
        <v>75941.936000000002</v>
      </c>
      <c r="BI176" s="6">
        <v>3687.0639999999999</v>
      </c>
      <c r="BJ176" s="5">
        <v>10.16</v>
      </c>
      <c r="BK176" s="6">
        <v>15117.064</v>
      </c>
      <c r="BL176" s="4">
        <v>11.176</v>
      </c>
      <c r="BM176" s="6">
        <v>1458.9760000000001</v>
      </c>
      <c r="BN176" s="6">
        <v>10089.896000000001</v>
      </c>
      <c r="BO176" s="6">
        <v>106316.272</v>
      </c>
      <c r="BP176" s="2">
        <v>645</v>
      </c>
      <c r="BQ176" s="6">
        <v>96923.069839999996</v>
      </c>
      <c r="BV176" s="15"/>
      <c r="BZ176" s="6">
        <v>3518.4079999999999</v>
      </c>
      <c r="CA176" s="6">
        <v>16910.304</v>
      </c>
      <c r="CB176" s="15">
        <v>107.696</v>
      </c>
      <c r="CC176" s="6">
        <v>6916.9279999999999</v>
      </c>
      <c r="CD176" s="6">
        <v>4436954.2960000001</v>
      </c>
      <c r="CE176" s="6">
        <v>1379438.44</v>
      </c>
      <c r="CG176" s="6">
        <v>5843846.0720000006</v>
      </c>
      <c r="CH176" s="4">
        <v>6.09</v>
      </c>
      <c r="CJ176" s="15">
        <v>202.184</v>
      </c>
      <c r="CK176" s="15">
        <v>341.37599999999998</v>
      </c>
      <c r="CL176" s="5">
        <v>15.24</v>
      </c>
      <c r="CN176" s="5">
        <v>11.176</v>
      </c>
      <c r="CO176" s="6">
        <v>61144.912000000004</v>
      </c>
      <c r="CP176" s="6">
        <v>371.85599999999999</v>
      </c>
      <c r="CQ176" s="6">
        <v>3765.2960000000003</v>
      </c>
      <c r="CR176" s="6">
        <v>65852.040000000008</v>
      </c>
      <c r="CS176" s="5">
        <v>21.48997134670487</v>
      </c>
      <c r="DD176" s="6">
        <v>62917.832000000002</v>
      </c>
      <c r="DE176" s="6">
        <v>301705.26400000002</v>
      </c>
      <c r="DG176" s="6">
        <v>15644.368</v>
      </c>
      <c r="DI176" s="15">
        <v>629.91999999999996</v>
      </c>
      <c r="DJ176" s="4">
        <v>7.1120000000000001</v>
      </c>
      <c r="DK176" s="6">
        <v>380904.49600000004</v>
      </c>
      <c r="DL176" s="15">
        <v>235.49</v>
      </c>
      <c r="DM176" s="6">
        <v>372979.31500000006</v>
      </c>
      <c r="DO176" s="6">
        <v>38178.232000000004</v>
      </c>
      <c r="DP176" s="6">
        <v>260097.016</v>
      </c>
      <c r="DR176" s="6">
        <v>50957.48</v>
      </c>
      <c r="DS176" s="5">
        <v>42.671999999999997</v>
      </c>
      <c r="DT176" s="15">
        <v>838.2</v>
      </c>
      <c r="DV176" s="6">
        <v>350113.60000000003</v>
      </c>
      <c r="DW176" s="15">
        <v>284.24</v>
      </c>
      <c r="DX176" s="6">
        <v>328326.57727999997</v>
      </c>
      <c r="DZ176" s="6">
        <v>1478.4</v>
      </c>
      <c r="EA176" s="15">
        <v>681.37836800000002</v>
      </c>
      <c r="EB176" s="15">
        <v>1335.3288</v>
      </c>
      <c r="EC176" s="6">
        <v>1455.4880000000001</v>
      </c>
      <c r="ED176" s="15">
        <v>453.55256000000003</v>
      </c>
      <c r="EE176" s="5">
        <v>19.109792284866469</v>
      </c>
      <c r="EF176" s="6">
        <v>5423.2575202848675</v>
      </c>
      <c r="EG176" s="6">
        <v>3416</v>
      </c>
      <c r="EL176" s="15">
        <v>318.57499999999999</v>
      </c>
      <c r="EM176" s="15">
        <v>318.57499999999999</v>
      </c>
      <c r="EN176" s="6">
        <v>11874.385715145429</v>
      </c>
      <c r="EO176" s="6">
        <v>319.42499999999995</v>
      </c>
      <c r="EZ176" s="15">
        <v>277.36799999999999</v>
      </c>
      <c r="FC176" s="6">
        <v>7458.4560000000001</v>
      </c>
      <c r="FF176" s="6">
        <v>7735.8240000000005</v>
      </c>
      <c r="FG176" s="15">
        <v>832.73638968481373</v>
      </c>
      <c r="FI176" s="6">
        <v>73.152000000000001</v>
      </c>
      <c r="FJ176" s="200"/>
      <c r="FK176" s="200"/>
      <c r="FL176" s="200"/>
      <c r="FM176" s="5">
        <f t="shared" si="365"/>
        <v>73.152000000000001</v>
      </c>
      <c r="FN176" s="15">
        <v>111.03151862464183</v>
      </c>
      <c r="FY176" s="202"/>
      <c r="FZ176" s="5">
        <v>5.6123792396251666</v>
      </c>
      <c r="GA176" s="202"/>
      <c r="GB176" s="5">
        <v>5.6123792396251666</v>
      </c>
      <c r="GC176" s="6">
        <v>1047.6361031518625</v>
      </c>
      <c r="GQ176" s="6">
        <v>5780.0240000000003</v>
      </c>
      <c r="GS176" s="6">
        <v>831978.01600000006</v>
      </c>
      <c r="GT176" s="6">
        <v>837758.04</v>
      </c>
      <c r="GU176" s="4">
        <v>6.8948666117429225</v>
      </c>
      <c r="HO176" s="17"/>
      <c r="HP176" s="17"/>
      <c r="HV176" s="5">
        <v>25.603199999999998</v>
      </c>
      <c r="HW176" s="15">
        <v>405.99360000000001</v>
      </c>
      <c r="HY176" s="15">
        <v>802.959024</v>
      </c>
      <c r="HZ176" s="6">
        <f t="shared" si="363"/>
        <v>1234.555824</v>
      </c>
      <c r="IA176" s="15">
        <v>119.721624578852</v>
      </c>
      <c r="IC176" s="4">
        <v>5.2367799790369977E-2</v>
      </c>
      <c r="IF176" s="15">
        <v>833.51409950956941</v>
      </c>
      <c r="IH176" s="4">
        <v>2.5099483610295166</v>
      </c>
      <c r="IJ176" s="15">
        <v>836.07641567038922</v>
      </c>
      <c r="IK176" s="6">
        <v>2525.0716332378224</v>
      </c>
      <c r="IN176" s="5">
        <v>10.446561784</v>
      </c>
      <c r="IP176" s="5">
        <v>10.446561784</v>
      </c>
      <c r="IQ176" s="6">
        <v>6849.67224115728</v>
      </c>
      <c r="IW176" s="15">
        <v>335.28</v>
      </c>
      <c r="IX176" s="16">
        <v>33.527999999999999</v>
      </c>
      <c r="IY176" s="15">
        <v>132.83225982037558</v>
      </c>
      <c r="IZ176" s="15">
        <v>501.6402598203756</v>
      </c>
      <c r="JJ176" s="6">
        <v>6297.1679999999997</v>
      </c>
      <c r="JK176" s="5">
        <v>44.998386576314942</v>
      </c>
      <c r="JL176" s="4">
        <v>2.8939993343039285</v>
      </c>
      <c r="JR176" s="6">
        <v>336126.0232</v>
      </c>
      <c r="JS176" s="2">
        <v>55.92</v>
      </c>
      <c r="JT176" s="4">
        <v>4.5761865902443457</v>
      </c>
      <c r="JV176" s="6">
        <v>342423.1912</v>
      </c>
      <c r="JW176" s="4">
        <v>4.5761865902443457</v>
      </c>
      <c r="JX176" s="6">
        <v>309000</v>
      </c>
      <c r="JY176" s="2">
        <v>9</v>
      </c>
      <c r="KE176" s="5">
        <v>653.48104000000012</v>
      </c>
      <c r="KF176" s="4">
        <v>71.527853355929039</v>
      </c>
      <c r="KG176" s="5">
        <v>18.200757591987671</v>
      </c>
      <c r="KI176" s="6">
        <v>653.48104000000012</v>
      </c>
      <c r="KJ176" s="5">
        <v>18.200757591987671</v>
      </c>
      <c r="KL176" s="6">
        <v>14793.976000000001</v>
      </c>
      <c r="KN176" s="5">
        <v>73.35134246533859</v>
      </c>
      <c r="KO176" s="6">
        <v>133653.78400000001</v>
      </c>
      <c r="KP176" s="5">
        <v>96.024295129571485</v>
      </c>
      <c r="KQ176" s="5">
        <v>63.760065334177142</v>
      </c>
      <c r="KY176" s="5">
        <v>838.71816000000001</v>
      </c>
      <c r="KZ176" s="4">
        <v>96.248379789463471</v>
      </c>
      <c r="LA176" s="5">
        <v>30.726173855589341</v>
      </c>
      <c r="LC176" s="6">
        <v>149286.47816</v>
      </c>
      <c r="LD176" s="5">
        <v>30.726173855589341</v>
      </c>
      <c r="LE176" s="6">
        <v>185000</v>
      </c>
      <c r="LF176" s="2">
        <v>71.599999999999994</v>
      </c>
      <c r="LL176" s="6">
        <v>14793.976000000001</v>
      </c>
      <c r="LN176" s="5">
        <v>73.35134246533859</v>
      </c>
      <c r="LO176" s="6">
        <v>120186.704</v>
      </c>
      <c r="LP176" s="5">
        <v>66.509163431765998</v>
      </c>
      <c r="LQ176" s="5">
        <v>18.45378836580792</v>
      </c>
      <c r="LY176" s="6">
        <v>20389.819520000001</v>
      </c>
      <c r="LZ176" s="4">
        <v>65.890500241171338</v>
      </c>
      <c r="MA176" s="5">
        <v>9.5948617793356519</v>
      </c>
      <c r="MC176" s="6">
        <v>155370.49951999998</v>
      </c>
      <c r="MD176" s="6">
        <v>181000</v>
      </c>
      <c r="ME176" s="5">
        <v>26</v>
      </c>
      <c r="MG176" s="15">
        <v>42.671999999999997</v>
      </c>
      <c r="MI176" s="5">
        <v>98.987626546681668</v>
      </c>
      <c r="MJ176" s="15">
        <v>676.65600000000006</v>
      </c>
      <c r="MK176" s="5">
        <v>89.939939939939933</v>
      </c>
      <c r="ML176" s="5">
        <v>86.880187273888055</v>
      </c>
      <c r="MN176" s="6">
        <v>1338.26504</v>
      </c>
      <c r="MO176" s="4">
        <v>6.7187193950758815</v>
      </c>
      <c r="MP176" s="5">
        <v>40.705352356809684</v>
      </c>
      <c r="MQ176" s="6">
        <v>2057.5930400000002</v>
      </c>
      <c r="MR176" s="5">
        <v>57.099021874607423</v>
      </c>
      <c r="MV176" s="6">
        <v>2100</v>
      </c>
      <c r="MW176" s="2">
        <v>85.7</v>
      </c>
      <c r="NK176" s="6">
        <v>4582.8188634404341</v>
      </c>
    </row>
    <row r="177" spans="1:375" x14ac:dyDescent="0.25">
      <c r="A177" s="2">
        <v>1965</v>
      </c>
      <c r="B177" s="6">
        <v>2393.5803999999998</v>
      </c>
      <c r="C177" s="15">
        <v>299.80399999999997</v>
      </c>
      <c r="D177" s="15">
        <v>598.55060000000003</v>
      </c>
      <c r="E177" s="6">
        <v>1023.0967000000001</v>
      </c>
      <c r="F177" s="3">
        <v>6.2200000000000005E-2</v>
      </c>
      <c r="G177" s="6">
        <v>20412.640500000001</v>
      </c>
      <c r="H177" s="6">
        <v>2566.9629</v>
      </c>
      <c r="I177" s="6">
        <v>27294.6973</v>
      </c>
      <c r="J177" s="15">
        <v>996.78456591639872</v>
      </c>
      <c r="K177" s="6">
        <v>25923.540129499994</v>
      </c>
      <c r="M177" s="6">
        <v>144172.54030000002</v>
      </c>
      <c r="N177" s="6">
        <v>330773.38</v>
      </c>
      <c r="O177" s="4">
        <v>0.93300000000000005</v>
      </c>
      <c r="P177" s="6">
        <v>52189.500900000006</v>
      </c>
      <c r="Q177" s="4">
        <v>5.5669000000000004</v>
      </c>
      <c r="R177" s="6">
        <v>7631.3802000000005</v>
      </c>
      <c r="S177" s="6">
        <v>2660.7916</v>
      </c>
      <c r="T177" s="6">
        <v>537434.09289999993</v>
      </c>
      <c r="U177" s="5">
        <v>37.26317679806052</v>
      </c>
      <c r="V177" s="6">
        <v>497072.23300000001</v>
      </c>
      <c r="X177" s="6">
        <v>665686.24800000002</v>
      </c>
      <c r="Y177" s="6">
        <v>11016.487999999999</v>
      </c>
      <c r="Z177" s="6">
        <v>2595.88</v>
      </c>
      <c r="AA177" s="6">
        <v>507055.12</v>
      </c>
      <c r="AC177" s="6">
        <f t="shared" si="358"/>
        <v>1186353.736</v>
      </c>
      <c r="AE177" s="5">
        <v>10.146358983568287</v>
      </c>
      <c r="AH177" s="6">
        <v>51156.511999999988</v>
      </c>
      <c r="AI177" s="6">
        <v>150843.48800000001</v>
      </c>
      <c r="AJ177" s="6"/>
      <c r="AK177" s="6">
        <v>202000</v>
      </c>
      <c r="AL177" s="5">
        <v>59.007879656160462</v>
      </c>
      <c r="AN177" s="6">
        <v>4220903.9280000003</v>
      </c>
      <c r="AO177" s="6">
        <v>24516080</v>
      </c>
      <c r="AP177" s="6">
        <v>42922.951999999997</v>
      </c>
      <c r="AQ177" s="6">
        <v>104096.31200000001</v>
      </c>
      <c r="AR177" s="6">
        <v>2047915.64</v>
      </c>
      <c r="AS177" s="6">
        <v>1009640.856</v>
      </c>
      <c r="AT177" s="6">
        <v>31941559.687999997</v>
      </c>
      <c r="AU177" s="2">
        <v>8.31</v>
      </c>
      <c r="AW177" s="6">
        <v>21043408.256000001</v>
      </c>
      <c r="AX177" s="4">
        <v>0.95904949210143764</v>
      </c>
      <c r="BD177" s="5">
        <v>17.49452432</v>
      </c>
      <c r="BE177" s="5">
        <v>17.49452432</v>
      </c>
      <c r="BH177" s="6">
        <v>61372.495999999999</v>
      </c>
      <c r="BI177" s="6">
        <v>5294.3760000000002</v>
      </c>
      <c r="BJ177" s="4">
        <v>3.048</v>
      </c>
      <c r="BK177" s="6">
        <v>15410.688</v>
      </c>
      <c r="BL177" s="4">
        <v>23.368000000000002</v>
      </c>
      <c r="BM177" s="15">
        <v>636.01599999999996</v>
      </c>
      <c r="BN177" s="6">
        <v>9094.2160000000003</v>
      </c>
      <c r="BO177" s="6">
        <v>91834.207999999999</v>
      </c>
      <c r="BP177" s="2">
        <v>718</v>
      </c>
      <c r="BQ177" s="6">
        <v>91069.396743999998</v>
      </c>
      <c r="BV177" s="15"/>
      <c r="BZ177" s="6">
        <v>7475</v>
      </c>
      <c r="CA177" s="6">
        <v>25346.152000000002</v>
      </c>
      <c r="CB177" s="15">
        <v>203.2</v>
      </c>
      <c r="CD177" s="6">
        <v>4462612.3600000003</v>
      </c>
      <c r="CE177" s="6">
        <v>2350448.9440000001</v>
      </c>
      <c r="CG177" s="6">
        <v>6846085.6560000004</v>
      </c>
      <c r="CH177" s="4">
        <v>8.26</v>
      </c>
      <c r="CJ177" s="6">
        <v>1778</v>
      </c>
      <c r="CK177" s="15">
        <v>298.70400000000001</v>
      </c>
      <c r="CO177" s="6">
        <v>99467.415999999997</v>
      </c>
      <c r="CP177" s="6">
        <v>430.78399999999999</v>
      </c>
      <c r="CQ177" s="6">
        <v>4835.1440000000002</v>
      </c>
      <c r="CR177" s="6">
        <v>106810.048</v>
      </c>
      <c r="CS177" s="5">
        <v>20.651881116997398</v>
      </c>
      <c r="DD177" s="6">
        <v>50467.768000000004</v>
      </c>
      <c r="DE177" s="6">
        <v>301408.592</v>
      </c>
      <c r="DG177" s="6">
        <v>14645.64</v>
      </c>
      <c r="DH177" s="4">
        <v>4.0640000000000001</v>
      </c>
      <c r="DI177" s="6">
        <v>1401.0640000000001</v>
      </c>
      <c r="DJ177" s="4">
        <v>4</v>
      </c>
      <c r="DK177" s="6">
        <v>367931.12800000003</v>
      </c>
      <c r="DL177" s="15">
        <v>276.62</v>
      </c>
      <c r="DM177" s="6">
        <v>360980.71568000002</v>
      </c>
      <c r="DO177" s="6">
        <v>31470.6</v>
      </c>
      <c r="DP177" s="6">
        <v>275270.97600000002</v>
      </c>
      <c r="DR177" s="6">
        <v>47050.96</v>
      </c>
      <c r="DT177" s="6">
        <v>1026.1600000000001</v>
      </c>
      <c r="DV177" s="6">
        <v>354818.696</v>
      </c>
      <c r="DW177" s="15">
        <v>286</v>
      </c>
      <c r="DX177" s="6">
        <v>337484.88256</v>
      </c>
      <c r="DZ177" s="6">
        <v>1186.5</v>
      </c>
      <c r="EA177" s="6">
        <v>1141.66904</v>
      </c>
      <c r="EB177" s="5">
        <v>7.3304399999999994</v>
      </c>
      <c r="EC177" s="6">
        <v>1044.2939992919999</v>
      </c>
      <c r="ED177" s="15">
        <v>475.76232000000016</v>
      </c>
      <c r="EE177" s="5">
        <v>19.940652818991097</v>
      </c>
      <c r="EF177" s="6">
        <v>3875.496452110991</v>
      </c>
      <c r="EG177" s="6">
        <v>3892</v>
      </c>
      <c r="EL177" s="15">
        <v>267.05</v>
      </c>
      <c r="EM177" s="15">
        <v>267.05</v>
      </c>
      <c r="EN177" s="6">
        <v>10281.243723519154</v>
      </c>
      <c r="EO177" s="6">
        <v>274.7</v>
      </c>
      <c r="EZ177" s="5">
        <v>36.189920000000001</v>
      </c>
      <c r="FC177" s="6">
        <v>4955.0320000000002</v>
      </c>
      <c r="FF177" s="6">
        <v>4991.22192</v>
      </c>
      <c r="FG177" s="15">
        <v>906.88695339858134</v>
      </c>
      <c r="FI177" s="200"/>
      <c r="FJ177" s="200"/>
      <c r="FK177" s="200"/>
      <c r="FL177" s="200"/>
      <c r="FN177" s="15">
        <v>116.72802370476791</v>
      </c>
      <c r="FY177" s="202"/>
      <c r="FZ177" s="5">
        <v>6.1842664091968018</v>
      </c>
      <c r="GA177" s="202"/>
      <c r="GB177" s="5">
        <v>6.1842664091968018</v>
      </c>
      <c r="GC177" s="15">
        <v>890.72461165484424</v>
      </c>
      <c r="GQ177" s="6">
        <v>4576.0640000000003</v>
      </c>
      <c r="GR177" s="15">
        <v>15.24</v>
      </c>
      <c r="GS177" s="6">
        <v>856775.52799999993</v>
      </c>
      <c r="GT177" s="6">
        <v>861366.83199999994</v>
      </c>
      <c r="GU177" s="4">
        <v>3.9370078740157477</v>
      </c>
      <c r="HO177" s="17"/>
      <c r="HP177" s="17"/>
      <c r="HV177" s="5">
        <v>32.796479999999995</v>
      </c>
      <c r="HW177" s="15">
        <v>366.36959999999999</v>
      </c>
      <c r="HY177" s="15">
        <v>651.05279999999993</v>
      </c>
      <c r="HZ177" s="6">
        <f t="shared" si="363"/>
        <v>1050.2188799999999</v>
      </c>
      <c r="IA177" s="15">
        <v>141.35652104334611</v>
      </c>
      <c r="IC177" s="4">
        <v>0.20947119916147991</v>
      </c>
      <c r="IF177" s="15">
        <v>979.5396950788703</v>
      </c>
      <c r="IJ177" s="15">
        <v>979.74916627803179</v>
      </c>
      <c r="IK177" s="6">
        <v>3412.049923677831</v>
      </c>
      <c r="IN177" s="4">
        <v>7.0767031439999997</v>
      </c>
      <c r="IP177" s="4">
        <v>7.0767031439999997</v>
      </c>
      <c r="IQ177" s="6">
        <v>6752.3623006714224</v>
      </c>
      <c r="IW177" s="15">
        <v>332.23200000000003</v>
      </c>
      <c r="IX177" s="16">
        <v>31.496000000000002</v>
      </c>
      <c r="IY177" s="15">
        <v>160.90356527261181</v>
      </c>
      <c r="IZ177" s="15">
        <v>524.63156527261185</v>
      </c>
      <c r="JJ177" s="6">
        <v>8288.5280000000002</v>
      </c>
      <c r="JK177" s="5">
        <v>44.998774209365038</v>
      </c>
      <c r="JL177" s="4">
        <v>2.7862607208421086</v>
      </c>
      <c r="JR177" s="6">
        <v>399177.47951999999</v>
      </c>
      <c r="JS177" s="2">
        <v>55.19</v>
      </c>
      <c r="JT177" s="4">
        <v>4.8253930865944357</v>
      </c>
      <c r="JV177" s="6">
        <v>407466.00751999998</v>
      </c>
      <c r="JW177" s="4">
        <v>4.8253930865944357</v>
      </c>
      <c r="JX177" s="6">
        <v>448000</v>
      </c>
      <c r="JY177" s="2">
        <v>9.5</v>
      </c>
      <c r="KE177" s="5">
        <v>491.74400000000003</v>
      </c>
      <c r="KF177" s="4">
        <v>86.167355371900825</v>
      </c>
      <c r="KG177" s="5">
        <v>21.974441986074051</v>
      </c>
      <c r="KI177" s="6">
        <v>491.74400000000003</v>
      </c>
      <c r="KJ177" s="5">
        <v>21.974441986074051</v>
      </c>
      <c r="KL177" s="6">
        <v>22591.0648</v>
      </c>
      <c r="KN177" s="5">
        <v>70.823930353207615</v>
      </c>
      <c r="KO177" s="6">
        <v>164417.24799999999</v>
      </c>
      <c r="KP177" s="5">
        <v>95.961143930592982</v>
      </c>
      <c r="KQ177" s="5">
        <v>67.299788401761845</v>
      </c>
      <c r="KY177" s="5">
        <v>228.6</v>
      </c>
      <c r="KZ177" s="4">
        <v>95.835555555555558</v>
      </c>
      <c r="LA177" s="5">
        <v>34.971128608923884</v>
      </c>
      <c r="LC177" s="6">
        <v>187236.91279999999</v>
      </c>
      <c r="LD177" s="5">
        <v>34.971128608923884</v>
      </c>
      <c r="LE177" s="6">
        <v>221000</v>
      </c>
      <c r="LF177" s="2">
        <v>70.400000000000006</v>
      </c>
      <c r="LL177" s="6">
        <v>22591.0648</v>
      </c>
      <c r="LN177" s="5">
        <v>70.823930353207615</v>
      </c>
      <c r="LO177" s="6">
        <v>159271.20800000001</v>
      </c>
      <c r="LP177" s="5">
        <v>66.572838802466066</v>
      </c>
      <c r="LQ177" s="5">
        <v>25.043798248833522</v>
      </c>
      <c r="LY177" s="6">
        <v>28325.744719999999</v>
      </c>
      <c r="LZ177" s="4">
        <v>65.506980534561578</v>
      </c>
      <c r="MA177" s="5">
        <v>13.24357413046685</v>
      </c>
      <c r="MC177" s="6">
        <v>210188.01751999999</v>
      </c>
      <c r="MD177" s="6">
        <v>223000</v>
      </c>
      <c r="ME177" s="2">
        <v>31.9</v>
      </c>
      <c r="MG177" s="5">
        <v>54.660799999999995</v>
      </c>
      <c r="MI177" s="15">
        <v>108.41407370547084</v>
      </c>
      <c r="MJ177" s="15">
        <v>610.61599999999999</v>
      </c>
      <c r="MK177" s="5">
        <v>90.848585690515804</v>
      </c>
      <c r="ML177" s="5">
        <v>98.228673994785595</v>
      </c>
      <c r="MN177" s="6">
        <v>1085.088</v>
      </c>
      <c r="MO177" s="4">
        <v>6.6034456928838958</v>
      </c>
      <c r="MP177" s="5">
        <v>48.061217154737683</v>
      </c>
      <c r="MQ177" s="6">
        <v>1750.3647999999998</v>
      </c>
      <c r="MR177" s="5">
        <v>67.44688307260293</v>
      </c>
      <c r="MV177" s="6">
        <v>2300</v>
      </c>
      <c r="MW177" s="2">
        <v>95.7</v>
      </c>
    </row>
    <row r="178" spans="1:375" x14ac:dyDescent="0.25">
      <c r="A178" s="2">
        <v>1966</v>
      </c>
      <c r="B178" s="6">
        <v>4329.1822000000002</v>
      </c>
      <c r="C178" s="15">
        <v>282.32580000000002</v>
      </c>
      <c r="D178" s="15">
        <v>653.25549999999998</v>
      </c>
      <c r="E178" s="6">
        <v>1135.2121999999999</v>
      </c>
      <c r="F178" s="4">
        <v>0.1555</v>
      </c>
      <c r="G178" s="6">
        <v>19501.317199999998</v>
      </c>
      <c r="H178" s="6">
        <v>2616.7851000000001</v>
      </c>
      <c r="I178" s="6">
        <v>28518.233499999998</v>
      </c>
      <c r="J178" s="15">
        <v>996.78456591639872</v>
      </c>
      <c r="K178" s="6">
        <v>27694.552488000005</v>
      </c>
      <c r="M178" s="6">
        <v>192560.84370000003</v>
      </c>
      <c r="N178" s="6">
        <v>327930.40460000001</v>
      </c>
      <c r="O178" s="4">
        <v>0.90190000000000015</v>
      </c>
      <c r="P178" s="6">
        <v>57019.2065</v>
      </c>
      <c r="Q178" s="4">
        <v>6.9042000000000003</v>
      </c>
      <c r="R178" s="6">
        <v>7362.3341000000009</v>
      </c>
      <c r="S178" s="6">
        <v>2526.5951</v>
      </c>
      <c r="T178" s="6">
        <v>587407.19010000001</v>
      </c>
      <c r="U178" s="5">
        <v>37.176386276090653</v>
      </c>
      <c r="V178" s="6">
        <v>539384.37390000001</v>
      </c>
      <c r="X178" s="6">
        <v>988822</v>
      </c>
      <c r="Y178" s="6">
        <v>18192.495999999999</v>
      </c>
      <c r="AA178" s="6">
        <v>820018.68</v>
      </c>
      <c r="AC178" s="6">
        <f t="shared" si="358"/>
        <v>1827033.176</v>
      </c>
      <c r="AE178" s="5">
        <v>10.212308519215265</v>
      </c>
      <c r="AH178" s="6">
        <v>59957.567999999999</v>
      </c>
      <c r="AI178" s="6">
        <v>247042.432</v>
      </c>
      <c r="AJ178" s="6"/>
      <c r="AK178" s="6">
        <v>307000</v>
      </c>
      <c r="AL178" s="5">
        <v>55.490706653497355</v>
      </c>
      <c r="AN178" s="6">
        <v>4771628.76</v>
      </c>
      <c r="AO178" s="6">
        <v>25877237.552000001</v>
      </c>
      <c r="AP178" s="6">
        <v>36087.304000000004</v>
      </c>
      <c r="AQ178" s="6">
        <v>83986.623999999996</v>
      </c>
      <c r="AR178" s="6">
        <v>2053019.0079999999</v>
      </c>
      <c r="AS178" s="6">
        <v>1078072.52</v>
      </c>
      <c r="AT178" s="6">
        <v>33900031.768000007</v>
      </c>
      <c r="AU178" s="2">
        <v>8.1199999999999992</v>
      </c>
      <c r="AW178" s="6">
        <v>22142563.791999999</v>
      </c>
      <c r="AX178" s="4">
        <v>0.98029194829924515</v>
      </c>
      <c r="BD178" s="5">
        <v>16.148791680000002</v>
      </c>
      <c r="BE178" s="5">
        <v>16.148791680000002</v>
      </c>
      <c r="BH178" s="6">
        <v>73805.288</v>
      </c>
      <c r="BI178" s="6">
        <v>9389.8719999999994</v>
      </c>
      <c r="BJ178" s="2">
        <v>5.08</v>
      </c>
      <c r="BK178" s="6">
        <v>17277.080000000002</v>
      </c>
      <c r="BL178" s="4">
        <v>28.448</v>
      </c>
      <c r="BM178" s="15">
        <v>827.024</v>
      </c>
      <c r="BN178" s="6">
        <v>9956.7999999999993</v>
      </c>
      <c r="BO178" s="6">
        <v>111289.592</v>
      </c>
      <c r="BP178" s="2">
        <v>944</v>
      </c>
      <c r="BQ178" s="6">
        <v>111683.43135999999</v>
      </c>
      <c r="BV178" s="15"/>
      <c r="BZ178" s="6">
        <v>1987</v>
      </c>
      <c r="CA178" s="6">
        <v>32151.32</v>
      </c>
      <c r="CB178" s="15">
        <v>428.75200000000001</v>
      </c>
      <c r="CD178" s="6">
        <v>4875507.648</v>
      </c>
      <c r="CE178" s="6">
        <v>6203802.6799999997</v>
      </c>
      <c r="CG178" s="6">
        <v>11113877.399999999</v>
      </c>
      <c r="CH178" s="4">
        <v>8.3800000000000008</v>
      </c>
      <c r="CJ178" s="6">
        <v>5588</v>
      </c>
      <c r="CK178" s="5">
        <v>30.48</v>
      </c>
      <c r="CO178" s="6">
        <v>186140.34400000001</v>
      </c>
      <c r="CP178" s="6">
        <v>125781.81600000001</v>
      </c>
      <c r="CQ178" s="6">
        <v>4831.08</v>
      </c>
      <c r="CR178" s="6">
        <v>322371.72000000003</v>
      </c>
      <c r="CS178" s="5">
        <v>20.603780345785182</v>
      </c>
      <c r="CT178" s="6">
        <v>125781.81600000001</v>
      </c>
      <c r="DD178" s="6">
        <v>66589.656000000003</v>
      </c>
      <c r="DE178" s="6">
        <v>287572.70400000003</v>
      </c>
      <c r="DG178" s="6">
        <v>15827.248</v>
      </c>
      <c r="DH178" s="4">
        <v>7.1120000000000001</v>
      </c>
      <c r="DI178" s="15">
        <v>717.29600000000005</v>
      </c>
      <c r="DJ178" s="5">
        <v>22</v>
      </c>
      <c r="DK178" s="6">
        <v>370736.01600000006</v>
      </c>
      <c r="DL178" s="15">
        <v>248.83</v>
      </c>
      <c r="DM178" s="6">
        <v>364287.77536000003</v>
      </c>
      <c r="DO178" s="6">
        <v>44285.408000000003</v>
      </c>
      <c r="DP178" s="6">
        <v>279594.05599999998</v>
      </c>
      <c r="DR178" s="6">
        <v>50648.616000000002</v>
      </c>
      <c r="DS178" s="15">
        <v>330.2</v>
      </c>
      <c r="DT178" s="15">
        <v>654.30399999999997</v>
      </c>
      <c r="DU178" s="5">
        <v>12.192</v>
      </c>
      <c r="DV178" s="6">
        <v>375524.77599999995</v>
      </c>
      <c r="DW178" s="15">
        <v>270.45999999999998</v>
      </c>
      <c r="DX178" s="6">
        <v>362689.75976000004</v>
      </c>
      <c r="DZ178" s="6">
        <v>1592.5</v>
      </c>
      <c r="EA178" s="6">
        <v>1401.8686720000001</v>
      </c>
      <c r="EB178" s="15">
        <v>17.492742447609547</v>
      </c>
      <c r="EC178" s="6">
        <v>1040.178768</v>
      </c>
      <c r="ED178" s="15">
        <v>410.23032000000006</v>
      </c>
      <c r="EE178" s="5">
        <v>19.525222551928781</v>
      </c>
      <c r="EF178" s="6">
        <v>4481.7957249995379</v>
      </c>
      <c r="EG178" s="6">
        <v>3570</v>
      </c>
      <c r="EL178" s="15">
        <v>262.3</v>
      </c>
      <c r="EM178" s="15">
        <v>262.3</v>
      </c>
      <c r="EN178" s="6">
        <v>9920.7000000000007</v>
      </c>
      <c r="EO178" s="6">
        <v>249.9</v>
      </c>
      <c r="EZ178" s="5">
        <v>98.861879999999985</v>
      </c>
      <c r="FC178" s="6">
        <v>4807.7120000000004</v>
      </c>
      <c r="FF178" s="6">
        <v>4906.5738800000008</v>
      </c>
      <c r="FG178" s="15">
        <v>904.77470214100151</v>
      </c>
      <c r="FI178" s="200"/>
      <c r="FJ178" s="200"/>
      <c r="FK178" s="200"/>
      <c r="FL178" s="200"/>
      <c r="FN178" s="15">
        <v>108.39380094956552</v>
      </c>
      <c r="FY178" s="202"/>
      <c r="FZ178" s="5">
        <v>18.612646967034248</v>
      </c>
      <c r="GA178" s="202"/>
      <c r="GB178" s="5">
        <v>18.612646967034248</v>
      </c>
      <c r="GC178" s="15">
        <v>949.56552897966492</v>
      </c>
      <c r="GQ178" s="6">
        <v>5806.4400000000005</v>
      </c>
      <c r="GS178" s="6">
        <v>878963.95200000005</v>
      </c>
      <c r="GT178" s="6">
        <v>884770.39199999999</v>
      </c>
      <c r="GU178" s="4">
        <v>3.9370078740157477</v>
      </c>
      <c r="GW178" s="4">
        <v>0.40429999999999999</v>
      </c>
      <c r="GX178" s="87">
        <v>0.30686370000000002</v>
      </c>
      <c r="GY178" s="88">
        <v>5.2558999999999993E-4</v>
      </c>
      <c r="GZ178" s="85">
        <v>4.7303099999999997E-3</v>
      </c>
      <c r="HA178" s="85">
        <v>5.2559E-3</v>
      </c>
      <c r="HO178" s="17"/>
      <c r="HP178" s="17"/>
      <c r="HV178" s="5">
        <v>13.411199999999999</v>
      </c>
      <c r="HW178" s="15">
        <v>283.464</v>
      </c>
      <c r="HY178" s="6">
        <v>1154.9603519999998</v>
      </c>
      <c r="HZ178" s="6">
        <f t="shared" si="363"/>
        <v>1451.8355519999998</v>
      </c>
      <c r="IA178" s="15">
        <v>173.63267538585853</v>
      </c>
      <c r="IC178" s="4">
        <v>0.31420679874221979</v>
      </c>
      <c r="ID178" s="4">
        <v>0.13991911877701779</v>
      </c>
      <c r="IF178" s="6">
        <v>1065.0804818902936</v>
      </c>
      <c r="IH178" s="4">
        <v>0.26046937957271704</v>
      </c>
      <c r="II178" s="4">
        <v>4.1891810181190682E-2</v>
      </c>
      <c r="IJ178" s="6">
        <v>1065.8369689975666</v>
      </c>
      <c r="IK178" s="6">
        <v>4147.6305652602341</v>
      </c>
      <c r="IN178" s="4">
        <v>3.3770285520000001</v>
      </c>
      <c r="IP178" s="4">
        <v>3.3770285520000001</v>
      </c>
      <c r="IQ178" s="6">
        <v>15700.709457292038</v>
      </c>
      <c r="IW178" s="15">
        <v>348.488</v>
      </c>
      <c r="IX178" s="16">
        <v>26.416</v>
      </c>
      <c r="IY178" s="15">
        <v>150.95981130363785</v>
      </c>
      <c r="IZ178" s="15">
        <v>525.86381130363782</v>
      </c>
      <c r="JJ178" s="6">
        <v>11897.36</v>
      </c>
      <c r="JK178" s="5">
        <v>45.012809564474807</v>
      </c>
      <c r="JL178" s="4">
        <v>2.4697916176361812</v>
      </c>
      <c r="JR178" s="6">
        <v>478430.45792000002</v>
      </c>
      <c r="JS178" s="2">
        <v>55.13</v>
      </c>
      <c r="JT178" s="4">
        <v>9.6590408564095291</v>
      </c>
      <c r="JV178" s="6">
        <v>490327.81792</v>
      </c>
      <c r="JW178" s="4">
        <v>9.6590408564095291</v>
      </c>
      <c r="JX178" s="6">
        <v>522000</v>
      </c>
      <c r="JY178" s="2">
        <v>10.199999999999999</v>
      </c>
      <c r="KE178" s="5">
        <v>767.98424</v>
      </c>
      <c r="KF178" s="4">
        <v>83.346783262114855</v>
      </c>
      <c r="KG178" s="5">
        <v>40.720497076867098</v>
      </c>
      <c r="KI178" s="6">
        <v>767.98424</v>
      </c>
      <c r="KJ178" s="5">
        <v>40.720497076867098</v>
      </c>
      <c r="KL178" s="6">
        <v>36134.04</v>
      </c>
      <c r="KN178" s="5">
        <v>73.163532226122513</v>
      </c>
      <c r="KO178" s="6">
        <v>175291.49600000001</v>
      </c>
      <c r="KP178" s="5">
        <v>96.268496675959682</v>
      </c>
      <c r="KQ178" s="5">
        <v>68.838690269378489</v>
      </c>
      <c r="KY178" s="5">
        <v>585.60208</v>
      </c>
      <c r="KZ178" s="4">
        <v>95.92629862243659</v>
      </c>
      <c r="LA178" s="5">
        <v>69.185409997177615</v>
      </c>
      <c r="LC178" s="6">
        <v>212011.13808000003</v>
      </c>
      <c r="LD178" s="5">
        <v>69.185409997177615</v>
      </c>
      <c r="LE178" s="6">
        <v>251000</v>
      </c>
      <c r="LF178" s="2">
        <v>75.7</v>
      </c>
      <c r="LL178" s="6">
        <v>36134.04</v>
      </c>
      <c r="LN178" s="5">
        <v>73.163532226122513</v>
      </c>
      <c r="LO178" s="6">
        <v>156255.72</v>
      </c>
      <c r="LP178" s="5">
        <v>66.547247798909012</v>
      </c>
      <c r="LQ178" s="5">
        <v>35.826080478845832</v>
      </c>
      <c r="LY178" s="6">
        <v>26921.49048</v>
      </c>
      <c r="LZ178" s="4">
        <v>65.477310526679275</v>
      </c>
      <c r="MA178" s="5">
        <v>31.625718517795825</v>
      </c>
      <c r="MC178" s="6">
        <v>219311.25048000002</v>
      </c>
      <c r="MD178" s="6">
        <v>232000</v>
      </c>
      <c r="ME178" s="2">
        <v>43.5</v>
      </c>
      <c r="MG178" s="5">
        <v>22.352</v>
      </c>
      <c r="MI178" s="15">
        <v>108.84931997136721</v>
      </c>
      <c r="MJ178" s="15">
        <v>472.44</v>
      </c>
      <c r="MK178" s="5">
        <v>84.946236559139791</v>
      </c>
      <c r="ML178" s="15">
        <v>112.96037592075184</v>
      </c>
      <c r="MN178" s="6">
        <v>1924.9339199999999</v>
      </c>
      <c r="MO178" s="4">
        <v>6.5329099712680012</v>
      </c>
      <c r="MP178" s="15">
        <v>114.95322914773095</v>
      </c>
      <c r="MQ178" s="6">
        <v>2419.7259199999999</v>
      </c>
      <c r="MR178" s="15">
        <v>114.50774970414831</v>
      </c>
      <c r="MV178" s="6">
        <v>2000</v>
      </c>
      <c r="MW178" s="2">
        <v>114.3</v>
      </c>
      <c r="NA178" s="4">
        <v>0.29483806586228795</v>
      </c>
      <c r="NB178" s="6">
        <v>12888.430769230768</v>
      </c>
      <c r="NG178" s="3">
        <v>3.0391000635035834E-2</v>
      </c>
      <c r="NH178" s="6">
        <v>5791.1880597014924</v>
      </c>
      <c r="NJ178" s="4">
        <v>0.3252290664973238</v>
      </c>
      <c r="NK178" s="6">
        <v>12225.229567642955</v>
      </c>
    </row>
    <row r="179" spans="1:375" x14ac:dyDescent="0.25">
      <c r="A179" s="2">
        <v>1967</v>
      </c>
      <c r="B179" s="6">
        <v>2973.1911</v>
      </c>
      <c r="C179" s="15">
        <v>333.26760000000002</v>
      </c>
      <c r="D179" s="15">
        <v>341.97560000000004</v>
      </c>
      <c r="E179" s="6">
        <v>1167.1208000000001</v>
      </c>
      <c r="F179" s="3">
        <v>3.1100000000000003E-2</v>
      </c>
      <c r="G179" s="6">
        <v>17843.780500000001</v>
      </c>
      <c r="H179" s="6">
        <v>2386.5828999999999</v>
      </c>
      <c r="I179" s="6">
        <v>25045.949600000004</v>
      </c>
      <c r="J179" s="15">
        <v>996.78456591639872</v>
      </c>
      <c r="K179" s="6">
        <v>26030.990474000013</v>
      </c>
      <c r="M179" s="6">
        <v>212482.88170000003</v>
      </c>
      <c r="N179" s="6">
        <v>333210.03390000004</v>
      </c>
      <c r="O179" s="4">
        <v>3.0789</v>
      </c>
      <c r="P179" s="6">
        <v>55924.6731</v>
      </c>
      <c r="R179" s="6">
        <v>6953.213600000001</v>
      </c>
      <c r="S179" s="6">
        <v>8516.1440999999995</v>
      </c>
      <c r="T179" s="6">
        <v>617090.0253000001</v>
      </c>
      <c r="U179" s="5">
        <v>44.687724335965534</v>
      </c>
      <c r="V179" s="6">
        <v>595018.7219</v>
      </c>
      <c r="X179" s="6">
        <v>2854865.5120000001</v>
      </c>
      <c r="Y179" s="6">
        <v>10736.072</v>
      </c>
      <c r="Z179" s="6">
        <v>2052.3200000000002</v>
      </c>
      <c r="AA179" s="6">
        <v>1375643.68</v>
      </c>
      <c r="AC179" s="6">
        <f t="shared" si="358"/>
        <v>4243297.5839999998</v>
      </c>
      <c r="AE179" s="5">
        <v>11.575735821966978</v>
      </c>
      <c r="AG179" s="6">
        <v>442291.4</v>
      </c>
      <c r="AI179" s="6">
        <v>411708.6</v>
      </c>
      <c r="AJ179" s="6"/>
      <c r="AK179" s="6">
        <v>854000</v>
      </c>
      <c r="AL179" s="5">
        <v>51.957359132849589</v>
      </c>
      <c r="AN179" s="6">
        <v>4850622.76</v>
      </c>
      <c r="AO179" s="6">
        <v>27241995.808000002</v>
      </c>
      <c r="AP179" s="6">
        <v>32579.056</v>
      </c>
      <c r="AQ179" s="6">
        <v>77765.656000000003</v>
      </c>
      <c r="AR179" s="6">
        <v>2077253.656</v>
      </c>
      <c r="AS179" s="6">
        <v>1079145.416</v>
      </c>
      <c r="AT179" s="6">
        <v>35359362.352000006</v>
      </c>
      <c r="AU179" s="2">
        <v>8.0299999999999994</v>
      </c>
      <c r="AW179" s="6">
        <v>23757744.711999997</v>
      </c>
      <c r="AX179" s="4">
        <v>0.87070806807480772</v>
      </c>
      <c r="BC179" s="5">
        <v>45.72</v>
      </c>
      <c r="BD179" s="5">
        <v>16.148791680000002</v>
      </c>
      <c r="BE179" s="5">
        <v>61.868791680000001</v>
      </c>
      <c r="BF179" s="6">
        <v>3921.3926776740846</v>
      </c>
      <c r="BH179" s="6">
        <v>52371.752</v>
      </c>
      <c r="BI179" s="6">
        <v>11575.288</v>
      </c>
      <c r="BJ179" s="2">
        <v>5.08</v>
      </c>
      <c r="BK179" s="6">
        <v>17747.488000000001</v>
      </c>
      <c r="BL179" s="5">
        <v>86.36</v>
      </c>
      <c r="BM179" s="6">
        <v>1043.432</v>
      </c>
      <c r="BN179" s="6">
        <v>9068.8160000000007</v>
      </c>
      <c r="BO179" s="6">
        <v>91806.775999999998</v>
      </c>
      <c r="BP179" s="6">
        <v>1026</v>
      </c>
      <c r="BQ179" s="6">
        <v>92375.372023999982</v>
      </c>
      <c r="BV179" s="15"/>
      <c r="BZ179" s="6">
        <v>11263</v>
      </c>
      <c r="CA179" s="6">
        <v>24169.624</v>
      </c>
      <c r="CB179" s="15">
        <v>487.68</v>
      </c>
      <c r="CD179" s="6">
        <v>4645100.1840000004</v>
      </c>
      <c r="CE179" s="6">
        <v>12355273.232000001</v>
      </c>
      <c r="CF179" s="6">
        <v>318859.408</v>
      </c>
      <c r="CG179" s="6">
        <v>17355153.127999999</v>
      </c>
      <c r="CH179" s="4">
        <v>8.36</v>
      </c>
      <c r="CK179" s="5">
        <v>29.463999999999999</v>
      </c>
      <c r="CO179" s="6">
        <v>198186.04</v>
      </c>
      <c r="CP179" s="6">
        <v>370710.96799999999</v>
      </c>
      <c r="CQ179" s="6">
        <v>4469.384</v>
      </c>
      <c r="CR179" s="6">
        <v>573395.85600000003</v>
      </c>
      <c r="CS179" s="5">
        <v>19.74156496769562</v>
      </c>
      <c r="CT179" s="6">
        <v>370710.96799999999</v>
      </c>
      <c r="CX179" s="6">
        <v>2093.4602784000003</v>
      </c>
      <c r="CY179" s="6">
        <v>2093.4602784000003</v>
      </c>
      <c r="DA179" s="6">
        <v>1729</v>
      </c>
      <c r="DB179" s="6">
        <v>2093.4679999999998</v>
      </c>
      <c r="DD179" s="6">
        <v>77662.024000000005</v>
      </c>
      <c r="DE179" s="6">
        <v>286687.76799999998</v>
      </c>
      <c r="DG179" s="6">
        <v>15376.144</v>
      </c>
      <c r="DI179" s="15">
        <v>699.00800000000004</v>
      </c>
      <c r="DJ179" s="2">
        <v>1342</v>
      </c>
      <c r="DK179" s="6">
        <v>381766.94399999996</v>
      </c>
      <c r="DL179" s="15">
        <v>217.5</v>
      </c>
      <c r="DM179" s="6">
        <v>383586.97968000005</v>
      </c>
      <c r="DO179" s="6">
        <v>51850.544000000002</v>
      </c>
      <c r="DP179" s="6">
        <v>303450.75199999998</v>
      </c>
      <c r="DR179" s="6">
        <v>49631.6</v>
      </c>
      <c r="DS179" s="15">
        <v>201.16800000000001</v>
      </c>
      <c r="DT179" s="15">
        <v>699.00800000000004</v>
      </c>
      <c r="DU179" s="6">
        <v>1967.992</v>
      </c>
      <c r="DV179" s="6">
        <v>407801.06399999995</v>
      </c>
      <c r="DW179" s="15">
        <v>260.73</v>
      </c>
      <c r="DX179" s="6">
        <v>381685.4</v>
      </c>
      <c r="DZ179" s="6">
        <v>1644.3</v>
      </c>
      <c r="EA179" s="6">
        <v>1594.2269360000003</v>
      </c>
      <c r="EB179" s="15">
        <v>31.391703710423659</v>
      </c>
      <c r="EC179" s="6">
        <v>1553.1795199999999</v>
      </c>
      <c r="ED179" s="6">
        <v>878.38280000000009</v>
      </c>
      <c r="EE179" s="5">
        <v>43.620178041543021</v>
      </c>
      <c r="EF179" s="6">
        <v>5745.1011377519671</v>
      </c>
      <c r="EG179" s="6">
        <v>3339</v>
      </c>
      <c r="EL179" s="15">
        <v>253.45</v>
      </c>
      <c r="EM179" s="15">
        <v>253.45</v>
      </c>
      <c r="EN179" s="6">
        <v>9920.7000000000007</v>
      </c>
      <c r="EO179" s="6">
        <v>257</v>
      </c>
      <c r="EZ179" s="15">
        <v>100.24872000000001</v>
      </c>
      <c r="FC179" s="6">
        <v>5317.7439999999997</v>
      </c>
      <c r="FF179" s="6">
        <v>5417.9927199999993</v>
      </c>
      <c r="FG179" s="15">
        <v>906.31730078966257</v>
      </c>
      <c r="FI179" s="200"/>
      <c r="FJ179" s="200"/>
      <c r="FK179" s="200"/>
      <c r="FL179" s="200"/>
      <c r="FN179" s="15">
        <v>118.44938980617371</v>
      </c>
      <c r="FY179" s="202"/>
      <c r="FZ179" s="5">
        <v>13.306147403013766</v>
      </c>
      <c r="GA179" s="202"/>
      <c r="GB179" s="5">
        <v>13.306147403013766</v>
      </c>
      <c r="GC179" s="15">
        <v>870.42354630294324</v>
      </c>
      <c r="GQ179" s="6">
        <v>11958.32</v>
      </c>
      <c r="GS179" s="6">
        <v>1113609.152</v>
      </c>
      <c r="GT179" s="6">
        <v>1125567.4720000001</v>
      </c>
      <c r="GU179" s="4">
        <v>3.9370078740157481</v>
      </c>
      <c r="HO179" s="17"/>
      <c r="HP179" s="17"/>
      <c r="HV179" s="5">
        <v>11.582400000000002</v>
      </c>
      <c r="HW179" s="15">
        <v>301.14240000000001</v>
      </c>
      <c r="HY179" s="15">
        <v>863.92512000000011</v>
      </c>
      <c r="HZ179" s="6">
        <f t="shared" si="363"/>
        <v>1176.6499200000001</v>
      </c>
      <c r="IA179" s="15">
        <v>182.14165366553985</v>
      </c>
      <c r="IC179" s="4">
        <v>1.335378894654434</v>
      </c>
      <c r="ID179" s="4">
        <v>2.8106118100864186</v>
      </c>
      <c r="IF179" s="15">
        <v>952.28829772641996</v>
      </c>
      <c r="IH179" s="4">
        <v>1.1623234578087192</v>
      </c>
      <c r="II179" s="4">
        <v>0.73310667817083686</v>
      </c>
      <c r="IJ179" s="15">
        <v>958.32971856714039</v>
      </c>
      <c r="IK179" s="6">
        <v>3679.109834888729</v>
      </c>
      <c r="IN179" s="5">
        <v>16.311549800000002</v>
      </c>
      <c r="IP179" s="5">
        <v>16.311549800000002</v>
      </c>
      <c r="IQ179" s="6">
        <v>21737.561756597839</v>
      </c>
      <c r="IW179" s="15">
        <v>308.86400000000003</v>
      </c>
      <c r="IX179" s="16">
        <v>43.688000000000002</v>
      </c>
      <c r="IY179" s="15">
        <v>171.65336115395084</v>
      </c>
      <c r="IZ179" s="15">
        <v>524.20536115395089</v>
      </c>
      <c r="JJ179" s="6">
        <v>11537.696</v>
      </c>
      <c r="JK179" s="5">
        <v>44.989432898908063</v>
      </c>
      <c r="JL179" s="4">
        <v>2.0209407493489167</v>
      </c>
      <c r="JR179" s="6">
        <v>436494.16383999999</v>
      </c>
      <c r="JS179" s="2">
        <v>54.83</v>
      </c>
      <c r="JT179" s="4">
        <v>9.5881010027297773</v>
      </c>
      <c r="JV179" s="6">
        <v>448031.85983999999</v>
      </c>
      <c r="JW179" s="4">
        <v>9.5881010027297773</v>
      </c>
      <c r="JX179" s="6">
        <v>554000</v>
      </c>
      <c r="JY179" s="5">
        <v>10</v>
      </c>
      <c r="KE179" s="5">
        <v>607.83216000000004</v>
      </c>
      <c r="KF179" s="4">
        <v>88.749038879416958</v>
      </c>
      <c r="KG179" s="5">
        <v>49.928914587211047</v>
      </c>
      <c r="KI179" s="6">
        <v>607.83216000000004</v>
      </c>
      <c r="KJ179" s="5">
        <v>49.928914587211047</v>
      </c>
      <c r="KL179" s="6">
        <v>56677.56</v>
      </c>
      <c r="KN179" s="5">
        <v>75.029288487366074</v>
      </c>
      <c r="KO179" s="6">
        <v>187340.24</v>
      </c>
      <c r="KP179" s="5">
        <v>95.999240739736422</v>
      </c>
      <c r="KQ179" s="5">
        <v>72.830834421905308</v>
      </c>
      <c r="KY179" s="5">
        <v>406.4</v>
      </c>
      <c r="KZ179" s="4">
        <v>95.935000000000002</v>
      </c>
      <c r="LA179" s="5">
        <v>70.761564960629926</v>
      </c>
      <c r="LC179" s="6">
        <v>244424.19999999998</v>
      </c>
      <c r="LD179" s="5">
        <v>70.761564960629926</v>
      </c>
      <c r="LE179" s="6">
        <v>270000</v>
      </c>
      <c r="LF179" s="2">
        <v>74.900000000000006</v>
      </c>
      <c r="LL179" s="6">
        <v>56677.56</v>
      </c>
      <c r="LN179" s="5">
        <v>75.029288487366074</v>
      </c>
      <c r="LO179" s="6">
        <v>179124.864</v>
      </c>
      <c r="LP179" s="5">
        <v>66.532415364856305</v>
      </c>
      <c r="LQ179" s="5">
        <v>40.095784804057132</v>
      </c>
      <c r="LY179" s="6">
        <v>30092.070879999999</v>
      </c>
      <c r="LZ179" s="4">
        <v>65.470093030699388</v>
      </c>
      <c r="MA179" s="5">
        <v>38.146543472451107</v>
      </c>
      <c r="MC179" s="6">
        <v>265894.49488000001</v>
      </c>
      <c r="MD179" s="6">
        <v>290000</v>
      </c>
      <c r="ME179" s="5">
        <v>44</v>
      </c>
      <c r="MG179" s="5">
        <v>19.304000000000002</v>
      </c>
      <c r="MI179" s="15">
        <v>143.70078740157479</v>
      </c>
      <c r="MJ179" s="15">
        <v>501.904</v>
      </c>
      <c r="MK179" s="5">
        <v>87.854251012145752</v>
      </c>
      <c r="ML179" s="15">
        <v>143.21463865599796</v>
      </c>
      <c r="MN179" s="6">
        <v>1439.8752000000002</v>
      </c>
      <c r="MO179" s="4">
        <v>5.8045447272096906</v>
      </c>
      <c r="MP179" s="15">
        <v>123.85632449256711</v>
      </c>
      <c r="MQ179" s="6">
        <v>1961.0832</v>
      </c>
      <c r="MR179" s="15">
        <v>129.00607684569425</v>
      </c>
      <c r="MV179" s="6">
        <v>2400</v>
      </c>
      <c r="MW179" s="2">
        <v>126.3</v>
      </c>
    </row>
    <row r="180" spans="1:375" x14ac:dyDescent="0.25">
      <c r="A180" s="2">
        <v>1968</v>
      </c>
      <c r="B180" s="6">
        <v>2579.4029</v>
      </c>
      <c r="C180" s="15">
        <v>269.57479999999998</v>
      </c>
      <c r="D180" s="15">
        <v>344.24590000000001</v>
      </c>
      <c r="E180" s="6">
        <v>1135.4299000000001</v>
      </c>
      <c r="F180" s="4">
        <v>1.1818</v>
      </c>
      <c r="G180" s="6">
        <v>16046.0139</v>
      </c>
      <c r="H180" s="6">
        <v>3937.5709999999999</v>
      </c>
      <c r="I180" s="6">
        <v>24313.4202</v>
      </c>
      <c r="J180" s="6">
        <v>1125.4019292604501</v>
      </c>
      <c r="K180" s="6">
        <v>23237.331746000007</v>
      </c>
      <c r="M180" s="6">
        <v>299321.57680000004</v>
      </c>
      <c r="N180" s="6">
        <v>296100.51870000002</v>
      </c>
      <c r="O180" s="4">
        <v>8.0860000000000003</v>
      </c>
      <c r="P180" s="6">
        <v>54350.950900000003</v>
      </c>
      <c r="Q180" s="5">
        <v>40.678800000000003</v>
      </c>
      <c r="R180" s="6">
        <v>5828.2955000000002</v>
      </c>
      <c r="S180" s="6">
        <v>9699.6545999999998</v>
      </c>
      <c r="T180" s="6">
        <v>665349.76130000013</v>
      </c>
      <c r="U180" s="5">
        <v>61.676378305692516</v>
      </c>
      <c r="V180" s="6">
        <v>619383.26597812015</v>
      </c>
      <c r="X180" s="6">
        <v>3309106.92</v>
      </c>
      <c r="Y180" s="6">
        <v>12028.424000000001</v>
      </c>
      <c r="AA180" s="6">
        <v>1633715.808</v>
      </c>
      <c r="AC180" s="6">
        <f t="shared" si="358"/>
        <v>4954851.1519999998</v>
      </c>
      <c r="AE180" s="5">
        <v>11.295383236216944</v>
      </c>
      <c r="AG180" s="6">
        <v>821439.12800000003</v>
      </c>
      <c r="AI180" s="6">
        <v>488560.87200000003</v>
      </c>
      <c r="AJ180" s="6"/>
      <c r="AK180" s="6">
        <v>1310000</v>
      </c>
      <c r="AL180" s="5">
        <v>55.007178750897339</v>
      </c>
      <c r="AN180" s="6">
        <v>6766765.2319999998</v>
      </c>
      <c r="AO180" s="6">
        <v>30834331.015999999</v>
      </c>
      <c r="AP180" s="6">
        <v>26735.024000000001</v>
      </c>
      <c r="AQ180" s="6">
        <v>92384.88</v>
      </c>
      <c r="AR180" s="6">
        <v>2111517.2400000002</v>
      </c>
      <c r="AS180" s="6">
        <v>1104777.064</v>
      </c>
      <c r="AT180" s="6">
        <v>40936510.456</v>
      </c>
      <c r="AU180" s="2">
        <v>8.2100000000000009</v>
      </c>
      <c r="AW180" s="6">
        <v>23338183.448000003</v>
      </c>
      <c r="AX180" s="4">
        <v>0.923599261614648</v>
      </c>
      <c r="BC180" s="5">
        <v>99.567999999999998</v>
      </c>
      <c r="BD180" s="5">
        <v>12.784460080000002</v>
      </c>
      <c r="BE180" s="15">
        <v>112.35246008</v>
      </c>
      <c r="BF180" s="6">
        <v>1378.8360727646266</v>
      </c>
      <c r="BH180" s="6">
        <v>70558.152000000002</v>
      </c>
      <c r="BI180" s="6">
        <v>12475.464</v>
      </c>
      <c r="BJ180" s="2">
        <v>5.08</v>
      </c>
      <c r="BK180" s="6">
        <v>16866.616000000002</v>
      </c>
      <c r="BL180" s="5">
        <v>81.28</v>
      </c>
      <c r="BM180" s="6">
        <v>1616.4560000000001</v>
      </c>
      <c r="BN180" s="6">
        <v>8029.4480000000003</v>
      </c>
      <c r="BO180" s="6">
        <v>109632.496</v>
      </c>
      <c r="BP180" s="6">
        <v>1099</v>
      </c>
      <c r="BQ180" s="6">
        <v>112529.161808</v>
      </c>
      <c r="BV180" s="15"/>
      <c r="BZ180" s="6">
        <v>17554</v>
      </c>
      <c r="CA180" s="6">
        <v>17423.384000000002</v>
      </c>
      <c r="CB180" s="15">
        <v>176.78399999999999</v>
      </c>
      <c r="CD180" s="6">
        <v>5565748.5839999998</v>
      </c>
      <c r="CE180" s="6">
        <v>19128834.488000002</v>
      </c>
      <c r="CF180" s="6">
        <v>840415.89600000007</v>
      </c>
      <c r="CG180" s="6">
        <v>25570153.136000004</v>
      </c>
      <c r="CH180" s="4">
        <v>8.67</v>
      </c>
      <c r="CN180" s="5">
        <v>24.384</v>
      </c>
      <c r="CO180" s="6">
        <v>152743.408</v>
      </c>
      <c r="CP180" s="6">
        <v>591022.44000000006</v>
      </c>
      <c r="CQ180" s="6">
        <v>2919.9839999999999</v>
      </c>
      <c r="CR180" s="6">
        <v>746710.21600000013</v>
      </c>
      <c r="CS180" s="5">
        <v>17.032720753025551</v>
      </c>
      <c r="CT180" s="6">
        <v>591022.44000000006</v>
      </c>
      <c r="CX180" s="6">
        <v>5519.6841599999998</v>
      </c>
      <c r="CY180" s="6">
        <v>5519.6841599999998</v>
      </c>
      <c r="DA180" s="6">
        <v>1853</v>
      </c>
      <c r="DB180" s="6">
        <v>5519.6841600000007</v>
      </c>
      <c r="DD180" s="6">
        <v>118545.864</v>
      </c>
      <c r="DE180" s="6">
        <v>253479.80799999999</v>
      </c>
      <c r="DG180" s="6">
        <v>15148.56</v>
      </c>
      <c r="DH180" s="5">
        <v>43.688000000000002</v>
      </c>
      <c r="DI180" s="15">
        <v>315.976</v>
      </c>
      <c r="DJ180" s="2">
        <v>1240</v>
      </c>
      <c r="DK180" s="6">
        <v>388773.89600000007</v>
      </c>
      <c r="DL180" s="15">
        <v>218.55</v>
      </c>
      <c r="DM180" s="6">
        <v>369077.34895999997</v>
      </c>
      <c r="DO180" s="6">
        <v>85435.44</v>
      </c>
      <c r="DP180" s="6">
        <v>284702.50400000002</v>
      </c>
      <c r="DR180" s="6">
        <v>49518.824000000001</v>
      </c>
      <c r="DS180" s="6">
        <v>2743.2</v>
      </c>
      <c r="DT180" s="15">
        <v>315.976</v>
      </c>
      <c r="DU180" s="6">
        <v>1893.8240000000001</v>
      </c>
      <c r="DV180" s="6">
        <v>424609.7680000001</v>
      </c>
      <c r="DW180" s="15">
        <v>262</v>
      </c>
      <c r="DX180" s="6">
        <v>387601.31199999998</v>
      </c>
      <c r="DZ180" s="6">
        <v>1124.2</v>
      </c>
      <c r="EA180" s="6">
        <v>1471.043032</v>
      </c>
      <c r="EB180" s="15">
        <v>60.756800000000005</v>
      </c>
      <c r="EC180" s="6">
        <v>3121.033128</v>
      </c>
      <c r="ED180" s="6">
        <v>842.04048000000012</v>
      </c>
      <c r="EE180" s="5">
        <v>18.694362017804153</v>
      </c>
      <c r="EF180" s="6">
        <v>6637.7678020178046</v>
      </c>
      <c r="EG180" s="6">
        <v>3125</v>
      </c>
      <c r="EL180" s="15">
        <v>251.7</v>
      </c>
      <c r="EM180" s="15">
        <v>251.7</v>
      </c>
      <c r="EN180" s="6">
        <v>9920.7000000000007</v>
      </c>
      <c r="EO180" s="6">
        <v>246.4</v>
      </c>
      <c r="EZ180" s="15">
        <v>159.09036</v>
      </c>
      <c r="FC180" s="6">
        <v>6056.3760000000002</v>
      </c>
      <c r="FF180" s="6">
        <v>6215.4663600000003</v>
      </c>
      <c r="FG180" s="15">
        <v>905.42357687135814</v>
      </c>
      <c r="FI180" s="200"/>
      <c r="FJ180" s="200"/>
      <c r="FK180" s="200"/>
      <c r="FL180" s="200"/>
      <c r="FN180" s="15">
        <v>123.71134020618557</v>
      </c>
      <c r="FY180" s="202"/>
      <c r="FZ180" s="5">
        <v>14.722543903184645</v>
      </c>
      <c r="GA180" s="202"/>
      <c r="GB180" s="5">
        <v>14.722543903184645</v>
      </c>
      <c r="GC180" s="15">
        <v>889.28731510533396</v>
      </c>
      <c r="GQ180" s="6">
        <v>5835.9040000000005</v>
      </c>
      <c r="GS180" s="6">
        <v>1145830.5760000001</v>
      </c>
      <c r="GT180" s="6">
        <v>1151666.4800000002</v>
      </c>
      <c r="GU180" s="4">
        <v>3.9370078740157477</v>
      </c>
      <c r="HO180" s="17"/>
      <c r="HP180" s="17"/>
      <c r="HV180" s="5">
        <v>52.425600000000003</v>
      </c>
      <c r="HW180" s="15">
        <v>322.47840000000002</v>
      </c>
      <c r="HY180" s="6">
        <v>1118.8049759999999</v>
      </c>
      <c r="HZ180" s="6">
        <f t="shared" si="363"/>
        <v>1493.7089759999999</v>
      </c>
      <c r="IA180" s="15">
        <v>192.93405229243592</v>
      </c>
      <c r="IC180" s="4">
        <v>1.4662983941303589</v>
      </c>
      <c r="ID180" s="4">
        <v>0.34638074905467381</v>
      </c>
      <c r="IF180" s="6">
        <v>1128.7275000970512</v>
      </c>
      <c r="IH180" s="4">
        <v>0.27714650965980409</v>
      </c>
      <c r="IJ180" s="6">
        <v>1130.8173257498961</v>
      </c>
      <c r="IK180" s="6">
        <v>4437.4719856566562</v>
      </c>
      <c r="IN180" s="15">
        <v>353.70609878400001</v>
      </c>
      <c r="IP180" s="15">
        <v>353.70609878400001</v>
      </c>
      <c r="IQ180" s="6">
        <v>2782.5041663466327</v>
      </c>
      <c r="IW180" s="15">
        <v>275.33600000000001</v>
      </c>
      <c r="IX180" s="16">
        <v>49.783999999999999</v>
      </c>
      <c r="IY180" s="15">
        <v>147.11829810396443</v>
      </c>
      <c r="IZ180" s="15">
        <v>472.23829810396444</v>
      </c>
      <c r="JB180" s="5">
        <v>59.944000000000003</v>
      </c>
      <c r="JD180" s="5">
        <v>59.944000000000003</v>
      </c>
      <c r="JE180" s="5">
        <v>18.734151875083409</v>
      </c>
      <c r="JG180" s="6">
        <v>2082.8000000000002</v>
      </c>
      <c r="JI180" s="4">
        <v>1.2603226425965046</v>
      </c>
      <c r="JJ180" s="6">
        <v>11924.791999999999</v>
      </c>
      <c r="JK180" s="5">
        <v>45.002982022663375</v>
      </c>
      <c r="JL180" s="4">
        <v>2.8749348416307807</v>
      </c>
      <c r="JR180" s="6">
        <v>471817.01928000001</v>
      </c>
      <c r="JS180" s="2">
        <v>54.57</v>
      </c>
      <c r="JT180" s="4">
        <v>9.6642045404767867</v>
      </c>
      <c r="JV180" s="6">
        <v>485824.61128000001</v>
      </c>
      <c r="JW180" s="4">
        <v>9.6642045404767867</v>
      </c>
      <c r="JX180" s="6">
        <v>562000</v>
      </c>
      <c r="JY180" s="2">
        <v>10.199999999999999</v>
      </c>
      <c r="KE180" s="6">
        <v>1722.53656</v>
      </c>
      <c r="KF180" s="4">
        <v>89.995930187978132</v>
      </c>
      <c r="KG180" s="5">
        <v>46.504412074713819</v>
      </c>
      <c r="KI180" s="6">
        <v>1722.53656</v>
      </c>
      <c r="KJ180" s="5">
        <v>46.504412074713819</v>
      </c>
      <c r="KL180" s="6">
        <v>71899.271999999997</v>
      </c>
      <c r="KN180" s="5">
        <v>77.235844613280648</v>
      </c>
      <c r="KO180" s="6">
        <v>196014.848</v>
      </c>
      <c r="KP180" s="5">
        <v>95.999025543207836</v>
      </c>
      <c r="KQ180" s="5">
        <v>72.719404399405505</v>
      </c>
      <c r="KY180" s="5">
        <v>858.95687999999996</v>
      </c>
      <c r="KZ180" s="4">
        <v>96.25161160592836</v>
      </c>
      <c r="LA180" s="5">
        <v>77.715542600927776</v>
      </c>
      <c r="LC180" s="6">
        <v>268773.07688000001</v>
      </c>
      <c r="LD180" s="5">
        <v>77.715542600927776</v>
      </c>
      <c r="LE180" s="6">
        <v>293000</v>
      </c>
      <c r="LF180" s="2">
        <v>75.5</v>
      </c>
      <c r="LL180" s="6">
        <v>71899.271999999997</v>
      </c>
      <c r="LN180" s="5">
        <v>77.235844613280648</v>
      </c>
      <c r="LO180" s="6">
        <v>189272.67199999999</v>
      </c>
      <c r="LP180" s="5">
        <v>66.547962443235392</v>
      </c>
      <c r="LQ180" s="5">
        <v>37.692985070766056</v>
      </c>
      <c r="LY180" s="6">
        <v>28826.023120000002</v>
      </c>
      <c r="LZ180" s="4">
        <v>65.480135922405381</v>
      </c>
      <c r="MA180" s="5">
        <v>31.200226137888421</v>
      </c>
      <c r="MC180" s="6">
        <v>289997.96711999999</v>
      </c>
      <c r="MD180" s="6">
        <v>292000</v>
      </c>
      <c r="ME180" s="5">
        <v>42</v>
      </c>
      <c r="MG180" s="5">
        <v>87.376000000000005</v>
      </c>
      <c r="MI180" s="15">
        <v>154.28721845815784</v>
      </c>
      <c r="MJ180" s="15">
        <v>537.46400000000006</v>
      </c>
      <c r="MK180" s="5">
        <v>74.669187145557657</v>
      </c>
      <c r="ML180" s="15">
        <v>130.97621422085942</v>
      </c>
      <c r="MN180" s="6">
        <v>1864.6749600000001</v>
      </c>
      <c r="MO180" s="4">
        <v>6.5213560651878977</v>
      </c>
      <c r="MP180" s="15">
        <v>131.3381234014104</v>
      </c>
      <c r="MQ180" s="6">
        <v>2489.51496</v>
      </c>
      <c r="MR180" s="15">
        <v>132.06544860449443</v>
      </c>
      <c r="MS180" s="5">
        <v>2.032</v>
      </c>
      <c r="MT180" s="4">
        <v>19.163581373520362</v>
      </c>
      <c r="MU180" s="6">
        <v>2434.1683070866138</v>
      </c>
      <c r="MV180" s="6">
        <v>2100</v>
      </c>
      <c r="MW180" s="2">
        <v>134.6</v>
      </c>
    </row>
    <row r="181" spans="1:375" x14ac:dyDescent="0.25">
      <c r="A181" s="2">
        <v>1969</v>
      </c>
      <c r="B181" s="6">
        <v>2237</v>
      </c>
      <c r="C181" s="15">
        <v>328.54040000000003</v>
      </c>
      <c r="D181" s="15">
        <v>266.15379999999999</v>
      </c>
      <c r="E181" s="6">
        <v>1251.6506000000002</v>
      </c>
      <c r="F181" s="5">
        <v>12</v>
      </c>
      <c r="G181" s="6">
        <v>13720</v>
      </c>
      <c r="H181" s="6">
        <v>4016</v>
      </c>
      <c r="I181" s="6">
        <v>21831.344799999999</v>
      </c>
      <c r="J181" s="6">
        <v>1187.1382636655949</v>
      </c>
      <c r="K181" s="6">
        <v>21162.676090000004</v>
      </c>
      <c r="M181" s="6">
        <v>358914</v>
      </c>
      <c r="N181" s="6">
        <v>334340</v>
      </c>
      <c r="O181" s="4">
        <v>1.1818</v>
      </c>
      <c r="P181" s="6">
        <v>54233</v>
      </c>
      <c r="Q181" s="5">
        <v>35.671700000000001</v>
      </c>
      <c r="R181" s="6">
        <v>4195.0167999999994</v>
      </c>
      <c r="S181" s="6">
        <v>8976</v>
      </c>
      <c r="T181" s="6">
        <v>760795</v>
      </c>
      <c r="U181" s="5">
        <v>51.734987414599061</v>
      </c>
      <c r="V181" s="6">
        <v>718332.73547952762</v>
      </c>
      <c r="X181" s="6">
        <v>5297210</v>
      </c>
      <c r="Y181" s="6">
        <v>12749</v>
      </c>
      <c r="Z181" s="6">
        <v>4277.3599999999997</v>
      </c>
      <c r="AA181" s="6">
        <v>2607089</v>
      </c>
      <c r="AC181" s="6">
        <f t="shared" si="358"/>
        <v>7921325.3600000003</v>
      </c>
      <c r="AE181" s="5">
        <v>11.722402013664148</v>
      </c>
      <c r="AG181" s="6">
        <v>1159892.5759999999</v>
      </c>
      <c r="AI181" s="6">
        <v>771107.424</v>
      </c>
      <c r="AJ181" s="6"/>
      <c r="AK181" s="6">
        <v>1931000</v>
      </c>
      <c r="AL181" s="5">
        <v>70.730614074406105</v>
      </c>
      <c r="AN181" s="6">
        <v>8672000</v>
      </c>
      <c r="AO181" s="6">
        <v>33975000</v>
      </c>
      <c r="AP181" s="15">
        <v>456.18400000000003</v>
      </c>
      <c r="AQ181" s="6">
        <v>117787.928</v>
      </c>
      <c r="AR181" s="6">
        <v>2245838.5359999998</v>
      </c>
      <c r="AS181" s="6">
        <v>1107978.48</v>
      </c>
      <c r="AT181" s="6">
        <v>46119061.127999999</v>
      </c>
      <c r="AU181" s="2">
        <v>8.33</v>
      </c>
      <c r="AW181" s="6">
        <v>23272825.183999997</v>
      </c>
      <c r="AX181" s="4">
        <v>0.90952765006598524</v>
      </c>
      <c r="BC181" s="15">
        <v>106.68</v>
      </c>
      <c r="BD181" s="5">
        <v>15.23221</v>
      </c>
      <c r="BE181" s="15">
        <v>121.91221</v>
      </c>
      <c r="BF181" s="6">
        <v>1456.1230290929363</v>
      </c>
      <c r="BH181" s="6">
        <v>87253</v>
      </c>
      <c r="BI181" s="6">
        <v>15281.656000000001</v>
      </c>
      <c r="BJ181" s="5">
        <v>66.040000000000006</v>
      </c>
      <c r="BK181" s="6">
        <v>18985</v>
      </c>
      <c r="BL181" s="2">
        <v>162</v>
      </c>
      <c r="BM181" s="6">
        <v>2183.384</v>
      </c>
      <c r="BN181" s="6">
        <v>6886</v>
      </c>
      <c r="BO181" s="6">
        <v>131056</v>
      </c>
      <c r="BP181" s="6">
        <v>1324</v>
      </c>
      <c r="BQ181" s="6">
        <v>132351.95071999999</v>
      </c>
      <c r="BV181" s="15"/>
      <c r="BZ181" s="6">
        <v>12786</v>
      </c>
      <c r="CA181" s="6">
        <v>5627.6239999999998</v>
      </c>
      <c r="CB181" s="15">
        <v>151.38400000000001</v>
      </c>
      <c r="CC181" s="6">
        <v>1994254.584</v>
      </c>
      <c r="CD181" s="6">
        <v>7041731.4079999998</v>
      </c>
      <c r="CE181" s="6">
        <v>28617000</v>
      </c>
      <c r="CF181" s="6">
        <v>922145.98400000005</v>
      </c>
      <c r="CG181" s="6">
        <v>38593696.983999997</v>
      </c>
      <c r="CH181" s="4">
        <v>8.69</v>
      </c>
      <c r="CN181" s="5">
        <v>91.44</v>
      </c>
      <c r="CO181" s="6">
        <v>184289</v>
      </c>
      <c r="CP181" s="6">
        <v>704817</v>
      </c>
      <c r="CQ181" s="6">
        <v>3515</v>
      </c>
      <c r="CR181" s="6">
        <v>892712.44</v>
      </c>
      <c r="CS181" s="5">
        <v>53</v>
      </c>
      <c r="CT181" s="6">
        <v>704817</v>
      </c>
      <c r="CX181" s="6">
        <v>10973.165759999998</v>
      </c>
      <c r="CY181" s="6">
        <v>10973.165759999998</v>
      </c>
      <c r="DA181" s="6">
        <v>2110</v>
      </c>
      <c r="DB181" s="6">
        <v>10973.165759999998</v>
      </c>
      <c r="DD181" s="6">
        <v>150097</v>
      </c>
      <c r="DE181" s="6">
        <v>284863</v>
      </c>
      <c r="DG181" s="6">
        <v>15145</v>
      </c>
      <c r="DH181" s="5">
        <v>48.768000000000001</v>
      </c>
      <c r="DI181" s="15">
        <v>662.43200000000002</v>
      </c>
      <c r="DJ181" s="2">
        <v>1223</v>
      </c>
      <c r="DK181" s="6">
        <v>452039.19999999995</v>
      </c>
      <c r="DL181" s="15">
        <v>259.2</v>
      </c>
      <c r="DM181" s="6">
        <v>434259.80682399997</v>
      </c>
      <c r="DO181" s="6">
        <v>105687</v>
      </c>
      <c r="DP181" s="6">
        <v>348993</v>
      </c>
      <c r="DR181" s="6">
        <v>51013</v>
      </c>
      <c r="DS181" s="6">
        <v>8636</v>
      </c>
      <c r="DT181" s="15">
        <v>662.43200000000002</v>
      </c>
      <c r="DU181" s="6">
        <v>1619</v>
      </c>
      <c r="DV181" s="6">
        <v>516610.43199999997</v>
      </c>
      <c r="DW181" s="15">
        <v>277.77</v>
      </c>
      <c r="DX181" s="6">
        <v>473858.70395999996</v>
      </c>
      <c r="DZ181" s="6">
        <v>1138.2</v>
      </c>
      <c r="EA181" s="2">
        <v>722</v>
      </c>
      <c r="EB181" s="15">
        <v>10.431849999999999</v>
      </c>
      <c r="EC181" s="6">
        <v>4691.2336960000002</v>
      </c>
      <c r="ED181" s="15">
        <v>471.69832000000002</v>
      </c>
      <c r="EE181" s="5">
        <v>20.35608308605341</v>
      </c>
      <c r="EF181" s="6">
        <v>7053.9199490860537</v>
      </c>
      <c r="EG181" s="6">
        <v>3427</v>
      </c>
      <c r="EL181" s="15">
        <v>248.3</v>
      </c>
      <c r="EM181" s="15">
        <v>248.3</v>
      </c>
      <c r="EN181" s="6">
        <v>9920.7000000000007</v>
      </c>
      <c r="EO181" s="6">
        <v>200</v>
      </c>
      <c r="EZ181" s="5">
        <v>89.12082518419291</v>
      </c>
      <c r="FC181" s="6">
        <v>6287.0079999999998</v>
      </c>
      <c r="FF181" s="6">
        <v>6376.1288251841925</v>
      </c>
      <c r="FG181" s="6">
        <v>1141.6756562387629</v>
      </c>
      <c r="FI181" s="200"/>
      <c r="FJ181" s="200"/>
      <c r="FK181" s="200"/>
      <c r="FL181" s="200"/>
      <c r="FN181" s="15">
        <v>124.05609492988133</v>
      </c>
      <c r="FY181" s="202"/>
      <c r="FZ181" s="5">
        <v>14.163965001708807</v>
      </c>
      <c r="GA181" s="202"/>
      <c r="GB181" s="5">
        <v>14.163965001708807</v>
      </c>
      <c r="GC181" s="15">
        <v>907.94678173318948</v>
      </c>
      <c r="GQ181" s="6">
        <v>18550.128000000001</v>
      </c>
      <c r="GS181" s="6">
        <v>1243268.0240000002</v>
      </c>
      <c r="GT181" s="6">
        <v>1261818.1520000002</v>
      </c>
      <c r="GU181" s="4">
        <v>3.9370078740157477</v>
      </c>
      <c r="HL181" s="5">
        <v>14.700659000000002</v>
      </c>
      <c r="HM181" s="4">
        <v>9.9753250000000016</v>
      </c>
      <c r="HO181" s="5">
        <v>14.700659000000002</v>
      </c>
      <c r="HP181" s="5">
        <v>9.9753250000000016</v>
      </c>
      <c r="HV181" s="5">
        <v>78.028800000000004</v>
      </c>
      <c r="HW181" s="15">
        <v>220.06559999999999</v>
      </c>
      <c r="HY181" s="6">
        <v>1591.2388800000001</v>
      </c>
      <c r="HZ181" s="6">
        <f t="shared" si="363"/>
        <v>1889.3332800000001</v>
      </c>
      <c r="IA181" s="15">
        <v>179.36409581852257</v>
      </c>
      <c r="IC181" s="15">
        <v>140.92174923588556</v>
      </c>
      <c r="IF181" s="6">
        <v>1218.0033385525176</v>
      </c>
      <c r="II181" s="5">
        <v>20.100647109577221</v>
      </c>
      <c r="IJ181" s="6">
        <v>1379.0257348979803</v>
      </c>
      <c r="IK181" s="6">
        <v>4710.5357784969437</v>
      </c>
      <c r="IN181" s="15">
        <v>136.17096870399999</v>
      </c>
      <c r="IP181" s="15">
        <v>136.17096870399999</v>
      </c>
      <c r="IQ181" s="6">
        <v>4667.3541624948857</v>
      </c>
      <c r="IW181" s="15">
        <v>361.69600000000003</v>
      </c>
      <c r="IX181" s="16">
        <v>33.527999999999999</v>
      </c>
      <c r="IZ181" s="15">
        <v>395.22400000000005</v>
      </c>
      <c r="JB181" s="5">
        <v>30.48</v>
      </c>
      <c r="JD181" s="5">
        <v>30.48</v>
      </c>
      <c r="JE181" s="5">
        <v>18.700787401574804</v>
      </c>
      <c r="JG181" s="6">
        <v>22537.928</v>
      </c>
      <c r="JI181" s="4">
        <v>5.0964755943847191</v>
      </c>
      <c r="JJ181" s="6">
        <v>11110.976000000001</v>
      </c>
      <c r="JK181" s="5">
        <v>44.98445501097293</v>
      </c>
      <c r="JL181" s="4">
        <v>2.8582255908599161</v>
      </c>
      <c r="JN181" s="6">
        <v>22977.856</v>
      </c>
      <c r="JR181" s="6">
        <v>689893.85008</v>
      </c>
      <c r="JS181" s="2">
        <v>54.88</v>
      </c>
      <c r="JT181" s="2">
        <v>10.4</v>
      </c>
      <c r="JV181" s="6">
        <v>746520.61008000001</v>
      </c>
      <c r="JW181" s="2">
        <v>10.4</v>
      </c>
      <c r="JX181" s="6">
        <v>721000</v>
      </c>
      <c r="JY181" s="2">
        <v>10.4</v>
      </c>
      <c r="KE181" s="6">
        <v>6853.3263999999999</v>
      </c>
      <c r="KF181" s="4">
        <v>87.402377916802578</v>
      </c>
      <c r="KG181" s="5">
        <v>43.546876740030946</v>
      </c>
      <c r="KI181" s="6">
        <v>6853.3263999999999</v>
      </c>
      <c r="KJ181" s="5">
        <v>43.546876740030946</v>
      </c>
      <c r="KL181" s="6">
        <v>106713.52800000001</v>
      </c>
      <c r="KN181" s="5">
        <v>77.967228297428221</v>
      </c>
      <c r="KO181" s="6">
        <v>228005.64</v>
      </c>
      <c r="KP181" s="5">
        <v>95.999153354276658</v>
      </c>
      <c r="KQ181" s="5">
        <v>64.966504751430861</v>
      </c>
      <c r="KS181" s="6">
        <v>5322.8240000000005</v>
      </c>
      <c r="KT181" s="4">
        <v>94.14010307310555</v>
      </c>
      <c r="KU181" s="15">
        <v>145.61556046189014</v>
      </c>
      <c r="KY181" s="6">
        <v>1669.3083200000001</v>
      </c>
      <c r="KZ181" s="4">
        <v>95.428540127326514</v>
      </c>
      <c r="LA181" s="5">
        <v>91.250291018737627</v>
      </c>
      <c r="LC181" s="6">
        <v>341711.30032000004</v>
      </c>
      <c r="LD181" s="5">
        <v>91.250291018737627</v>
      </c>
      <c r="LE181" s="6">
        <v>326000</v>
      </c>
      <c r="LF181" s="2">
        <v>83.9</v>
      </c>
      <c r="LH181" s="6">
        <v>2512.1412799999998</v>
      </c>
      <c r="LI181" s="2">
        <v>89.54</v>
      </c>
      <c r="LJ181" s="6">
        <v>2714.9301650741554</v>
      </c>
      <c r="LL181" s="6">
        <v>106713.52800000001</v>
      </c>
      <c r="LN181" s="5">
        <v>77.967228297428221</v>
      </c>
      <c r="LO181" s="6">
        <v>220871.288</v>
      </c>
      <c r="LP181" s="5">
        <v>66.550494682803958</v>
      </c>
      <c r="LQ181" s="5">
        <v>25.127984668374886</v>
      </c>
      <c r="LS181" s="6">
        <v>6193.5360000000001</v>
      </c>
      <c r="LT181" s="4">
        <v>65.774951529264072</v>
      </c>
      <c r="LU181" s="5">
        <v>54.982323506313676</v>
      </c>
      <c r="LY181" s="6">
        <v>27715.596080000003</v>
      </c>
      <c r="LZ181" s="4">
        <v>65.581343686547186</v>
      </c>
      <c r="MA181" s="5">
        <v>28.54152505746865</v>
      </c>
      <c r="MC181" s="6">
        <v>361493.94808</v>
      </c>
      <c r="MD181" s="6">
        <v>363000</v>
      </c>
      <c r="ME181" s="2">
        <v>40.5</v>
      </c>
      <c r="MG181" s="15">
        <v>130.048</v>
      </c>
      <c r="MI181" s="5">
        <v>82.200418307086608</v>
      </c>
      <c r="MJ181" s="15">
        <v>366.77600000000001</v>
      </c>
      <c r="MK181" s="5">
        <v>89.612188365650965</v>
      </c>
      <c r="ML181" s="5">
        <v>62.423659127096649</v>
      </c>
      <c r="MN181" s="6">
        <v>2652.0648000000001</v>
      </c>
      <c r="MO181" s="4">
        <v>6.5379812740623837</v>
      </c>
      <c r="MP181" s="15">
        <v>122.43484020450782</v>
      </c>
      <c r="MQ181" s="6">
        <v>3148.8888000000002</v>
      </c>
      <c r="MR181" s="15">
        <v>113.78319551963854</v>
      </c>
      <c r="MS181" s="5">
        <v>10.16</v>
      </c>
      <c r="MT181" s="4">
        <v>10.000564317557918</v>
      </c>
      <c r="MU181" s="15">
        <v>249.50787401574803</v>
      </c>
      <c r="MV181" s="6">
        <v>3900</v>
      </c>
      <c r="MW181" s="2">
        <v>125.9</v>
      </c>
      <c r="MY181" s="5">
        <v>15.035174400000001</v>
      </c>
      <c r="MZ181" s="6">
        <v>1652.3938157365365</v>
      </c>
      <c r="NJ181" s="5">
        <v>15.035174400000001</v>
      </c>
      <c r="NK181" s="6">
        <v>1652.3938157365365</v>
      </c>
    </row>
    <row r="182" spans="1:375" x14ac:dyDescent="0.25">
      <c r="A182" s="2">
        <v>1970</v>
      </c>
      <c r="B182" s="6">
        <v>2589</v>
      </c>
      <c r="C182" s="2">
        <v>325</v>
      </c>
      <c r="D182" s="2">
        <v>253</v>
      </c>
      <c r="E182" s="6">
        <v>1335</v>
      </c>
      <c r="F182" s="5">
        <v>16</v>
      </c>
      <c r="G182" s="6">
        <v>10898</v>
      </c>
      <c r="H182" s="6">
        <v>3865</v>
      </c>
      <c r="I182" s="6">
        <v>19281</v>
      </c>
      <c r="J182" s="6">
        <v>1036.0128617363343</v>
      </c>
      <c r="K182" s="6">
        <v>18664.180897999999</v>
      </c>
      <c r="M182" s="6">
        <v>407438</v>
      </c>
      <c r="N182" s="6">
        <v>339290</v>
      </c>
      <c r="P182" s="6">
        <v>53296</v>
      </c>
      <c r="Q182" s="5">
        <v>31</v>
      </c>
      <c r="R182" s="6">
        <v>3241</v>
      </c>
      <c r="S182" s="6">
        <v>5148</v>
      </c>
      <c r="T182" s="6">
        <v>808445</v>
      </c>
      <c r="U182" s="5">
        <v>59.39</v>
      </c>
      <c r="V182" s="6">
        <v>764925.05635354342</v>
      </c>
      <c r="X182" s="6">
        <v>5771164</v>
      </c>
      <c r="Y182" s="6">
        <v>9896</v>
      </c>
      <c r="Z182" s="2">
        <v>849</v>
      </c>
      <c r="AA182" s="6">
        <v>3474440</v>
      </c>
      <c r="AC182" s="6">
        <f t="shared" si="358"/>
        <v>9256349</v>
      </c>
      <c r="AE182" s="5">
        <v>10.922939068100357</v>
      </c>
      <c r="AG182" s="6">
        <v>1186813.2080000001</v>
      </c>
      <c r="AI182" s="6">
        <v>965186.79200000002</v>
      </c>
      <c r="AJ182" s="6"/>
      <c r="AK182" s="6">
        <v>2152000</v>
      </c>
      <c r="AL182" s="5">
        <v>59.241280115066523</v>
      </c>
      <c r="AN182" s="6">
        <v>10464000</v>
      </c>
      <c r="AO182" s="6">
        <v>35900000</v>
      </c>
      <c r="AP182" s="15">
        <v>128.01599999999999</v>
      </c>
      <c r="AQ182" s="6">
        <v>114000</v>
      </c>
      <c r="AR182" s="6">
        <v>1856000</v>
      </c>
      <c r="AS182" s="6">
        <v>1217000</v>
      </c>
      <c r="AT182" s="6">
        <v>49551128.016000003</v>
      </c>
      <c r="AU182" s="2">
        <v>9.32</v>
      </c>
      <c r="AW182" s="6">
        <v>24173837.351999998</v>
      </c>
      <c r="AX182" s="4">
        <v>0.88661823474322177</v>
      </c>
      <c r="BC182" s="15">
        <v>338.05368000000004</v>
      </c>
      <c r="BD182" s="5">
        <v>17.21902</v>
      </c>
      <c r="BE182" s="15">
        <v>355.27270000000004</v>
      </c>
      <c r="BF182" s="6">
        <v>3542.8692863216274</v>
      </c>
      <c r="BH182" s="6">
        <v>107279</v>
      </c>
      <c r="BI182" s="6">
        <v>15184</v>
      </c>
      <c r="BJ182" s="5">
        <v>46</v>
      </c>
      <c r="BK182" s="6">
        <v>23934</v>
      </c>
      <c r="BL182" s="6">
        <v>1529</v>
      </c>
      <c r="BM182" s="6">
        <v>3353</v>
      </c>
      <c r="BN182" s="6">
        <v>6465</v>
      </c>
      <c r="BO182" s="6">
        <v>157790</v>
      </c>
      <c r="BP182" s="6">
        <v>1317</v>
      </c>
      <c r="BQ182" s="6">
        <v>144736.02439999999</v>
      </c>
      <c r="BS182" s="2">
        <v>12</v>
      </c>
      <c r="BV182" s="15">
        <v>12</v>
      </c>
      <c r="BW182" s="6">
        <v>24.64</v>
      </c>
      <c r="BZ182" s="6">
        <v>22627</v>
      </c>
      <c r="CA182" s="6">
        <v>32982.408000000003</v>
      </c>
      <c r="CB182" s="15">
        <v>387.096</v>
      </c>
      <c r="CC182" s="6">
        <v>1948662.6</v>
      </c>
      <c r="CD182" s="6">
        <v>7705356.1919999998</v>
      </c>
      <c r="CE182" s="6">
        <v>40326000</v>
      </c>
      <c r="CF182" s="6">
        <v>1208000</v>
      </c>
      <c r="CG182" s="6">
        <v>51244015.296000004</v>
      </c>
      <c r="CH182" s="4">
        <v>8.0399999999999991</v>
      </c>
      <c r="CN182" s="2">
        <v>360</v>
      </c>
      <c r="CO182" s="6">
        <v>167545</v>
      </c>
      <c r="CP182" s="6">
        <v>583209</v>
      </c>
      <c r="CQ182" s="6">
        <v>3122</v>
      </c>
      <c r="CR182" s="6">
        <v>754236</v>
      </c>
      <c r="CS182" s="5">
        <v>53</v>
      </c>
      <c r="CT182" s="6">
        <v>583209</v>
      </c>
      <c r="CX182" s="6">
        <v>28832.173374400001</v>
      </c>
      <c r="CY182" s="6">
        <v>28832.173374400001</v>
      </c>
      <c r="DA182" s="6">
        <v>2541</v>
      </c>
      <c r="DB182" s="6">
        <v>32692.187999999998</v>
      </c>
      <c r="DD182" s="6">
        <v>162939</v>
      </c>
      <c r="DE182" s="6">
        <v>279209</v>
      </c>
      <c r="DG182" s="6">
        <v>13912</v>
      </c>
      <c r="DH182" s="4">
        <v>4</v>
      </c>
      <c r="DI182" s="2">
        <v>163</v>
      </c>
      <c r="DJ182" s="2">
        <v>517</v>
      </c>
      <c r="DK182" s="6">
        <v>456744</v>
      </c>
      <c r="DL182" s="15">
        <v>282.10000000000002</v>
      </c>
      <c r="DM182" s="6">
        <v>440701.14824000001</v>
      </c>
      <c r="DO182" s="6">
        <v>114203</v>
      </c>
      <c r="DP182" s="6">
        <v>325507</v>
      </c>
      <c r="DR182" s="6">
        <v>46895</v>
      </c>
      <c r="DS182" s="2">
        <v>254</v>
      </c>
      <c r="DT182" s="2">
        <v>163</v>
      </c>
      <c r="DU182" s="2">
        <v>526</v>
      </c>
      <c r="DV182" s="6">
        <v>487548</v>
      </c>
      <c r="DW182" s="15">
        <v>295</v>
      </c>
      <c r="DX182" s="6">
        <v>426428.43599999999</v>
      </c>
      <c r="DZ182" s="6">
        <v>1188.5999999999999</v>
      </c>
      <c r="EA182" s="6">
        <v>1714</v>
      </c>
      <c r="EB182" s="5">
        <v>3.8831000000000002</v>
      </c>
      <c r="EC182" s="6">
        <v>5259.9334342128277</v>
      </c>
      <c r="ED182" s="15">
        <v>529.15312000000017</v>
      </c>
      <c r="EE182" s="5">
        <v>39.050445103857562</v>
      </c>
      <c r="EF182" s="6">
        <v>8734.6200993166858</v>
      </c>
      <c r="EG182" s="6">
        <v>3669</v>
      </c>
      <c r="EL182" s="2">
        <v>230</v>
      </c>
      <c r="EM182" s="2">
        <v>230</v>
      </c>
      <c r="EN182" s="6">
        <v>9920.7000000000007</v>
      </c>
      <c r="EO182" s="6">
        <v>150</v>
      </c>
      <c r="EZ182" s="5">
        <v>98.043999999999997</v>
      </c>
      <c r="FC182" s="6">
        <v>6636.5119999999997</v>
      </c>
      <c r="FF182" s="6">
        <v>6734.5559999999996</v>
      </c>
      <c r="FG182" s="6">
        <v>2840.501792114695</v>
      </c>
      <c r="FI182" s="200"/>
      <c r="FJ182" s="200"/>
      <c r="FK182" s="200"/>
      <c r="FL182" s="200"/>
      <c r="FN182" s="15">
        <v>114.6953405017921</v>
      </c>
      <c r="FY182" s="202"/>
      <c r="FZ182" s="5">
        <v>15.380869037066887</v>
      </c>
      <c r="GA182" s="202"/>
      <c r="GB182" s="5">
        <v>15.380869037066887</v>
      </c>
      <c r="GC182" s="6">
        <v>1030.4659498207884</v>
      </c>
      <c r="GQ182" s="6">
        <v>14488.16</v>
      </c>
      <c r="GS182" s="6">
        <v>1098673.952</v>
      </c>
      <c r="GT182" s="6">
        <v>1113162.112</v>
      </c>
      <c r="GU182" s="4">
        <v>3.9370078740157481</v>
      </c>
      <c r="HL182" s="5">
        <v>45.06949800000001</v>
      </c>
      <c r="HO182" s="5">
        <v>45.06949800000001</v>
      </c>
      <c r="HV182" s="5">
        <v>34.747199999999999</v>
      </c>
      <c r="HW182" s="15">
        <v>252.67919999999998</v>
      </c>
      <c r="HY182" s="6">
        <v>2860.9930079999999</v>
      </c>
      <c r="HZ182" s="6">
        <f t="shared" si="363"/>
        <v>3148.4194079999997</v>
      </c>
      <c r="IA182" s="15">
        <v>189.4865694069797</v>
      </c>
      <c r="IC182" s="15">
        <v>113.16681534698951</v>
      </c>
      <c r="ID182" s="4">
        <v>1.2560348657309668</v>
      </c>
      <c r="IF182" s="6">
        <v>1126.0187114222495</v>
      </c>
      <c r="II182" s="5">
        <v>22.16225194132873</v>
      </c>
      <c r="IJ182" s="6">
        <v>1262.6038135762988</v>
      </c>
      <c r="IK182" s="6">
        <v>5053.7634408602144</v>
      </c>
      <c r="IN182" s="5">
        <v>49.171256495999998</v>
      </c>
      <c r="IP182" s="5">
        <v>49.171256495999998</v>
      </c>
      <c r="IQ182" s="6">
        <v>13499.244794582386</v>
      </c>
      <c r="IW182" s="15">
        <v>372.87199999999996</v>
      </c>
      <c r="IX182" s="16">
        <v>44.704000000000001</v>
      </c>
      <c r="IZ182" s="15">
        <v>417.57599999999996</v>
      </c>
      <c r="JG182" s="6">
        <v>96845.119999999995</v>
      </c>
      <c r="JI182" s="4">
        <v>2.9921280494050708</v>
      </c>
      <c r="JJ182" s="6">
        <v>20950.428</v>
      </c>
      <c r="JK182" s="5">
        <v>44.998908852840621</v>
      </c>
      <c r="JL182" s="4">
        <v>3.7667249566452772</v>
      </c>
      <c r="JN182" s="6">
        <v>25605.232</v>
      </c>
      <c r="JR182" s="6">
        <v>551643.73288000003</v>
      </c>
      <c r="JS182" s="2">
        <v>54.83</v>
      </c>
      <c r="JT182" s="2">
        <v>10.199999999999999</v>
      </c>
      <c r="JV182" s="6">
        <v>695044.51288000005</v>
      </c>
      <c r="JW182" s="2">
        <v>10.199999999999999</v>
      </c>
      <c r="JX182" s="6">
        <v>886000</v>
      </c>
      <c r="JY182" s="2">
        <v>10.199999999999999</v>
      </c>
      <c r="KE182" s="6">
        <v>12324.3848</v>
      </c>
      <c r="KF182" s="4">
        <v>87.863366940636269</v>
      </c>
      <c r="KG182" s="5">
        <v>51.456640659256273</v>
      </c>
      <c r="KI182" s="6">
        <v>12324.3848</v>
      </c>
      <c r="KJ182" s="5">
        <v>51.456640659256273</v>
      </c>
      <c r="KL182" s="6">
        <v>104979.216</v>
      </c>
      <c r="KN182" s="5">
        <v>93.867828085132587</v>
      </c>
      <c r="KO182" s="6">
        <v>244644.16399999999</v>
      </c>
      <c r="KP182" s="5">
        <v>95.999443501950864</v>
      </c>
      <c r="KQ182" s="5">
        <v>92.7225899408743</v>
      </c>
      <c r="KS182" s="6">
        <v>7527.5439999999999</v>
      </c>
      <c r="KT182" s="4">
        <v>94.790120124173299</v>
      </c>
      <c r="KU182" s="15">
        <v>161.57647168850824</v>
      </c>
      <c r="KY182" s="6">
        <v>2287.6357600000001</v>
      </c>
      <c r="KZ182" s="4">
        <v>93.271037168959083</v>
      </c>
      <c r="LA182" s="5">
        <v>87.637496102089258</v>
      </c>
      <c r="LC182" s="6">
        <v>359438.55975999997</v>
      </c>
      <c r="LD182" s="5">
        <v>87.637496102089258</v>
      </c>
      <c r="LE182" s="6">
        <v>371000</v>
      </c>
      <c r="LF182" s="5">
        <v>93</v>
      </c>
      <c r="LH182" s="6">
        <v>7826.9795200000008</v>
      </c>
      <c r="LI182" s="2">
        <v>89.26</v>
      </c>
      <c r="LJ182" s="15">
        <v>764.58467595428169</v>
      </c>
      <c r="LL182" s="6">
        <v>104979.216</v>
      </c>
      <c r="LN182" s="5">
        <v>93.867828085132587</v>
      </c>
      <c r="LO182" s="6">
        <v>254794.51200000002</v>
      </c>
      <c r="LP182" s="5">
        <v>66.546819346259085</v>
      </c>
      <c r="LQ182" s="5">
        <v>33.408025287452027</v>
      </c>
      <c r="LS182" s="6">
        <v>6172.2</v>
      </c>
      <c r="LT182" s="4">
        <v>65.004115226337447</v>
      </c>
      <c r="LU182" s="5">
        <v>53.960014257477077</v>
      </c>
      <c r="LY182" s="6">
        <v>61931.316319999998</v>
      </c>
      <c r="LZ182" s="4">
        <v>65.639882656380792</v>
      </c>
      <c r="MA182" s="5">
        <v>24.362655917144572</v>
      </c>
      <c r="MC182" s="6">
        <v>427877.24432</v>
      </c>
      <c r="MD182" s="6">
        <v>389000</v>
      </c>
      <c r="ME182" s="2">
        <v>36.6</v>
      </c>
      <c r="MG182" s="5">
        <v>57.911999999999999</v>
      </c>
      <c r="MI182" s="5">
        <v>99.012294515817104</v>
      </c>
      <c r="MJ182" s="15">
        <v>421.13200000000001</v>
      </c>
      <c r="MK182" s="5">
        <v>89.867310012062731</v>
      </c>
      <c r="ML182" s="15">
        <v>116.40412032331905</v>
      </c>
      <c r="MN182" s="6">
        <v>4768.32168</v>
      </c>
      <c r="MO182" s="4">
        <v>6.6865644014184884</v>
      </c>
      <c r="MP182" s="15">
        <v>130.36087154254238</v>
      </c>
      <c r="MQ182" s="6">
        <v>5247.3656799999999</v>
      </c>
      <c r="MR182" s="15">
        <v>128.89478478275217</v>
      </c>
      <c r="MS182" s="5">
        <v>55.88</v>
      </c>
      <c r="MT182" s="4">
        <v>22.747614784236848</v>
      </c>
      <c r="MU182" s="6">
        <v>1287.0755189692197</v>
      </c>
      <c r="MV182" s="6">
        <v>4400</v>
      </c>
      <c r="MW182" s="2">
        <v>129.19999999999999</v>
      </c>
      <c r="MY182" s="5">
        <v>6.4719199999999999</v>
      </c>
      <c r="MZ182" s="6">
        <v>8339.0166780333566</v>
      </c>
      <c r="NG182" s="4">
        <v>0.80384650276694192</v>
      </c>
      <c r="NH182" s="6">
        <v>17085.525598140121</v>
      </c>
      <c r="NJ182" s="4">
        <v>7.2757665027669418</v>
      </c>
      <c r="NK182" s="6">
        <v>9305.3548094417638</v>
      </c>
    </row>
    <row r="183" spans="1:375" x14ac:dyDescent="0.25">
      <c r="A183" s="2">
        <v>1971</v>
      </c>
      <c r="B183" s="6">
        <v>2824</v>
      </c>
      <c r="C183" s="2">
        <v>305</v>
      </c>
      <c r="D183" s="2">
        <v>122</v>
      </c>
      <c r="E183" s="6">
        <v>1793</v>
      </c>
      <c r="F183" s="5">
        <v>17</v>
      </c>
      <c r="G183" s="6">
        <v>10734</v>
      </c>
      <c r="H183" s="6">
        <v>5124</v>
      </c>
      <c r="I183" s="6">
        <v>20919</v>
      </c>
      <c r="J183" s="6">
        <v>1162.379421221865</v>
      </c>
      <c r="K183" s="6">
        <v>18082.82734</v>
      </c>
      <c r="M183" s="6">
        <v>303984</v>
      </c>
      <c r="N183" s="6">
        <v>303892</v>
      </c>
      <c r="O183" s="5">
        <v>10</v>
      </c>
      <c r="P183" s="6">
        <v>63404</v>
      </c>
      <c r="Q183" s="5">
        <v>38</v>
      </c>
      <c r="R183" s="6">
        <v>3202</v>
      </c>
      <c r="S183" s="6">
        <v>3886</v>
      </c>
      <c r="T183" s="6">
        <v>678418</v>
      </c>
      <c r="U183" s="5">
        <v>47.92</v>
      </c>
      <c r="V183" s="6">
        <v>671810.45014803158</v>
      </c>
      <c r="X183" s="6">
        <v>7481176</v>
      </c>
      <c r="Y183" s="6">
        <v>8697</v>
      </c>
      <c r="Z183" s="6">
        <v>7902</v>
      </c>
      <c r="AA183" s="6">
        <v>4603654</v>
      </c>
      <c r="AB183" s="34">
        <v>631296</v>
      </c>
      <c r="AC183" s="6">
        <f t="shared" si="358"/>
        <v>12732725</v>
      </c>
      <c r="AE183" s="5">
        <v>10.961108627626285</v>
      </c>
      <c r="AG183" s="6">
        <v>1437707.656</v>
      </c>
      <c r="AI183" s="6">
        <v>1275292.344</v>
      </c>
      <c r="AJ183" s="6"/>
      <c r="AK183" s="6">
        <v>2713000</v>
      </c>
      <c r="AL183" s="5">
        <v>53.5</v>
      </c>
      <c r="AN183" s="6">
        <v>11455000</v>
      </c>
      <c r="AO183" s="6">
        <v>34567000</v>
      </c>
      <c r="AQ183" s="6">
        <v>124000</v>
      </c>
      <c r="AR183" s="6">
        <v>1492000</v>
      </c>
      <c r="AS183" s="6">
        <v>1190000</v>
      </c>
      <c r="AT183" s="6">
        <v>48828000</v>
      </c>
      <c r="AU183" s="4">
        <v>10.5</v>
      </c>
      <c r="AW183" s="6">
        <v>23381460.984000001</v>
      </c>
      <c r="AX183" s="4">
        <v>1.0656047548546976</v>
      </c>
      <c r="BC183" s="15">
        <v>205.66888</v>
      </c>
      <c r="BD183" s="5">
        <v>19.868100000000002</v>
      </c>
      <c r="BE183" s="15">
        <v>225.53698</v>
      </c>
      <c r="BF183" s="6">
        <v>3897.3324501013471</v>
      </c>
      <c r="BH183" s="6">
        <v>128704</v>
      </c>
      <c r="BI183" s="6">
        <v>11080</v>
      </c>
      <c r="BJ183" s="5">
        <v>16</v>
      </c>
      <c r="BK183" s="6">
        <v>25524</v>
      </c>
      <c r="BL183" s="6">
        <v>2257</v>
      </c>
      <c r="BM183" s="6">
        <v>2897</v>
      </c>
      <c r="BN183" s="6">
        <v>6783</v>
      </c>
      <c r="BO183" s="6">
        <v>177261</v>
      </c>
      <c r="BP183" s="6">
        <v>991.4</v>
      </c>
      <c r="BQ183" s="6">
        <v>172159.79317600001</v>
      </c>
      <c r="BS183" s="2">
        <v>4.8</v>
      </c>
      <c r="BV183" s="15">
        <v>4.8</v>
      </c>
      <c r="BW183" s="6">
        <v>25</v>
      </c>
      <c r="BZ183" s="6">
        <v>26314</v>
      </c>
      <c r="CA183" s="6">
        <v>26817.32</v>
      </c>
      <c r="CB183" s="15">
        <v>275.33600000000001</v>
      </c>
      <c r="CC183" s="6">
        <v>2193179.2560000001</v>
      </c>
      <c r="CD183" s="6">
        <v>6866228.5839999998</v>
      </c>
      <c r="CE183" s="6">
        <v>51897000</v>
      </c>
      <c r="CF183" s="6">
        <v>1106000</v>
      </c>
      <c r="CG183" s="6">
        <v>62115814.495999999</v>
      </c>
      <c r="CH183" s="4">
        <v>7.69</v>
      </c>
      <c r="CN183" s="2">
        <v>274</v>
      </c>
      <c r="CO183" s="6">
        <v>103365</v>
      </c>
      <c r="CP183" s="6">
        <v>946898</v>
      </c>
      <c r="CQ183" s="6">
        <v>3457</v>
      </c>
      <c r="CR183" s="6">
        <v>1053994</v>
      </c>
      <c r="CS183" s="5">
        <v>64</v>
      </c>
      <c r="CT183" s="6">
        <v>946898</v>
      </c>
      <c r="CX183" s="6">
        <v>34659.884302648003</v>
      </c>
      <c r="CY183" s="6">
        <v>34659.884302648003</v>
      </c>
      <c r="DA183" s="6">
        <v>2585</v>
      </c>
      <c r="DB183" s="6">
        <v>37734.301999999996</v>
      </c>
      <c r="DD183" s="6">
        <v>129296</v>
      </c>
      <c r="DE183" s="6">
        <v>257609</v>
      </c>
      <c r="DG183" s="6">
        <v>16617</v>
      </c>
      <c r="DH183" s="4">
        <v>7</v>
      </c>
      <c r="DI183" s="5">
        <v>21</v>
      </c>
      <c r="DJ183" s="4">
        <v>4</v>
      </c>
      <c r="DK183" s="6">
        <v>403554</v>
      </c>
      <c r="DL183" s="15">
        <v>239.1</v>
      </c>
      <c r="DM183" s="6">
        <v>396114.016</v>
      </c>
      <c r="DO183" s="6">
        <v>106418</v>
      </c>
      <c r="DP183" s="6">
        <v>293480</v>
      </c>
      <c r="DR183" s="6">
        <v>52749</v>
      </c>
      <c r="DT183" s="2">
        <v>21</v>
      </c>
      <c r="DV183" s="6">
        <v>452668</v>
      </c>
      <c r="DW183" s="15">
        <v>314.8</v>
      </c>
      <c r="DX183" s="6">
        <v>443458.6</v>
      </c>
      <c r="DZ183" s="6">
        <v>1166.9000000000001</v>
      </c>
      <c r="EA183" s="6">
        <v>1850</v>
      </c>
      <c r="EB183" s="5">
        <v>3.4086000000000003</v>
      </c>
      <c r="EC183" s="6">
        <v>6010.9363324262467</v>
      </c>
      <c r="ED183" s="15">
        <v>603.97135999999989</v>
      </c>
      <c r="EE183" s="5">
        <v>33.649851632047472</v>
      </c>
      <c r="EF183" s="6">
        <v>9668.8661440582946</v>
      </c>
      <c r="EG183" s="6">
        <v>3497</v>
      </c>
      <c r="EL183" s="2">
        <v>46.3</v>
      </c>
      <c r="EM183" s="2">
        <v>46.3</v>
      </c>
      <c r="EN183" s="6">
        <v>9920.7000000000007</v>
      </c>
      <c r="EO183" s="6">
        <v>50</v>
      </c>
      <c r="EZ183" s="15">
        <v>202.7936</v>
      </c>
      <c r="FC183" s="6">
        <v>6165.0879999999997</v>
      </c>
      <c r="FF183" s="6">
        <v>6367.8815999999997</v>
      </c>
      <c r="FG183" s="6">
        <v>1403.6656236030396</v>
      </c>
      <c r="FI183" s="200"/>
      <c r="FJ183" s="200"/>
      <c r="FK183" s="200"/>
      <c r="FL183" s="200"/>
      <c r="FN183" s="15">
        <v>168.08225301743406</v>
      </c>
      <c r="FY183" s="202"/>
      <c r="FZ183" s="5">
        <v>32.866383577908813</v>
      </c>
      <c r="GA183" s="202"/>
      <c r="GB183" s="5">
        <v>32.866383577908813</v>
      </c>
      <c r="GC183" s="6">
        <v>1001.3410818059901</v>
      </c>
      <c r="GQ183" s="6">
        <v>6786</v>
      </c>
      <c r="GS183" s="6">
        <v>1002886.488</v>
      </c>
      <c r="GT183" s="6">
        <v>1009672.488</v>
      </c>
      <c r="GU183" s="4">
        <v>2.6068376068376069</v>
      </c>
      <c r="HV183" s="5">
        <v>31.697999999999997</v>
      </c>
      <c r="HW183" s="15">
        <v>807.8495999999999</v>
      </c>
      <c r="HY183" s="6">
        <v>1883.8346880000001</v>
      </c>
      <c r="HZ183" s="6">
        <f t="shared" si="363"/>
        <v>2723.3822879999998</v>
      </c>
      <c r="IA183" s="15">
        <v>206.04277640851794</v>
      </c>
      <c r="IC183" s="5">
        <v>48.182499255942759</v>
      </c>
      <c r="ID183" s="4">
        <v>0.93447267501977427</v>
      </c>
      <c r="IF183" s="6">
        <v>1382.1483197246343</v>
      </c>
      <c r="II183" s="5">
        <v>12.36962899050906</v>
      </c>
      <c r="IJ183" s="6">
        <v>1443.6349206461059</v>
      </c>
      <c r="IK183" s="6">
        <v>5829.2355833705851</v>
      </c>
      <c r="IN183" s="5">
        <v>52.949800119999999</v>
      </c>
      <c r="IP183" s="5">
        <v>52.949800119999999</v>
      </c>
      <c r="IQ183" s="6">
        <v>19509.993057804917</v>
      </c>
      <c r="IW183" s="15">
        <v>347.47199999999998</v>
      </c>
      <c r="IX183" s="16">
        <v>20.32</v>
      </c>
      <c r="IZ183" s="15">
        <v>367.79199999999997</v>
      </c>
      <c r="JB183" s="2">
        <v>0.5</v>
      </c>
      <c r="JD183" s="2">
        <v>0.5</v>
      </c>
      <c r="JE183" s="5">
        <v>30</v>
      </c>
      <c r="JG183" s="6">
        <v>58170.06</v>
      </c>
      <c r="JI183" s="4">
        <v>2.9097442911353366</v>
      </c>
      <c r="JJ183" s="6">
        <v>21185.239999999998</v>
      </c>
      <c r="JK183" s="5">
        <v>44.998631122422978</v>
      </c>
      <c r="JL183" s="4">
        <v>3.8309455073437926</v>
      </c>
      <c r="JN183" s="6">
        <v>24169.624</v>
      </c>
      <c r="JR183" s="6">
        <v>691382.9911199999</v>
      </c>
      <c r="JS183" s="2">
        <v>54.76</v>
      </c>
      <c r="JT183" s="2">
        <v>10.199999999999999</v>
      </c>
      <c r="JV183" s="6">
        <v>794907.9151199999</v>
      </c>
      <c r="JW183" s="2">
        <v>10.199999999999999</v>
      </c>
      <c r="JX183" s="6">
        <v>814000</v>
      </c>
      <c r="JY183" s="2">
        <v>10.199999999999999</v>
      </c>
      <c r="KE183" s="6">
        <v>11111.280799999999</v>
      </c>
      <c r="KF183" s="4">
        <v>88.171502244817731</v>
      </c>
      <c r="KG183" s="5">
        <v>91.078982541778629</v>
      </c>
      <c r="KI183" s="6">
        <v>11111.280799999999</v>
      </c>
      <c r="KJ183" s="5">
        <v>91.078982541778629</v>
      </c>
      <c r="KL183" s="6">
        <v>96045.17</v>
      </c>
      <c r="KN183" s="15">
        <v>115.71606359799249</v>
      </c>
      <c r="KO183" s="6">
        <v>246949.804</v>
      </c>
      <c r="KP183" s="5">
        <v>95.996890121038533</v>
      </c>
      <c r="KQ183" s="15">
        <v>105.226153570869</v>
      </c>
      <c r="KS183" s="6">
        <v>6930.1360000000004</v>
      </c>
      <c r="KT183" s="4">
        <v>95.000733030347462</v>
      </c>
      <c r="KU183" s="15">
        <v>161.91890029286583</v>
      </c>
      <c r="KV183" s="2">
        <v>11</v>
      </c>
      <c r="KX183" s="5">
        <v>89.545454545454547</v>
      </c>
      <c r="KY183" s="5">
        <v>222.25</v>
      </c>
      <c r="KZ183" s="4">
        <v>95.917714285714283</v>
      </c>
      <c r="LA183" s="15">
        <v>130.52193475815523</v>
      </c>
      <c r="LC183" s="6">
        <v>350158.36</v>
      </c>
      <c r="LD183" s="15">
        <v>130.52193475815523</v>
      </c>
      <c r="LE183" s="6">
        <v>375000</v>
      </c>
      <c r="LF183" s="2">
        <v>110.2</v>
      </c>
      <c r="LH183" s="6">
        <v>10160</v>
      </c>
      <c r="LI183" s="4">
        <v>90.1</v>
      </c>
      <c r="LJ183" s="15">
        <v>781.58131003937012</v>
      </c>
      <c r="LL183" s="6">
        <v>96045.17</v>
      </c>
      <c r="LN183" s="15">
        <v>115.71606359799249</v>
      </c>
      <c r="LO183" s="6">
        <v>272050.28399999999</v>
      </c>
      <c r="LP183" s="5">
        <v>66.546849321883684</v>
      </c>
      <c r="LQ183" s="5">
        <v>33.415381400594313</v>
      </c>
      <c r="LS183" s="6">
        <v>3830.32</v>
      </c>
      <c r="LT183" s="4">
        <v>64.986737400530501</v>
      </c>
      <c r="LU183" s="5">
        <v>56.751916288978464</v>
      </c>
      <c r="LY183" s="6">
        <v>31267.714960000001</v>
      </c>
      <c r="LZ183" s="4">
        <v>65.545627322681725</v>
      </c>
      <c r="MA183" s="5">
        <v>29.642915741867181</v>
      </c>
      <c r="MC183" s="6">
        <v>403193.48895999999</v>
      </c>
      <c r="MD183" s="6">
        <v>406000</v>
      </c>
      <c r="ME183" s="2">
        <v>36.299999999999997</v>
      </c>
      <c r="MG183" s="5">
        <v>52.83</v>
      </c>
      <c r="MI183" s="5">
        <v>98.428922960439152</v>
      </c>
      <c r="MJ183" s="6">
        <v>1346.4159999999999</v>
      </c>
      <c r="MK183" s="5">
        <v>89.947831873655687</v>
      </c>
      <c r="ML183" s="15">
        <v>111.32592007225108</v>
      </c>
      <c r="MN183" s="6">
        <v>3139.7244800000003</v>
      </c>
      <c r="MO183" s="4">
        <v>6.6445726600825807</v>
      </c>
      <c r="MP183" s="15">
        <v>142.64805171694556</v>
      </c>
      <c r="MQ183" s="6">
        <v>4538.97048</v>
      </c>
      <c r="MR183" s="15">
        <v>132.84214617760637</v>
      </c>
      <c r="MS183" s="5">
        <v>56.896000000000001</v>
      </c>
      <c r="MT183" s="4">
        <v>23.46203821501356</v>
      </c>
      <c r="MU183" s="6">
        <v>1299.2226167041622</v>
      </c>
      <c r="MV183" s="6">
        <v>4400</v>
      </c>
      <c r="MW183" s="2">
        <v>145.69999999999999</v>
      </c>
      <c r="MY183" s="5">
        <v>3.82016</v>
      </c>
      <c r="MZ183" s="6">
        <v>6755.70690903993</v>
      </c>
      <c r="NJ183" s="4">
        <v>3.82016</v>
      </c>
      <c r="NK183" s="6">
        <v>6755.70690903993</v>
      </c>
    </row>
    <row r="184" spans="1:375" x14ac:dyDescent="0.25">
      <c r="A184" s="2">
        <v>1972</v>
      </c>
      <c r="B184" s="6">
        <v>2357</v>
      </c>
      <c r="C184" s="2">
        <v>310</v>
      </c>
      <c r="D184" s="5">
        <v>10</v>
      </c>
      <c r="E184" s="6">
        <v>2021</v>
      </c>
      <c r="F184" s="5">
        <v>78</v>
      </c>
      <c r="G184" s="6">
        <v>10471</v>
      </c>
      <c r="H184" s="6">
        <v>8032</v>
      </c>
      <c r="I184" s="6">
        <v>23279</v>
      </c>
      <c r="J184" s="6">
        <v>1576.2057877813504</v>
      </c>
      <c r="K184" s="6">
        <v>17767.711692000004</v>
      </c>
      <c r="M184" s="6">
        <v>276414</v>
      </c>
      <c r="N184" s="6">
        <v>297025</v>
      </c>
      <c r="O184" s="4">
        <v>3</v>
      </c>
      <c r="P184" s="6">
        <v>99261</v>
      </c>
      <c r="Q184" s="6">
        <v>1093</v>
      </c>
      <c r="R184" s="6">
        <v>3063</v>
      </c>
      <c r="S184" s="6">
        <v>3931</v>
      </c>
      <c r="T184" s="6">
        <v>680790</v>
      </c>
      <c r="U184" s="5">
        <v>49.75</v>
      </c>
      <c r="V184" s="6">
        <v>638093.88269999996</v>
      </c>
      <c r="X184" s="6">
        <v>7734409</v>
      </c>
      <c r="Y184" s="6">
        <v>12640</v>
      </c>
      <c r="Z184" s="6">
        <v>4222</v>
      </c>
      <c r="AA184" s="6">
        <v>5119008</v>
      </c>
      <c r="AB184" s="34">
        <v>1566700</v>
      </c>
      <c r="AC184" s="6">
        <f t="shared" si="358"/>
        <v>14436979</v>
      </c>
      <c r="AE184" s="5">
        <v>11.101622544833475</v>
      </c>
      <c r="AG184" s="6">
        <v>1632207.088</v>
      </c>
      <c r="AI184" s="6">
        <v>1435792.912</v>
      </c>
      <c r="AJ184" s="6"/>
      <c r="AK184" s="6">
        <v>3068000</v>
      </c>
      <c r="AL184" s="5">
        <v>51</v>
      </c>
      <c r="AN184" s="6">
        <v>17684000</v>
      </c>
      <c r="AO184" s="6">
        <v>39176000</v>
      </c>
      <c r="AQ184" s="6">
        <v>132000</v>
      </c>
      <c r="AR184" s="6">
        <v>1602000</v>
      </c>
      <c r="AS184" s="6">
        <v>1168000</v>
      </c>
      <c r="AT184" s="6">
        <v>59762000</v>
      </c>
      <c r="AU184" s="2">
        <v>10.89</v>
      </c>
      <c r="AW184" s="6">
        <v>24011550.656000003</v>
      </c>
      <c r="AX184" s="4">
        <v>1.2129112533064388</v>
      </c>
      <c r="BC184" s="15">
        <v>193.52768</v>
      </c>
      <c r="BD184" s="5">
        <v>23.179449999999999</v>
      </c>
      <c r="BE184" s="15">
        <v>216.70713000000001</v>
      </c>
      <c r="BF184" s="6">
        <v>3252.7646691160662</v>
      </c>
      <c r="BH184" s="6">
        <v>127903</v>
      </c>
      <c r="BI184" s="6">
        <v>13976</v>
      </c>
      <c r="BK184" s="6">
        <v>28293</v>
      </c>
      <c r="BL184" s="6">
        <v>7104</v>
      </c>
      <c r="BM184" s="6">
        <v>3017</v>
      </c>
      <c r="BN184" s="6">
        <v>6519</v>
      </c>
      <c r="BO184" s="6">
        <v>186812</v>
      </c>
      <c r="BP184" s="6">
        <v>942.3</v>
      </c>
      <c r="BQ184" s="6">
        <v>186421.21125111016</v>
      </c>
      <c r="BV184" s="15"/>
      <c r="BZ184" s="6">
        <v>42595</v>
      </c>
      <c r="CA184" s="6">
        <v>28154.376</v>
      </c>
      <c r="CB184" s="15">
        <v>370.84000000000003</v>
      </c>
      <c r="CC184" s="6">
        <v>2352000</v>
      </c>
      <c r="CD184" s="6">
        <v>6327469</v>
      </c>
      <c r="CE184" s="6">
        <v>54782000</v>
      </c>
      <c r="CF184" s="6">
        <v>940000</v>
      </c>
      <c r="CG184" s="6">
        <v>64472589.215999998</v>
      </c>
      <c r="CH184" s="4">
        <v>7.29</v>
      </c>
      <c r="CJ184" s="2">
        <v>13</v>
      </c>
      <c r="CN184" s="5">
        <v>96</v>
      </c>
      <c r="CO184" s="6">
        <v>86408</v>
      </c>
      <c r="CP184" s="6">
        <v>1078314</v>
      </c>
      <c r="CQ184" s="6">
        <v>2205</v>
      </c>
      <c r="CR184" s="6">
        <v>1167036</v>
      </c>
      <c r="CS184" s="5">
        <v>62</v>
      </c>
      <c r="CT184" s="6">
        <v>1078314</v>
      </c>
      <c r="CX184" s="6">
        <v>29679.770590032</v>
      </c>
      <c r="CY184" s="6">
        <v>29679.770590032</v>
      </c>
      <c r="DA184" s="6">
        <v>2583.6999999999998</v>
      </c>
      <c r="DB184" s="6">
        <v>38556.18</v>
      </c>
      <c r="DD184" s="6">
        <v>119985</v>
      </c>
      <c r="DE184" s="6">
        <v>249259</v>
      </c>
      <c r="DG184" s="6">
        <v>26756</v>
      </c>
      <c r="DH184" s="4">
        <v>1</v>
      </c>
      <c r="DK184" s="6">
        <v>396001</v>
      </c>
      <c r="DL184" s="15">
        <v>241.3</v>
      </c>
      <c r="DM184" s="6">
        <v>383592.712</v>
      </c>
      <c r="DO184" s="6">
        <v>111967</v>
      </c>
      <c r="DP184" s="6">
        <v>309508</v>
      </c>
      <c r="DR184" s="6">
        <v>85580</v>
      </c>
      <c r="DV184" s="6">
        <v>507055</v>
      </c>
      <c r="DW184" s="15">
        <v>339.8</v>
      </c>
      <c r="DX184" s="6">
        <v>469803.09600000002</v>
      </c>
      <c r="DZ184" s="6">
        <v>1271.2</v>
      </c>
      <c r="EA184" s="6">
        <v>2460</v>
      </c>
      <c r="EB184" s="4">
        <v>0.10335000000000001</v>
      </c>
      <c r="EC184" s="6">
        <v>6732.3718744457829</v>
      </c>
      <c r="ED184" s="6">
        <v>1432.7225599999999</v>
      </c>
      <c r="EE184" s="5">
        <v>9.1394658753709201</v>
      </c>
      <c r="EF184" s="6">
        <v>11905.537250321153</v>
      </c>
      <c r="EG184" s="6">
        <v>3761</v>
      </c>
      <c r="EZ184" s="2">
        <v>323</v>
      </c>
      <c r="FC184" s="6">
        <v>7743.9520000000002</v>
      </c>
      <c r="FF184" s="6">
        <v>8066.9520000000002</v>
      </c>
      <c r="FG184" s="6">
        <v>1110.1622544833476</v>
      </c>
      <c r="FI184" s="200"/>
      <c r="FJ184" s="200"/>
      <c r="FK184" s="200"/>
      <c r="FL184" s="200"/>
      <c r="FN184" s="15">
        <v>168.23228010247652</v>
      </c>
      <c r="FY184" s="202"/>
      <c r="FZ184" s="5">
        <v>21.009541077725991</v>
      </c>
      <c r="GA184" s="202"/>
      <c r="GB184" s="5">
        <v>21.009541077725991</v>
      </c>
      <c r="GC184" s="15">
        <v>990.60631938514086</v>
      </c>
      <c r="GQ184" s="6">
        <v>1051</v>
      </c>
      <c r="GS184" s="6">
        <v>934964.85600000003</v>
      </c>
      <c r="GT184" s="6">
        <v>936015.85600000003</v>
      </c>
      <c r="GU184" s="4">
        <v>3.7278782112274023</v>
      </c>
      <c r="HV184" s="5">
        <v>23.25</v>
      </c>
      <c r="HW184" s="6">
        <v>1269</v>
      </c>
      <c r="HY184" s="6">
        <v>1415.5094880000001</v>
      </c>
      <c r="HZ184" s="6">
        <f t="shared" si="363"/>
        <v>2707.7594880000001</v>
      </c>
      <c r="IA184" s="15">
        <v>187.63619574679768</v>
      </c>
      <c r="IC184" s="5">
        <v>42.796244257819069</v>
      </c>
      <c r="ID184" s="4">
        <v>4.1829216216565959</v>
      </c>
      <c r="IF184" s="6">
        <v>1523.2971441141838</v>
      </c>
      <c r="IH184" s="4">
        <v>0.22067834793745458</v>
      </c>
      <c r="IJ184" s="6">
        <v>1570.496988341597</v>
      </c>
      <c r="IK184" s="6">
        <v>4842.0153714773696</v>
      </c>
      <c r="IN184" s="15">
        <v>190.37550342399996</v>
      </c>
      <c r="IP184" s="15">
        <v>190.37550342399996</v>
      </c>
      <c r="IQ184" s="6">
        <v>16996.803686304516</v>
      </c>
      <c r="IW184" s="15">
        <v>464.31200000000001</v>
      </c>
      <c r="IX184" s="16">
        <v>56.896000000000001</v>
      </c>
      <c r="IZ184" s="15">
        <v>521.20799999999997</v>
      </c>
      <c r="JG184" s="6">
        <v>1165.3499999999999</v>
      </c>
      <c r="JI184" s="4">
        <v>1.9685073153988073</v>
      </c>
      <c r="JJ184" s="6">
        <v>11924.5</v>
      </c>
      <c r="JK184" s="5">
        <v>44.991193646782456</v>
      </c>
      <c r="JL184" s="4">
        <v>3.9849888884229947</v>
      </c>
      <c r="JO184" s="2">
        <v>120</v>
      </c>
      <c r="JP184" s="5">
        <v>50.010875296598996</v>
      </c>
      <c r="JQ184" s="4">
        <v>2.1666666666666665</v>
      </c>
      <c r="JR184" s="6">
        <v>498795.71055999998</v>
      </c>
      <c r="JS184" s="4">
        <v>55.30313889197933</v>
      </c>
      <c r="JT184" s="2">
        <v>10.7</v>
      </c>
      <c r="JV184" s="6">
        <v>512005.56055999995</v>
      </c>
      <c r="JW184" s="2">
        <v>10.7</v>
      </c>
      <c r="JX184" s="6">
        <v>707000</v>
      </c>
      <c r="JY184" s="2">
        <v>10.7</v>
      </c>
      <c r="KE184" s="6">
        <v>15131.8976</v>
      </c>
      <c r="KF184" s="4">
        <v>88.072662083042388</v>
      </c>
      <c r="KG184" s="5">
        <v>47.646734009090835</v>
      </c>
      <c r="KI184" s="6">
        <v>15131.8976</v>
      </c>
      <c r="KJ184" s="5">
        <v>47.646734009090835</v>
      </c>
      <c r="KL184" s="6">
        <v>102635.3</v>
      </c>
      <c r="KN184" s="15">
        <v>121.08340892460976</v>
      </c>
      <c r="KO184" s="6">
        <v>225723</v>
      </c>
      <c r="KP184" s="5">
        <v>95.996863412235356</v>
      </c>
      <c r="KQ184" s="15">
        <v>112.76274460289824</v>
      </c>
      <c r="KV184" s="2">
        <v>426</v>
      </c>
      <c r="KW184" s="5">
        <v>97.417840375586849</v>
      </c>
      <c r="KX184" s="15">
        <v>109.76525821596245</v>
      </c>
      <c r="KY184" s="6">
        <v>3370.5291999999999</v>
      </c>
      <c r="KZ184" s="4">
        <v>96.023753183921386</v>
      </c>
      <c r="LA184" s="15">
        <v>102.41273981545687</v>
      </c>
      <c r="LC184" s="6">
        <v>332154.82919999998</v>
      </c>
      <c r="LD184" s="15">
        <v>102.41273981545687</v>
      </c>
      <c r="LE184" s="6">
        <v>313000</v>
      </c>
      <c r="LF184" s="2">
        <v>116.1</v>
      </c>
      <c r="LH184" s="6">
        <v>6150.8640000000005</v>
      </c>
      <c r="LI184" s="4">
        <v>91.9</v>
      </c>
      <c r="LJ184" s="15">
        <v>965.18303932585729</v>
      </c>
      <c r="LL184" s="6">
        <v>102635.3</v>
      </c>
      <c r="LN184" s="15">
        <v>121.08340892460976</v>
      </c>
      <c r="LO184" s="6">
        <v>249232</v>
      </c>
      <c r="LP184" s="5">
        <v>66.547086252152482</v>
      </c>
      <c r="LQ184" s="5">
        <v>33.088664376966037</v>
      </c>
      <c r="LY184" s="6">
        <v>62593.209839999996</v>
      </c>
      <c r="LZ184" s="4">
        <v>65.599150363048381</v>
      </c>
      <c r="MA184" s="5">
        <v>25.701732250387497</v>
      </c>
      <c r="MC184" s="6">
        <v>414460.50983999996</v>
      </c>
      <c r="MD184" s="6">
        <v>357000</v>
      </c>
      <c r="ME184" s="2">
        <v>35.799999999999997</v>
      </c>
      <c r="MG184" s="5">
        <v>38.75</v>
      </c>
      <c r="MI184" s="15">
        <v>125.03225806451613</v>
      </c>
      <c r="MJ184" s="6">
        <v>2115</v>
      </c>
      <c r="MK184" s="5">
        <v>89.976359338061471</v>
      </c>
      <c r="ML184" s="15">
        <v>114.94657210401891</v>
      </c>
      <c r="MN184" s="6">
        <v>2359.1824800000004</v>
      </c>
      <c r="MO184" s="4">
        <v>6.5416941210923198</v>
      </c>
      <c r="MP184" s="15">
        <v>127.90724437729801</v>
      </c>
      <c r="MQ184" s="6">
        <v>4512.9324800000004</v>
      </c>
      <c r="MR184" s="15">
        <v>121.80849867268566</v>
      </c>
      <c r="MS184" s="4">
        <v>6.0960000000000001</v>
      </c>
      <c r="MT184" s="4">
        <v>30.401715525376076</v>
      </c>
      <c r="MU184" s="6">
        <v>1083.290682414698</v>
      </c>
      <c r="MV184" s="6">
        <v>5100</v>
      </c>
      <c r="MW184" s="2">
        <v>121.7</v>
      </c>
      <c r="MY184" s="5">
        <v>2.76</v>
      </c>
      <c r="MZ184" s="6">
        <v>1270.5217391304348</v>
      </c>
      <c r="NC184" s="2">
        <v>20</v>
      </c>
      <c r="ND184" s="6">
        <v>18636.2</v>
      </c>
      <c r="NJ184" s="5">
        <v>22.759999999999998</v>
      </c>
      <c r="NK184" s="6">
        <v>16530.344463971884</v>
      </c>
    </row>
    <row r="185" spans="1:375" x14ac:dyDescent="0.25">
      <c r="A185" s="2">
        <v>1973</v>
      </c>
      <c r="B185" s="6">
        <v>1391</v>
      </c>
      <c r="C185" s="2">
        <v>297</v>
      </c>
      <c r="D185" s="2">
        <v>100</v>
      </c>
      <c r="E185" s="6">
        <v>1511</v>
      </c>
      <c r="F185" s="5">
        <v>70</v>
      </c>
      <c r="G185" s="6">
        <v>8587</v>
      </c>
      <c r="H185" s="6">
        <v>5218</v>
      </c>
      <c r="I185" s="6">
        <v>17174</v>
      </c>
      <c r="J185" s="6">
        <v>2200.32154340836</v>
      </c>
      <c r="K185" s="6">
        <v>14895.461049000001</v>
      </c>
      <c r="M185" s="6">
        <v>326575</v>
      </c>
      <c r="N185" s="6">
        <v>296320</v>
      </c>
      <c r="P185" s="6">
        <v>76903</v>
      </c>
      <c r="Q185" s="6">
        <v>1473</v>
      </c>
      <c r="R185" s="6">
        <v>2261</v>
      </c>
      <c r="S185" s="6">
        <v>3882</v>
      </c>
      <c r="T185" s="6">
        <v>707414</v>
      </c>
      <c r="U185" s="5">
        <v>60.08</v>
      </c>
      <c r="V185" s="6">
        <v>662087.58000000007</v>
      </c>
      <c r="X185" s="6">
        <v>8980832</v>
      </c>
      <c r="Y185" s="6">
        <v>7839</v>
      </c>
      <c r="AA185" s="6">
        <v>5740532</v>
      </c>
      <c r="AB185" s="34">
        <v>2866797</v>
      </c>
      <c r="AC185" s="6">
        <f t="shared" si="358"/>
        <v>17596000</v>
      </c>
      <c r="AE185" s="4">
        <v>9.7389949357226335</v>
      </c>
      <c r="AG185" s="6">
        <v>1934871.0699999998</v>
      </c>
      <c r="AI185" s="6">
        <v>1729128.9300000002</v>
      </c>
      <c r="AJ185" s="6">
        <v>425000</v>
      </c>
      <c r="AK185" s="6">
        <v>4089000</v>
      </c>
      <c r="AL185" s="5">
        <v>51.6</v>
      </c>
      <c r="AN185" s="6">
        <v>19977000</v>
      </c>
      <c r="AO185" s="6">
        <v>37882000</v>
      </c>
      <c r="AQ185" s="6">
        <v>115000</v>
      </c>
      <c r="AR185" s="6">
        <v>1510000</v>
      </c>
      <c r="AS185" s="6">
        <v>1171000</v>
      </c>
      <c r="AT185" s="6">
        <v>60655000</v>
      </c>
      <c r="AU185" s="2">
        <v>11.28</v>
      </c>
      <c r="AW185" s="6">
        <v>23831211.831999999</v>
      </c>
      <c r="AX185" s="4">
        <v>1.4622068067038356</v>
      </c>
      <c r="BC185" s="2">
        <v>131</v>
      </c>
      <c r="BD185" s="5">
        <v>23.841720000000002</v>
      </c>
      <c r="BE185" s="15">
        <v>154.84172000000001</v>
      </c>
      <c r="BF185" s="6">
        <v>3641.9160305343512</v>
      </c>
      <c r="BH185" s="6">
        <v>153568</v>
      </c>
      <c r="BI185" s="6">
        <v>15351</v>
      </c>
      <c r="BK185" s="6">
        <v>25821</v>
      </c>
      <c r="BL185" s="6">
        <v>8797</v>
      </c>
      <c r="BM185" s="6">
        <v>2945</v>
      </c>
      <c r="BN185" s="6">
        <v>13853</v>
      </c>
      <c r="BO185" s="6">
        <v>220335</v>
      </c>
      <c r="BP185" s="6">
        <v>1234.3</v>
      </c>
      <c r="BQ185" s="6">
        <v>209733.05437</v>
      </c>
      <c r="BV185" s="15"/>
      <c r="BZ185" s="6">
        <v>28127</v>
      </c>
      <c r="CA185" s="6">
        <v>35691</v>
      </c>
      <c r="CB185" s="2">
        <v>433</v>
      </c>
      <c r="CC185" s="6">
        <v>2415000</v>
      </c>
      <c r="CD185" s="6">
        <v>6579628</v>
      </c>
      <c r="CE185" s="6">
        <v>74994000</v>
      </c>
      <c r="CF185" s="6">
        <v>839000</v>
      </c>
      <c r="CG185" s="6">
        <v>84891879</v>
      </c>
      <c r="CH185" s="4">
        <v>6.19</v>
      </c>
      <c r="CJ185" s="2">
        <v>17</v>
      </c>
      <c r="CP185" s="6">
        <v>1506319</v>
      </c>
      <c r="CQ185" s="6">
        <v>2625</v>
      </c>
      <c r="CR185" s="6">
        <v>1508961</v>
      </c>
      <c r="CS185" s="5">
        <v>76</v>
      </c>
      <c r="CT185" s="6">
        <v>1506319</v>
      </c>
      <c r="CX185" s="6">
        <v>37772.906199999998</v>
      </c>
      <c r="CY185" s="6">
        <v>37772.906199999998</v>
      </c>
      <c r="DA185" s="6">
        <v>2370.3000000000002</v>
      </c>
      <c r="DB185" s="6">
        <v>40001.903999999995</v>
      </c>
      <c r="DD185" s="6">
        <v>136266</v>
      </c>
      <c r="DE185" s="6">
        <v>246191</v>
      </c>
      <c r="DG185" s="6">
        <v>20236</v>
      </c>
      <c r="DH185" s="4">
        <v>3</v>
      </c>
      <c r="DI185" s="2">
        <v>100</v>
      </c>
      <c r="DK185" s="6">
        <v>402796</v>
      </c>
      <c r="DL185" s="15">
        <v>275.2</v>
      </c>
      <c r="DM185" s="6">
        <v>395441.94</v>
      </c>
      <c r="DO185" s="6">
        <v>125698</v>
      </c>
      <c r="DP185" s="6">
        <v>290992</v>
      </c>
      <c r="DR185" s="6">
        <v>63792</v>
      </c>
      <c r="DT185" s="2">
        <v>100</v>
      </c>
      <c r="DV185" s="6">
        <v>480582</v>
      </c>
      <c r="DW185" s="15">
        <v>385.9</v>
      </c>
      <c r="DX185" s="6">
        <v>476201.16</v>
      </c>
      <c r="DZ185" s="6">
        <v>1882.8767300000002</v>
      </c>
      <c r="EA185" s="6">
        <v>2998</v>
      </c>
      <c r="EB185" s="3">
        <v>6.4350000000000004E-2</v>
      </c>
      <c r="EC185" s="6">
        <v>5707.5620000000008</v>
      </c>
      <c r="ED185" s="6">
        <v>867.5100000000001</v>
      </c>
      <c r="EE185" s="5">
        <v>6.6468842729970321</v>
      </c>
      <c r="EF185" s="6">
        <v>11462.659964272998</v>
      </c>
      <c r="EG185" s="6">
        <v>4802</v>
      </c>
      <c r="EZ185" s="2">
        <v>930</v>
      </c>
      <c r="FC185" s="6">
        <v>9096</v>
      </c>
      <c r="FF185" s="6">
        <v>10026</v>
      </c>
      <c r="FG185" s="6">
        <v>1176.4705882352941</v>
      </c>
      <c r="FI185" s="200"/>
      <c r="FJ185" s="200"/>
      <c r="FK185" s="200"/>
      <c r="FL185" s="200"/>
      <c r="FN185" s="15">
        <v>164.39423451499803</v>
      </c>
      <c r="FY185" s="202"/>
      <c r="FZ185" s="5">
        <v>4.3589888965001595</v>
      </c>
      <c r="GA185" s="202"/>
      <c r="GB185" s="5">
        <v>4.3589888965001595</v>
      </c>
      <c r="GC185" s="15">
        <v>950.525905726529</v>
      </c>
      <c r="GQ185" s="6">
        <v>1144</v>
      </c>
      <c r="GS185" s="6">
        <v>1368115</v>
      </c>
      <c r="GT185" s="6">
        <v>1369259</v>
      </c>
      <c r="GU185" s="4">
        <v>4</v>
      </c>
      <c r="HL185" s="2">
        <v>6.97</v>
      </c>
      <c r="HM185" s="5">
        <v>23.37</v>
      </c>
      <c r="HO185" s="5">
        <v>6.97</v>
      </c>
      <c r="HP185" s="5">
        <v>23.37</v>
      </c>
      <c r="HV185" s="5">
        <v>26.55</v>
      </c>
      <c r="HW185" s="6">
        <v>1018.5</v>
      </c>
      <c r="HY185" s="6">
        <v>1809.3779999999999</v>
      </c>
      <c r="HZ185" s="6">
        <f t="shared" si="363"/>
        <v>2854.4279999999999</v>
      </c>
      <c r="IA185" s="15">
        <v>189.67189211522572</v>
      </c>
      <c r="IC185" s="15">
        <v>109.26108464136441</v>
      </c>
      <c r="ID185" s="4">
        <v>1.0142098112035611</v>
      </c>
      <c r="IF185" s="6">
        <v>1206.9017456230024</v>
      </c>
      <c r="IH185" s="4">
        <v>0.20325430712095138</v>
      </c>
      <c r="II185" s="5">
        <v>1.0308024158757549</v>
      </c>
      <c r="IJ185" s="6">
        <v>1318.4110967985671</v>
      </c>
      <c r="IK185" s="6">
        <v>4666.9263731982855</v>
      </c>
      <c r="IN185" s="15">
        <v>192.65610000000001</v>
      </c>
      <c r="IP185" s="15">
        <v>192.65610000000001</v>
      </c>
      <c r="IQ185" s="6">
        <v>10037.577654335897</v>
      </c>
      <c r="IW185" s="2">
        <v>430</v>
      </c>
      <c r="IX185" s="16">
        <v>33.726999999999997</v>
      </c>
      <c r="IZ185" s="15">
        <v>463.72699999999998</v>
      </c>
      <c r="JJ185" s="6">
        <v>13692</v>
      </c>
      <c r="JK185" s="5">
        <v>45.000546935513981</v>
      </c>
      <c r="JL185" s="4">
        <v>4.1955886649138181</v>
      </c>
      <c r="JO185" s="2">
        <v>390</v>
      </c>
      <c r="JQ185" s="4">
        <v>9.9487179487179489</v>
      </c>
      <c r="JR185" s="6">
        <v>718039.35000000009</v>
      </c>
      <c r="JS185" s="4">
        <v>55.029141936859027</v>
      </c>
      <c r="JT185" s="2">
        <v>11.1</v>
      </c>
      <c r="JV185" s="6">
        <v>732121.35000000009</v>
      </c>
      <c r="JW185" s="2">
        <v>11.1</v>
      </c>
      <c r="JX185" s="6">
        <v>720000</v>
      </c>
      <c r="JY185" s="2">
        <v>11.1</v>
      </c>
      <c r="KE185" s="6">
        <v>15395.53</v>
      </c>
      <c r="KF185" s="4">
        <v>88.608706553135875</v>
      </c>
      <c r="KG185" s="5">
        <v>71.911652278291157</v>
      </c>
      <c r="KI185" s="6">
        <v>15395.53</v>
      </c>
      <c r="KJ185" s="5">
        <v>71.911652278291157</v>
      </c>
      <c r="KL185" s="6">
        <v>112001.07</v>
      </c>
      <c r="KN185" s="15">
        <v>124.69668370132534</v>
      </c>
      <c r="KO185" s="6">
        <v>200685</v>
      </c>
      <c r="KP185" s="5">
        <v>95.999701023992827</v>
      </c>
      <c r="KQ185" s="15">
        <v>112.32185514612452</v>
      </c>
      <c r="KS185" s="6">
        <v>2965</v>
      </c>
      <c r="KU185" s="15">
        <v>130.95716694772344</v>
      </c>
      <c r="KV185" s="2">
        <v>754</v>
      </c>
      <c r="KW185" s="5">
        <v>81.564986737400531</v>
      </c>
      <c r="KX185" s="5">
        <v>96.389920424403186</v>
      </c>
      <c r="KY185" s="6">
        <v>1910.57</v>
      </c>
      <c r="KZ185" s="2">
        <v>98.09</v>
      </c>
      <c r="LA185" s="5">
        <v>69.577461176507526</v>
      </c>
      <c r="LC185" s="6">
        <v>318315.64</v>
      </c>
      <c r="LD185" s="5">
        <v>69.577461176507526</v>
      </c>
      <c r="LE185" s="6">
        <v>335000</v>
      </c>
      <c r="LF185" s="2">
        <v>120.5</v>
      </c>
      <c r="LH185" s="6">
        <v>13061.34</v>
      </c>
      <c r="LI185" s="4">
        <v>91.1</v>
      </c>
      <c r="LJ185" s="15">
        <v>702.04914579974184</v>
      </c>
      <c r="LL185" s="6">
        <v>112001.07</v>
      </c>
      <c r="LN185" s="15">
        <v>124.69668370132534</v>
      </c>
      <c r="LO185" s="6">
        <v>209849.5</v>
      </c>
      <c r="LP185" s="5">
        <v>66.547268050889969</v>
      </c>
      <c r="LQ185" s="5">
        <v>39.793783163648236</v>
      </c>
      <c r="LS185" s="6">
        <v>1238</v>
      </c>
      <c r="LU185" s="5">
        <v>58.796445880452346</v>
      </c>
      <c r="LY185" s="6">
        <v>89687.360000000001</v>
      </c>
      <c r="LZ185" s="4">
        <v>65.469727283755475</v>
      </c>
      <c r="MA185" s="5">
        <v>29.816273441430322</v>
      </c>
      <c r="MC185" s="6">
        <v>412775.93</v>
      </c>
      <c r="MD185" s="6">
        <v>375000</v>
      </c>
      <c r="ME185" s="2">
        <v>36.9</v>
      </c>
      <c r="MG185" s="5">
        <v>44.25</v>
      </c>
      <c r="MI185" s="5">
        <v>99.209039548022602</v>
      </c>
      <c r="MJ185" s="6">
        <v>1697.5</v>
      </c>
      <c r="MK185" s="5">
        <v>90.014727540500743</v>
      </c>
      <c r="ML185" s="15">
        <v>127.50368188512519</v>
      </c>
      <c r="MN185" s="6">
        <v>3015.63</v>
      </c>
      <c r="MO185" s="4">
        <v>6.5001939893156653</v>
      </c>
      <c r="MP185" s="15">
        <v>130.9173373391298</v>
      </c>
      <c r="MQ185" s="6">
        <v>4757.38</v>
      </c>
      <c r="MR185" s="15">
        <v>129.40436753002703</v>
      </c>
      <c r="MS185" s="5">
        <v>45.24</v>
      </c>
      <c r="MT185" s="4">
        <v>30.645358090185674</v>
      </c>
      <c r="MU185" s="15">
        <v>705.70114942528733</v>
      </c>
      <c r="MV185" s="6">
        <v>4200</v>
      </c>
      <c r="MW185" s="2">
        <v>127.5</v>
      </c>
      <c r="NC185" s="2">
        <v>5.08</v>
      </c>
      <c r="ND185" s="6">
        <v>14049.803149606299</v>
      </c>
      <c r="NJ185" s="17">
        <v>5.08</v>
      </c>
      <c r="NK185" s="6">
        <v>14049.803149606299</v>
      </c>
    </row>
    <row r="186" spans="1:375" x14ac:dyDescent="0.25">
      <c r="A186" s="2">
        <v>1974</v>
      </c>
      <c r="B186" s="6">
        <v>1984</v>
      </c>
      <c r="C186" s="2">
        <v>282</v>
      </c>
      <c r="D186" s="2">
        <v>126</v>
      </c>
      <c r="E186" s="6">
        <v>1585</v>
      </c>
      <c r="F186" s="5">
        <v>67</v>
      </c>
      <c r="G186" s="6">
        <v>6584</v>
      </c>
      <c r="H186" s="6">
        <v>5316</v>
      </c>
      <c r="I186" s="6">
        <v>15944</v>
      </c>
      <c r="J186" s="6">
        <v>3581.6720257234724</v>
      </c>
      <c r="K186" s="6">
        <v>13631.961671999998</v>
      </c>
      <c r="M186" s="6">
        <v>319107</v>
      </c>
      <c r="N186" s="6">
        <v>264735</v>
      </c>
      <c r="P186" s="6">
        <v>80179</v>
      </c>
      <c r="Q186" s="6">
        <v>1700</v>
      </c>
      <c r="R186" s="6">
        <v>1653</v>
      </c>
      <c r="S186" s="6">
        <v>2580</v>
      </c>
      <c r="T186" s="6">
        <v>669954</v>
      </c>
      <c r="U186" s="15">
        <v>104.75</v>
      </c>
      <c r="V186" s="6">
        <v>655041.72</v>
      </c>
      <c r="X186" s="6">
        <v>9267906</v>
      </c>
      <c r="Y186" s="6">
        <v>9063</v>
      </c>
      <c r="Z186" s="6">
        <v>6800.0879999999997</v>
      </c>
      <c r="AA186" s="6">
        <v>7078188</v>
      </c>
      <c r="AB186" s="34">
        <v>3632042.9120000005</v>
      </c>
      <c r="AC186" s="6">
        <f t="shared" si="358"/>
        <v>19994000</v>
      </c>
      <c r="AE186" s="5">
        <v>17.025028827240046</v>
      </c>
      <c r="AG186" s="6">
        <v>2178795</v>
      </c>
      <c r="AI186" s="6">
        <v>1981205</v>
      </c>
      <c r="AJ186" s="6">
        <v>740000</v>
      </c>
      <c r="AK186" s="6">
        <v>4900000</v>
      </c>
      <c r="AL186" s="5">
        <v>53.3</v>
      </c>
      <c r="AN186" s="6">
        <v>28501000</v>
      </c>
      <c r="AO186" s="6">
        <v>38694000</v>
      </c>
      <c r="AQ186" s="6">
        <v>127000</v>
      </c>
      <c r="AR186" s="6">
        <v>1671000</v>
      </c>
      <c r="AS186" s="6">
        <v>1146000</v>
      </c>
      <c r="AT186" s="6">
        <v>70139000</v>
      </c>
      <c r="AU186" s="4">
        <v>12.5</v>
      </c>
      <c r="AW186" s="6">
        <v>27294627.511999998</v>
      </c>
      <c r="AX186" s="4">
        <v>1.5002888520485473</v>
      </c>
      <c r="AZ186" s="2">
        <v>201</v>
      </c>
      <c r="BC186" s="2">
        <v>135</v>
      </c>
      <c r="BD186" s="5">
        <v>19.868100000000002</v>
      </c>
      <c r="BE186" s="15">
        <v>355.86810000000003</v>
      </c>
      <c r="BF186" s="6">
        <v>4505.9851851851854</v>
      </c>
      <c r="BH186" s="6">
        <v>182621</v>
      </c>
      <c r="BI186" s="6">
        <v>12800</v>
      </c>
      <c r="BK186" s="6">
        <v>29106</v>
      </c>
      <c r="BL186" s="6">
        <v>9454</v>
      </c>
      <c r="BM186" s="6">
        <v>3639</v>
      </c>
      <c r="BN186" s="6">
        <v>13720</v>
      </c>
      <c r="BO186" s="6">
        <v>251340</v>
      </c>
      <c r="BP186" s="6">
        <v>1298.2</v>
      </c>
      <c r="BQ186" s="6">
        <v>245709.97892691303</v>
      </c>
      <c r="BV186" s="15"/>
      <c r="BZ186" s="6">
        <v>27148</v>
      </c>
      <c r="CA186" s="6">
        <v>30993</v>
      </c>
      <c r="CB186" s="2">
        <v>364</v>
      </c>
      <c r="CC186" s="6">
        <v>2182000</v>
      </c>
      <c r="CD186" s="6">
        <v>5468306</v>
      </c>
      <c r="CE186" s="6">
        <v>88589000</v>
      </c>
      <c r="CF186" s="6">
        <v>710000</v>
      </c>
      <c r="CG186" s="6">
        <v>97007811</v>
      </c>
      <c r="CH186" s="4">
        <v>7.04</v>
      </c>
      <c r="CP186" s="6">
        <v>1521989</v>
      </c>
      <c r="CQ186" s="6">
        <v>2237</v>
      </c>
      <c r="CR186" s="6">
        <v>1524226</v>
      </c>
      <c r="CS186" s="2">
        <v>116</v>
      </c>
      <c r="CT186" s="6">
        <v>1521989</v>
      </c>
      <c r="CV186" s="6">
        <v>2745</v>
      </c>
      <c r="CX186" s="6">
        <v>50189.678546000003</v>
      </c>
      <c r="CY186" s="6">
        <v>52934.678546000003</v>
      </c>
      <c r="DA186" s="6">
        <v>2653.7</v>
      </c>
      <c r="DB186" s="6">
        <v>51896.496117999995</v>
      </c>
      <c r="DD186" s="6">
        <v>128210</v>
      </c>
      <c r="DE186" s="6">
        <v>227558</v>
      </c>
      <c r="DG186" s="6">
        <v>19017</v>
      </c>
      <c r="DH186" s="2">
        <v>516</v>
      </c>
      <c r="DJ186" s="4">
        <v>3</v>
      </c>
      <c r="DK186" s="6">
        <v>375304</v>
      </c>
      <c r="DL186" s="15">
        <v>389.4</v>
      </c>
      <c r="DM186" s="6">
        <v>363074.47070000001</v>
      </c>
      <c r="DO186" s="6">
        <v>119282</v>
      </c>
      <c r="DP186" s="6">
        <v>263249</v>
      </c>
      <c r="DR186" s="6">
        <v>65311</v>
      </c>
      <c r="DS186" s="6">
        <v>25603</v>
      </c>
      <c r="DV186" s="6">
        <v>473445</v>
      </c>
      <c r="DW186" s="15">
        <v>543.20000000000005</v>
      </c>
      <c r="DX186" s="6">
        <v>433806.63949999999</v>
      </c>
      <c r="DZ186" s="6">
        <v>1649.2</v>
      </c>
      <c r="EA186" s="6">
        <v>2234</v>
      </c>
      <c r="EC186" s="6">
        <v>5841.8819999999996</v>
      </c>
      <c r="ED186" s="15">
        <v>608.96999999999991</v>
      </c>
      <c r="EE186" s="5">
        <v>1.2462908011869436</v>
      </c>
      <c r="EF186" s="6">
        <v>10335.298290801185</v>
      </c>
      <c r="EG186" s="6">
        <v>8167</v>
      </c>
      <c r="EZ186" s="2">
        <v>860</v>
      </c>
      <c r="FC186" s="6">
        <v>8572</v>
      </c>
      <c r="FF186" s="6">
        <v>9432</v>
      </c>
      <c r="FG186" s="6">
        <v>2719.934884351896</v>
      </c>
      <c r="FI186" s="200"/>
      <c r="FJ186" s="200"/>
      <c r="FK186" s="200"/>
      <c r="FL186" s="200"/>
      <c r="FN186" s="15">
        <v>217.73044834836872</v>
      </c>
      <c r="FY186" s="202"/>
      <c r="FZ186" s="3">
        <v>1.9635085119370087E-2</v>
      </c>
      <c r="GA186" s="202"/>
      <c r="GB186" s="3">
        <v>1.9635085119370087E-2</v>
      </c>
      <c r="GC186" s="6">
        <v>1180.2211218883538</v>
      </c>
      <c r="GQ186" s="6">
        <v>1484</v>
      </c>
      <c r="GS186" s="6">
        <v>1689848</v>
      </c>
      <c r="GT186" s="6">
        <v>1691332</v>
      </c>
      <c r="GU186" s="4">
        <v>4</v>
      </c>
      <c r="HL186" s="5">
        <v>59.536999999999999</v>
      </c>
      <c r="HM186" s="15">
        <v>163.71700000000001</v>
      </c>
      <c r="HN186" s="4">
        <v>5.2809999999999997</v>
      </c>
      <c r="HO186" s="5">
        <v>59.536999999999999</v>
      </c>
      <c r="HP186" s="15">
        <v>163.71700000000001</v>
      </c>
      <c r="HR186" s="4">
        <v>5.2809999999999997</v>
      </c>
      <c r="HV186" s="5">
        <v>16.41</v>
      </c>
      <c r="HW186" s="15">
        <v>673.8</v>
      </c>
      <c r="HY186" s="6">
        <v>1596.9959999999999</v>
      </c>
      <c r="HZ186" s="6">
        <f t="shared" si="363"/>
        <v>2287.2059999999997</v>
      </c>
      <c r="IA186" s="15">
        <v>211.43066132703078</v>
      </c>
      <c r="IC186" s="5">
        <v>92.019914336365659</v>
      </c>
      <c r="ID186" s="4">
        <v>1.7984580545814517</v>
      </c>
      <c r="IF186" s="6">
        <v>1032.4481424449075</v>
      </c>
      <c r="IJ186" s="6">
        <v>1126.2665148358547</v>
      </c>
      <c r="IK186" s="6">
        <v>7122.0240113952386</v>
      </c>
      <c r="IN186" s="5">
        <v>97.386600000000001</v>
      </c>
      <c r="IP186" s="5">
        <v>97.386600000000001</v>
      </c>
      <c r="IQ186" s="6">
        <v>20160.980826741696</v>
      </c>
      <c r="IW186" s="2">
        <v>540</v>
      </c>
      <c r="IX186" s="16">
        <v>23.501999999999999</v>
      </c>
      <c r="IZ186" s="15">
        <v>563.50199999999995</v>
      </c>
      <c r="JG186" s="6">
        <v>39237</v>
      </c>
      <c r="JI186" s="4">
        <v>8.4947116242322291</v>
      </c>
      <c r="JJ186" s="6">
        <v>16437.5</v>
      </c>
      <c r="JK186" s="5">
        <v>45.000760456273767</v>
      </c>
      <c r="JL186" s="4">
        <v>4.6124106463878327</v>
      </c>
      <c r="JO186" s="2">
        <v>303</v>
      </c>
      <c r="JP186" s="5">
        <v>47.778324497358803</v>
      </c>
      <c r="JQ186" s="4">
        <v>6.9900990099009901</v>
      </c>
      <c r="JR186" s="6">
        <v>854570.65</v>
      </c>
      <c r="JS186" s="4">
        <v>55.103319963656602</v>
      </c>
      <c r="JT186" s="2">
        <v>11.9</v>
      </c>
      <c r="JV186" s="6">
        <v>910548.15</v>
      </c>
      <c r="JW186" s="2">
        <v>11.9</v>
      </c>
      <c r="JX186" s="6">
        <v>817000</v>
      </c>
      <c r="JY186" s="2">
        <v>11.9</v>
      </c>
      <c r="KE186" s="6">
        <v>15667.8</v>
      </c>
      <c r="KF186" s="4">
        <v>87.993591952922557</v>
      </c>
      <c r="KG186" s="15">
        <v>104.34807822412847</v>
      </c>
      <c r="KI186" s="6">
        <v>15667.8</v>
      </c>
      <c r="KJ186" s="15">
        <v>104.34807822412847</v>
      </c>
      <c r="KL186" s="6">
        <v>122640.56</v>
      </c>
      <c r="KN186" s="15">
        <v>170.45209186911737</v>
      </c>
      <c r="KO186" s="6">
        <v>183837</v>
      </c>
      <c r="KP186" s="5">
        <v>96.000805061005124</v>
      </c>
      <c r="KQ186" s="15">
        <v>129.4517099386957</v>
      </c>
      <c r="KS186" s="6">
        <v>4322</v>
      </c>
      <c r="KU186" s="15">
        <v>245.94470152707081</v>
      </c>
      <c r="KV186" s="2">
        <v>324</v>
      </c>
      <c r="KW186" s="5">
        <v>95.987654320987659</v>
      </c>
      <c r="KX186" s="15">
        <v>154.05246913580248</v>
      </c>
      <c r="KY186" s="6">
        <v>11275.02</v>
      </c>
      <c r="KZ186" s="4">
        <v>95.294731184512301</v>
      </c>
      <c r="LA186" s="15">
        <v>134.38521173354903</v>
      </c>
      <c r="LC186" s="6">
        <v>322398.58</v>
      </c>
      <c r="LD186" s="15">
        <v>134.38521173354903</v>
      </c>
      <c r="LE186" s="6">
        <v>319000</v>
      </c>
      <c r="LF186" s="2">
        <v>139.69999999999999</v>
      </c>
      <c r="LH186" s="6">
        <v>14126</v>
      </c>
      <c r="LI186" s="2">
        <v>88.32</v>
      </c>
      <c r="LJ186" s="15">
        <v>795.54945349001844</v>
      </c>
      <c r="LL186" s="6">
        <v>122640.56</v>
      </c>
      <c r="LN186" s="15">
        <v>170.45209186911737</v>
      </c>
      <c r="LO186" s="6">
        <v>183527</v>
      </c>
      <c r="LP186" s="5">
        <v>66.547551676331551</v>
      </c>
      <c r="LQ186" s="5">
        <v>100.56504492526985</v>
      </c>
      <c r="LS186" s="6">
        <v>5531</v>
      </c>
      <c r="LU186" s="15">
        <v>207.02043030193454</v>
      </c>
      <c r="LV186" s="2">
        <v>143</v>
      </c>
      <c r="LW186" s="5">
        <v>65.734265734265733</v>
      </c>
      <c r="LX186" s="15">
        <v>165.88811188811189</v>
      </c>
      <c r="LY186" s="6">
        <v>73681.27</v>
      </c>
      <c r="LZ186" s="4">
        <v>65.307058360964731</v>
      </c>
      <c r="MA186" s="5">
        <v>68.159934132514266</v>
      </c>
      <c r="MC186" s="6">
        <v>385522.83</v>
      </c>
      <c r="MD186" s="6">
        <v>368000</v>
      </c>
      <c r="ME186" s="2">
        <v>83.9</v>
      </c>
      <c r="MG186" s="5">
        <v>27.35</v>
      </c>
      <c r="MI186" s="15">
        <v>125.04570383912248</v>
      </c>
      <c r="MJ186" s="6">
        <v>1123</v>
      </c>
      <c r="MK186" s="5">
        <v>90.115761353517371</v>
      </c>
      <c r="ML186" s="15">
        <v>142.00222617987532</v>
      </c>
      <c r="MN186" s="6">
        <v>2661.66</v>
      </c>
      <c r="MO186" s="4">
        <v>6.3202512717627348</v>
      </c>
      <c r="MP186" s="15">
        <v>145.19563730904773</v>
      </c>
      <c r="MQ186" s="6">
        <v>3812.0099999999998</v>
      </c>
      <c r="MR186" s="15">
        <v>144.11030401284361</v>
      </c>
      <c r="MS186" s="2">
        <v>26</v>
      </c>
      <c r="MT186" s="4">
        <v>30.286153846153844</v>
      </c>
      <c r="MU186" s="15">
        <v>809.10115384615392</v>
      </c>
      <c r="MV186" s="6">
        <v>3600</v>
      </c>
      <c r="MW186" s="2">
        <v>142.1</v>
      </c>
    </row>
    <row r="187" spans="1:375" x14ac:dyDescent="0.25">
      <c r="A187" s="2">
        <v>1975</v>
      </c>
      <c r="B187" s="6">
        <v>1395</v>
      </c>
      <c r="C187" s="2">
        <v>389</v>
      </c>
      <c r="D187" s="2">
        <v>216</v>
      </c>
      <c r="E187" s="6">
        <v>1669</v>
      </c>
      <c r="F187" s="5">
        <v>64</v>
      </c>
      <c r="G187" s="6">
        <v>7105</v>
      </c>
      <c r="H187" s="6">
        <v>5548</v>
      </c>
      <c r="I187" s="6">
        <v>16386</v>
      </c>
      <c r="J187" s="6">
        <v>3950.8038585209001</v>
      </c>
      <c r="K187" s="6">
        <v>11421.314469000001</v>
      </c>
      <c r="M187" s="6">
        <v>365069</v>
      </c>
      <c r="N187" s="6">
        <v>280062</v>
      </c>
      <c r="P187" s="6">
        <v>76402</v>
      </c>
      <c r="Q187" s="6">
        <v>1670</v>
      </c>
      <c r="R187" s="6">
        <v>1998</v>
      </c>
      <c r="S187" s="6">
        <v>1017</v>
      </c>
      <c r="T187" s="6">
        <v>726218</v>
      </c>
      <c r="U187" s="15">
        <v>109.17</v>
      </c>
      <c r="V187" s="6">
        <v>681044.36</v>
      </c>
      <c r="X187" s="6">
        <v>9548149</v>
      </c>
      <c r="Y187" s="6">
        <v>10442</v>
      </c>
      <c r="AA187" s="6">
        <v>7395026</v>
      </c>
      <c r="AB187" s="34">
        <v>4079383</v>
      </c>
      <c r="AC187" s="6">
        <f t="shared" si="358"/>
        <v>21033000</v>
      </c>
      <c r="AE187" s="5">
        <v>14.817518248175181</v>
      </c>
      <c r="AG187" s="6">
        <v>1950745</v>
      </c>
      <c r="AI187" s="6">
        <v>2230255</v>
      </c>
      <c r="AJ187" s="6">
        <v>948000</v>
      </c>
      <c r="AK187" s="6">
        <v>5129000</v>
      </c>
      <c r="AL187" s="5">
        <v>76.2</v>
      </c>
      <c r="AN187" s="6">
        <v>30476000</v>
      </c>
      <c r="AO187" s="6">
        <v>40210000</v>
      </c>
      <c r="AQ187" s="6">
        <v>162000</v>
      </c>
      <c r="AR187" s="6">
        <v>1759000</v>
      </c>
      <c r="AS187" s="6">
        <v>2114000</v>
      </c>
      <c r="AT187" s="6">
        <v>74721000</v>
      </c>
      <c r="AU187" s="4">
        <v>22.1</v>
      </c>
      <c r="AW187" s="6">
        <v>28194303.736000001</v>
      </c>
      <c r="AX187" s="4">
        <v>1.748305446090312</v>
      </c>
      <c r="AZ187" s="15">
        <v>383.51280492783343</v>
      </c>
      <c r="BC187" s="2">
        <v>57</v>
      </c>
      <c r="BD187" s="5">
        <v>19.868100000000002</v>
      </c>
      <c r="BE187" s="15">
        <v>460.38090492783346</v>
      </c>
      <c r="BF187" s="6">
        <v>2691.3333333333335</v>
      </c>
      <c r="BH187" s="6">
        <v>156633</v>
      </c>
      <c r="BI187" s="6">
        <v>13416</v>
      </c>
      <c r="BK187" s="6">
        <v>26460</v>
      </c>
      <c r="BL187" s="6">
        <v>15248</v>
      </c>
      <c r="BM187" s="6">
        <v>4610</v>
      </c>
      <c r="BN187" s="6">
        <v>2594</v>
      </c>
      <c r="BO187" s="6">
        <v>218961</v>
      </c>
      <c r="BP187" s="6">
        <v>950.1</v>
      </c>
      <c r="BQ187" s="6">
        <v>225925.22345231599</v>
      </c>
      <c r="BV187" s="15"/>
      <c r="BZ187" s="6">
        <v>29117</v>
      </c>
      <c r="CA187" s="6">
        <v>25328</v>
      </c>
      <c r="CB187" s="6">
        <v>5061</v>
      </c>
      <c r="CC187" s="6">
        <v>2060000</v>
      </c>
      <c r="CD187" s="6">
        <v>5301012</v>
      </c>
      <c r="CE187" s="6">
        <v>90290000</v>
      </c>
      <c r="CG187" s="6">
        <v>97710518</v>
      </c>
      <c r="CH187" s="4">
        <v>9.32</v>
      </c>
      <c r="CP187" s="6">
        <v>1554909</v>
      </c>
      <c r="CQ187" s="6">
        <v>3134</v>
      </c>
      <c r="CR187" s="6">
        <v>1558043</v>
      </c>
      <c r="CS187" s="2">
        <v>139</v>
      </c>
      <c r="CT187" s="6">
        <v>1554909</v>
      </c>
      <c r="CV187" s="6">
        <v>11561.99254293257</v>
      </c>
      <c r="CX187" s="6">
        <v>50928.418299999998</v>
      </c>
      <c r="CY187" s="6">
        <v>62490.410842932572</v>
      </c>
      <c r="DA187" s="6">
        <v>3489.6</v>
      </c>
      <c r="DB187" s="6">
        <v>66484.452542932573</v>
      </c>
      <c r="DD187" s="6">
        <v>142633</v>
      </c>
      <c r="DE187" s="6">
        <v>244638</v>
      </c>
      <c r="DG187" s="6">
        <v>19552</v>
      </c>
      <c r="DH187" s="2">
        <v>733</v>
      </c>
      <c r="DJ187" s="2">
        <v>245</v>
      </c>
      <c r="DK187" s="6">
        <v>407801</v>
      </c>
      <c r="DL187" s="15">
        <v>324.2</v>
      </c>
      <c r="DM187" s="6">
        <v>392183.68960000004</v>
      </c>
      <c r="DO187" s="6">
        <v>130234</v>
      </c>
      <c r="DP187" s="6">
        <v>288831</v>
      </c>
      <c r="DR187" s="6">
        <v>67476</v>
      </c>
      <c r="DS187" s="6">
        <v>36184</v>
      </c>
      <c r="DV187" s="6">
        <v>522725</v>
      </c>
      <c r="DW187" s="15">
        <v>627</v>
      </c>
      <c r="DX187" s="6">
        <v>476691.348</v>
      </c>
      <c r="DZ187" s="6">
        <v>1808.1</v>
      </c>
      <c r="EA187" s="6">
        <v>1854</v>
      </c>
      <c r="EB187" s="3">
        <v>2.9899999999999996E-2</v>
      </c>
      <c r="EC187" s="6">
        <v>5517.7860000000001</v>
      </c>
      <c r="ED187" s="15">
        <v>657.09</v>
      </c>
      <c r="EE187" s="5">
        <v>14.124629080118693</v>
      </c>
      <c r="EF187" s="6">
        <v>9851.1305290801192</v>
      </c>
      <c r="EG187" s="6">
        <v>6841</v>
      </c>
      <c r="EZ187" s="2">
        <v>990</v>
      </c>
      <c r="FC187" s="6">
        <v>10319</v>
      </c>
      <c r="FF187" s="6">
        <v>11309</v>
      </c>
      <c r="FG187" s="6">
        <v>2846.7153284671531</v>
      </c>
      <c r="FI187" s="200"/>
      <c r="FJ187" s="200"/>
      <c r="FK187" s="200"/>
      <c r="FL187" s="200"/>
      <c r="FN187" s="15">
        <v>428.4671532846715</v>
      </c>
      <c r="GC187" s="6">
        <v>1255.4744525547444</v>
      </c>
      <c r="GN187" s="6">
        <v>120969</v>
      </c>
      <c r="GQ187" s="6">
        <v>2914</v>
      </c>
      <c r="GS187" s="6">
        <v>1569564</v>
      </c>
      <c r="GT187" s="6">
        <v>1693447</v>
      </c>
      <c r="GU187" s="5">
        <v>30.207615322129072</v>
      </c>
      <c r="HL187" s="5">
        <v>44.988</v>
      </c>
      <c r="HM187" s="15">
        <v>108.166</v>
      </c>
      <c r="HN187" s="4">
        <v>5.6319999999999997</v>
      </c>
      <c r="HO187" s="5">
        <v>44.988</v>
      </c>
      <c r="HP187" s="15">
        <v>108.166</v>
      </c>
      <c r="HR187" s="4">
        <v>5.6319999999999997</v>
      </c>
      <c r="HV187" s="4">
        <v>8.4</v>
      </c>
      <c r="HW187" s="15">
        <v>534.29999999999995</v>
      </c>
      <c r="HY187" s="6">
        <v>1710.6</v>
      </c>
      <c r="HZ187" s="6">
        <f t="shared" si="363"/>
        <v>2253.2999999999997</v>
      </c>
      <c r="IA187" s="15">
        <v>242.09720015680773</v>
      </c>
      <c r="IC187" s="15">
        <v>139.61482213796762</v>
      </c>
      <c r="IF187" s="6">
        <v>1382.9412906481709</v>
      </c>
      <c r="IH187" s="4">
        <v>0.29003704499281829</v>
      </c>
      <c r="II187" s="5">
        <v>2.5770060396893872</v>
      </c>
      <c r="IJ187" s="6">
        <v>1525.4231558708209</v>
      </c>
      <c r="IK187" s="6">
        <v>8540.1459854014593</v>
      </c>
      <c r="IN187" s="15">
        <v>105.855</v>
      </c>
      <c r="IP187" s="15">
        <v>105.855</v>
      </c>
      <c r="IQ187" s="6">
        <v>21627.340252340255</v>
      </c>
      <c r="IW187" s="2">
        <v>320</v>
      </c>
      <c r="IX187" s="16">
        <v>31.9</v>
      </c>
      <c r="IZ187" s="15">
        <v>351.9</v>
      </c>
      <c r="JG187" s="6">
        <v>28946</v>
      </c>
      <c r="JI187" s="4">
        <v>9.2657707455261527</v>
      </c>
      <c r="JJ187" s="6">
        <v>18806</v>
      </c>
      <c r="JK187" s="5">
        <v>45.001595235563116</v>
      </c>
      <c r="JL187" s="4">
        <v>4.6474795278102734</v>
      </c>
      <c r="JO187" s="2">
        <v>82</v>
      </c>
      <c r="JP187" s="5">
        <v>54.878048780487802</v>
      </c>
      <c r="JQ187" s="5">
        <v>10.353658536585366</v>
      </c>
      <c r="JR187" s="6">
        <v>619964</v>
      </c>
      <c r="JS187" s="4">
        <v>54.8</v>
      </c>
      <c r="JT187" s="2">
        <v>12.7</v>
      </c>
      <c r="JV187" s="6">
        <v>667798</v>
      </c>
      <c r="JW187" s="2">
        <v>12.7</v>
      </c>
      <c r="JX187" s="6">
        <v>991000</v>
      </c>
      <c r="JY187" s="2">
        <v>12.7</v>
      </c>
      <c r="KE187" s="6">
        <v>10296</v>
      </c>
      <c r="KF187" s="4">
        <v>88.218725718725722</v>
      </c>
      <c r="KG187" s="15">
        <v>137.66860916860918</v>
      </c>
      <c r="KI187" s="6">
        <v>10296</v>
      </c>
      <c r="KJ187" s="15">
        <v>137.66860916860918</v>
      </c>
      <c r="KL187" s="6">
        <v>113085.6</v>
      </c>
      <c r="KN187" s="15">
        <v>228.10156200258919</v>
      </c>
      <c r="KO187" s="6">
        <v>187269.5</v>
      </c>
      <c r="KP187" s="5">
        <v>96.000950501816902</v>
      </c>
      <c r="KQ187" s="15">
        <v>164.30887838115657</v>
      </c>
      <c r="KS187" s="6">
        <v>5504</v>
      </c>
      <c r="KU187" s="15">
        <v>286.93877180232556</v>
      </c>
      <c r="KV187" s="2">
        <v>89</v>
      </c>
      <c r="KW187" s="5">
        <v>95.50561797752809</v>
      </c>
      <c r="KX187" s="15">
        <v>171.46067415730337</v>
      </c>
      <c r="KY187" s="6">
        <v>36298</v>
      </c>
      <c r="KZ187" s="4">
        <v>95.619593366025683</v>
      </c>
      <c r="LA187" s="15">
        <v>150.8815912722464</v>
      </c>
      <c r="LC187" s="6">
        <v>342246.1</v>
      </c>
      <c r="LD187" s="15">
        <v>150.8815912722464</v>
      </c>
      <c r="LE187" s="6">
        <v>348000</v>
      </c>
      <c r="LF187" s="2">
        <v>188.1</v>
      </c>
      <c r="LH187" s="6">
        <v>46757</v>
      </c>
      <c r="LI187" s="2">
        <v>88.19</v>
      </c>
      <c r="LJ187" s="15">
        <v>319.97251748401311</v>
      </c>
      <c r="LL187" s="6">
        <v>113085.6</v>
      </c>
      <c r="LN187" s="15">
        <v>228.10156200258919</v>
      </c>
      <c r="LO187" s="6">
        <v>187647</v>
      </c>
      <c r="LP187" s="5">
        <v>66.547438017293743</v>
      </c>
      <c r="LQ187" s="5">
        <v>152.6778925322547</v>
      </c>
      <c r="LS187" s="6">
        <v>8799</v>
      </c>
      <c r="LU187" s="15">
        <v>219.73087850892148</v>
      </c>
      <c r="LV187" s="2">
        <v>59</v>
      </c>
      <c r="LW187" s="5">
        <v>66.101694915254242</v>
      </c>
      <c r="LX187" s="15">
        <v>154.35593220338984</v>
      </c>
      <c r="LY187" s="6">
        <v>90351</v>
      </c>
      <c r="LZ187" s="4">
        <v>64.4663589777645</v>
      </c>
      <c r="MA187" s="15">
        <v>154.97641420681563</v>
      </c>
      <c r="MC187" s="6">
        <v>399941.6</v>
      </c>
      <c r="MD187" s="6">
        <v>382000</v>
      </c>
      <c r="ME187" s="2">
        <v>194.6</v>
      </c>
      <c r="MG187" s="5">
        <v>14</v>
      </c>
      <c r="MI187" s="15">
        <v>158.35714285714286</v>
      </c>
      <c r="MJ187" s="6">
        <v>890.5</v>
      </c>
      <c r="MK187" s="5">
        <v>90.174059517125215</v>
      </c>
      <c r="ML187" s="15">
        <v>160.86973610331273</v>
      </c>
      <c r="MN187" s="6">
        <v>2851</v>
      </c>
      <c r="MO187" s="4">
        <v>6.2816555594528234</v>
      </c>
      <c r="MP187" s="15">
        <v>164.62609610662926</v>
      </c>
      <c r="MQ187" s="6">
        <v>3755.5</v>
      </c>
      <c r="MR187" s="15">
        <v>163.71202236719478</v>
      </c>
      <c r="MV187" s="6">
        <v>4500</v>
      </c>
      <c r="MW187" s="5">
        <v>172</v>
      </c>
      <c r="NA187" s="2">
        <v>2.2999999999999998</v>
      </c>
      <c r="NB187" s="6">
        <v>4956.521739130435</v>
      </c>
      <c r="NJ187" s="17">
        <v>2.2999999999999998</v>
      </c>
      <c r="NK187" s="6">
        <v>4956.521739130435</v>
      </c>
    </row>
    <row r="188" spans="1:375" x14ac:dyDescent="0.25">
      <c r="A188" s="2">
        <v>1976</v>
      </c>
      <c r="B188" s="6">
        <v>1439</v>
      </c>
      <c r="C188" s="2">
        <v>502</v>
      </c>
      <c r="D188" s="5">
        <v>61</v>
      </c>
      <c r="E188" s="6">
        <v>1495</v>
      </c>
      <c r="F188" s="5">
        <v>42</v>
      </c>
      <c r="G188" s="6">
        <v>7479</v>
      </c>
      <c r="H188" s="6">
        <v>4619</v>
      </c>
      <c r="I188" s="6">
        <v>15637</v>
      </c>
      <c r="J188" s="6">
        <v>3289.3890675241155</v>
      </c>
      <c r="K188" s="6">
        <v>11987.615299000001</v>
      </c>
      <c r="M188" s="6">
        <v>444938</v>
      </c>
      <c r="N188" s="6">
        <v>258802</v>
      </c>
      <c r="P188" s="6">
        <v>71309</v>
      </c>
      <c r="Q188" s="6">
        <v>1100</v>
      </c>
      <c r="R188" s="6">
        <v>2111</v>
      </c>
      <c r="S188" s="2">
        <v>398</v>
      </c>
      <c r="T188" s="6">
        <v>778658</v>
      </c>
      <c r="U188" s="15">
        <v>115.17</v>
      </c>
      <c r="V188" s="6">
        <v>690594.6</v>
      </c>
      <c r="X188" s="6">
        <v>9648350</v>
      </c>
      <c r="Y188" s="6">
        <v>8164</v>
      </c>
      <c r="Z188" s="6">
        <v>2366</v>
      </c>
      <c r="AA188" s="6">
        <v>10354006</v>
      </c>
      <c r="AB188" s="34">
        <v>4071114</v>
      </c>
      <c r="AC188" s="6">
        <f t="shared" si="358"/>
        <v>24084000</v>
      </c>
      <c r="AE188" s="5">
        <v>18.869420439229366</v>
      </c>
      <c r="AG188" s="6">
        <v>2035943</v>
      </c>
      <c r="AI188" s="6">
        <v>3120057</v>
      </c>
      <c r="AJ188" s="6">
        <v>1050000</v>
      </c>
      <c r="AK188" s="6">
        <v>6206000</v>
      </c>
      <c r="AL188" s="5">
        <v>90.5</v>
      </c>
      <c r="AN188" s="6">
        <v>35115000</v>
      </c>
      <c r="AO188" s="6">
        <v>44744000</v>
      </c>
      <c r="AQ188" s="6">
        <v>189000</v>
      </c>
      <c r="AR188" s="6">
        <v>1872000</v>
      </c>
      <c r="AS188" s="6">
        <v>2269000</v>
      </c>
      <c r="AT188" s="6">
        <v>84189000</v>
      </c>
      <c r="AU188" s="2">
        <v>34.96</v>
      </c>
      <c r="AW188" s="6">
        <v>30957584.888</v>
      </c>
      <c r="AX188" s="4">
        <v>1.8524722568208092</v>
      </c>
      <c r="AZ188" s="15">
        <v>692.77245058105268</v>
      </c>
      <c r="BC188" s="2">
        <v>195</v>
      </c>
      <c r="BD188" s="5">
        <v>13.2454</v>
      </c>
      <c r="BE188" s="15">
        <v>901.0178505810527</v>
      </c>
      <c r="BF188" s="6">
        <v>3046.2256410256409</v>
      </c>
      <c r="BH188" s="6">
        <v>155620</v>
      </c>
      <c r="BI188" s="6">
        <v>11697</v>
      </c>
      <c r="BK188" s="6">
        <v>25342</v>
      </c>
      <c r="BL188" s="6">
        <v>16755</v>
      </c>
      <c r="BM188" s="6">
        <v>6026</v>
      </c>
      <c r="BN188" s="6">
        <v>3040</v>
      </c>
      <c r="BO188" s="6">
        <v>218480</v>
      </c>
      <c r="BP188" s="6">
        <v>1143.3</v>
      </c>
      <c r="BQ188" s="6">
        <v>218354.50218423622</v>
      </c>
      <c r="BV188" s="15"/>
      <c r="BZ188" s="6">
        <v>28666</v>
      </c>
      <c r="CA188" s="6">
        <v>18405</v>
      </c>
      <c r="CB188" s="6">
        <v>3567</v>
      </c>
      <c r="CC188" s="6">
        <v>2228000</v>
      </c>
      <c r="CD188" s="6">
        <v>4090316</v>
      </c>
      <c r="CE188" s="6">
        <v>86937000</v>
      </c>
      <c r="CG188" s="6">
        <v>93305954</v>
      </c>
      <c r="CH188" s="4">
        <v>10.23</v>
      </c>
      <c r="CP188" s="6">
        <v>2154000</v>
      </c>
      <c r="CQ188" s="6">
        <v>3688</v>
      </c>
      <c r="CR188" s="6">
        <v>2157688</v>
      </c>
      <c r="CS188" s="2">
        <v>142</v>
      </c>
      <c r="CT188" s="6">
        <v>2154000</v>
      </c>
      <c r="CV188" s="6">
        <v>19995.46407090564</v>
      </c>
      <c r="CX188" s="6">
        <v>55816.582300000002</v>
      </c>
      <c r="CY188" s="6">
        <v>75812.046370905649</v>
      </c>
      <c r="DA188" s="6">
        <v>4059.6</v>
      </c>
      <c r="DB188" s="6">
        <v>80798.674070905632</v>
      </c>
      <c r="DD188" s="6">
        <v>160734</v>
      </c>
      <c r="DE188" s="6">
        <v>218268</v>
      </c>
      <c r="DG188" s="6">
        <v>18034</v>
      </c>
      <c r="DH188" s="2">
        <v>367</v>
      </c>
      <c r="DK188" s="6">
        <v>397403</v>
      </c>
      <c r="DL188" s="15">
        <v>358.6</v>
      </c>
      <c r="DM188" s="6">
        <v>366093.16000000003</v>
      </c>
      <c r="DO188" s="6">
        <v>125128</v>
      </c>
      <c r="DP188" s="6">
        <v>274799</v>
      </c>
      <c r="DR188" s="6">
        <v>62004</v>
      </c>
      <c r="DS188" s="6">
        <v>17515</v>
      </c>
      <c r="DV188" s="6">
        <v>479446</v>
      </c>
      <c r="DW188" s="15">
        <v>655.7</v>
      </c>
      <c r="DX188" s="6">
        <v>437017.46749999997</v>
      </c>
      <c r="DZ188" s="6">
        <v>1672.3</v>
      </c>
      <c r="EA188" s="6">
        <v>1464</v>
      </c>
      <c r="EB188" s="5">
        <v>2.0570400000000002</v>
      </c>
      <c r="EC188" s="6">
        <v>6567.1049999999996</v>
      </c>
      <c r="ED188" s="15">
        <v>435.00000000000006</v>
      </c>
      <c r="EE188" s="5">
        <v>12.878338278931748</v>
      </c>
      <c r="EF188" s="6">
        <v>10153.340378278932</v>
      </c>
      <c r="EG188" s="6">
        <v>7650</v>
      </c>
      <c r="EI188" s="2">
        <v>423</v>
      </c>
      <c r="EM188" s="2">
        <v>423</v>
      </c>
      <c r="EN188" s="6">
        <v>30000</v>
      </c>
      <c r="EO188" s="6">
        <v>423</v>
      </c>
      <c r="EZ188" s="6">
        <v>1089</v>
      </c>
      <c r="FB188" s="2">
        <v>309</v>
      </c>
      <c r="FC188" s="6">
        <v>10299</v>
      </c>
      <c r="FF188" s="6">
        <v>11697</v>
      </c>
      <c r="FG188" s="6">
        <v>2885.9113612939027</v>
      </c>
      <c r="FI188" s="200"/>
      <c r="FJ188" s="200"/>
      <c r="FK188" s="200"/>
      <c r="FL188" s="200"/>
      <c r="FN188" s="15">
        <v>398.79489415682229</v>
      </c>
      <c r="GC188" s="6">
        <v>1450.8840085625941</v>
      </c>
      <c r="GN188" s="6">
        <v>270198</v>
      </c>
      <c r="GQ188" s="6">
        <v>5402</v>
      </c>
      <c r="GS188" s="6">
        <v>1154216</v>
      </c>
      <c r="GT188" s="6">
        <v>1429816</v>
      </c>
      <c r="GU188" s="5">
        <v>31.916132269521214</v>
      </c>
      <c r="HL188" s="5">
        <v>98.210999999999999</v>
      </c>
      <c r="HM188" s="15">
        <v>247.27799999999999</v>
      </c>
      <c r="HN188" s="5">
        <v>14.36</v>
      </c>
      <c r="HO188" s="5">
        <v>98.210999999999999</v>
      </c>
      <c r="HP188" s="15">
        <v>247.27799999999999</v>
      </c>
      <c r="HR188" s="5">
        <v>14.36</v>
      </c>
      <c r="HV188" s="2">
        <v>9.1199999999999992</v>
      </c>
      <c r="HW188" s="15">
        <v>593.1</v>
      </c>
      <c r="HY188" s="6">
        <v>1371.6</v>
      </c>
      <c r="HZ188" s="6">
        <f t="shared" si="363"/>
        <v>1973.82</v>
      </c>
      <c r="IA188" s="15">
        <v>248.61258127929833</v>
      </c>
      <c r="IC188" s="15">
        <v>224.75888559634575</v>
      </c>
      <c r="IF188" s="6">
        <v>1748.5008863986336</v>
      </c>
      <c r="IH188" s="4">
        <v>0.28718234966808581</v>
      </c>
      <c r="IJ188" s="6">
        <v>1973.5469543446475</v>
      </c>
      <c r="IK188" s="6">
        <v>11099.659081899626</v>
      </c>
      <c r="IN188" s="5">
        <v>83.272599999999997</v>
      </c>
      <c r="IP188" s="5">
        <v>83.272599999999997</v>
      </c>
      <c r="IQ188" s="6">
        <v>43598.63594503425</v>
      </c>
      <c r="IW188" s="2">
        <v>440</v>
      </c>
      <c r="IX188" s="16">
        <v>23.850999999999999</v>
      </c>
      <c r="IZ188" s="15">
        <v>463.851</v>
      </c>
      <c r="JG188" s="6">
        <v>17057</v>
      </c>
      <c r="JI188" s="4">
        <v>9.3327079791288039</v>
      </c>
      <c r="JJ188" s="6">
        <v>18970</v>
      </c>
      <c r="JK188" s="5">
        <v>45.002635740643122</v>
      </c>
      <c r="JL188" s="4">
        <v>4.8555614127569848</v>
      </c>
      <c r="JR188" s="6">
        <v>914280</v>
      </c>
      <c r="JS188" s="4">
        <v>56.186504856280358</v>
      </c>
      <c r="JT188" s="2">
        <v>14.2</v>
      </c>
      <c r="JV188" s="6">
        <v>950307</v>
      </c>
      <c r="JW188" s="2">
        <v>14.2</v>
      </c>
      <c r="JX188" s="6">
        <v>959000</v>
      </c>
      <c r="JY188" s="2">
        <v>14.2</v>
      </c>
      <c r="KE188" s="6">
        <v>9066</v>
      </c>
      <c r="KF188" s="4">
        <v>87.75645268034414</v>
      </c>
      <c r="KG188" s="15">
        <v>147.01731744981248</v>
      </c>
      <c r="KI188" s="6">
        <v>9066</v>
      </c>
      <c r="KJ188" s="15">
        <v>147.01731744981248</v>
      </c>
      <c r="KL188" s="6">
        <v>110118</v>
      </c>
      <c r="KN188" s="15">
        <v>206.49030131313683</v>
      </c>
      <c r="KO188" s="6">
        <v>185408.5</v>
      </c>
      <c r="KP188" s="5">
        <v>96.000183378863426</v>
      </c>
      <c r="KQ188" s="15">
        <v>191.51149488831419</v>
      </c>
      <c r="KS188" s="6">
        <v>6685</v>
      </c>
      <c r="KU188" s="15">
        <v>290</v>
      </c>
      <c r="KY188" s="6">
        <v>83584</v>
      </c>
      <c r="KZ188" s="4">
        <v>96.216979326186831</v>
      </c>
      <c r="LA188" s="15">
        <v>190.99132609111791</v>
      </c>
      <c r="LC188" s="6">
        <v>385795.5</v>
      </c>
      <c r="LD188" s="15">
        <v>190.99132609111791</v>
      </c>
      <c r="LE188" s="6">
        <v>390000</v>
      </c>
      <c r="LF188" s="2">
        <v>208.9</v>
      </c>
      <c r="LH188" s="6">
        <v>22991</v>
      </c>
      <c r="LI188" s="4">
        <v>91.3</v>
      </c>
      <c r="LJ188" s="15">
        <v>730.50580661998174</v>
      </c>
      <c r="LL188" s="6">
        <v>110118</v>
      </c>
      <c r="LN188" s="15">
        <v>206.49030131313683</v>
      </c>
      <c r="LO188" s="6">
        <v>179538.5</v>
      </c>
      <c r="LP188" s="5">
        <v>66.547039395645228</v>
      </c>
      <c r="LQ188" s="5">
        <v>136.37829490610648</v>
      </c>
      <c r="LS188" s="6">
        <v>6313</v>
      </c>
      <c r="LU188" s="15">
        <v>140</v>
      </c>
      <c r="LY188" s="6">
        <v>125242</v>
      </c>
      <c r="LZ188" s="4">
        <v>65.680841890100766</v>
      </c>
      <c r="MA188" s="5">
        <v>99.467854234202591</v>
      </c>
      <c r="MC188" s="6">
        <v>421211.5</v>
      </c>
      <c r="MD188" s="6">
        <v>420000</v>
      </c>
      <c r="ME188" s="5">
        <v>158</v>
      </c>
      <c r="MG188" s="2">
        <v>15.2</v>
      </c>
      <c r="MI188" s="15">
        <v>150</v>
      </c>
      <c r="MJ188" s="6">
        <v>988.5</v>
      </c>
      <c r="MK188" s="5">
        <v>90.035407182599897</v>
      </c>
      <c r="ML188" s="15">
        <v>153.44714213454731</v>
      </c>
      <c r="MN188" s="6">
        <v>2286</v>
      </c>
      <c r="MO188" s="4">
        <v>6.2401574803149602</v>
      </c>
      <c r="MP188" s="15">
        <v>172.60629921259843</v>
      </c>
      <c r="MQ188" s="6">
        <v>3289.7</v>
      </c>
      <c r="MR188" s="15">
        <v>166.74483995501112</v>
      </c>
      <c r="MS188" s="2">
        <v>48</v>
      </c>
      <c r="MT188" s="4">
        <v>30.5</v>
      </c>
      <c r="MU188" s="15">
        <v>681.6875</v>
      </c>
      <c r="MV188" s="6">
        <v>5300</v>
      </c>
      <c r="MW188" s="2">
        <v>165.6</v>
      </c>
      <c r="MY188" s="5">
        <v>35</v>
      </c>
      <c r="MZ188" s="15">
        <v>192</v>
      </c>
      <c r="NJ188" s="17">
        <v>35</v>
      </c>
      <c r="NK188" s="6">
        <v>192</v>
      </c>
    </row>
    <row r="189" spans="1:375" x14ac:dyDescent="0.25">
      <c r="A189" s="2">
        <v>1977</v>
      </c>
      <c r="B189" s="6">
        <v>1084</v>
      </c>
      <c r="C189" s="2">
        <v>430</v>
      </c>
      <c r="D189" s="5">
        <v>11</v>
      </c>
      <c r="E189" s="6">
        <v>1891</v>
      </c>
      <c r="F189" s="4">
        <v>3</v>
      </c>
      <c r="G189" s="6">
        <v>10747</v>
      </c>
      <c r="H189" s="6">
        <v>5251</v>
      </c>
      <c r="I189" s="6">
        <v>19417</v>
      </c>
      <c r="J189" s="6">
        <v>4288.4244372990352</v>
      </c>
      <c r="K189" s="6">
        <v>15586.549468999998</v>
      </c>
      <c r="M189" s="6">
        <v>502489</v>
      </c>
      <c r="N189" s="6">
        <v>266623</v>
      </c>
      <c r="P189" s="6">
        <v>84772</v>
      </c>
      <c r="Q189" s="4">
        <v>6</v>
      </c>
      <c r="R189" s="6">
        <v>1825</v>
      </c>
      <c r="S189" s="2">
        <v>395</v>
      </c>
      <c r="T189" s="6">
        <v>856110</v>
      </c>
      <c r="U189" s="15">
        <v>135</v>
      </c>
      <c r="V189" s="6">
        <v>732512.54</v>
      </c>
      <c r="X189" s="6">
        <v>10288790</v>
      </c>
      <c r="Y189" s="6">
        <v>4504</v>
      </c>
      <c r="Z189" s="6">
        <v>5579</v>
      </c>
      <c r="AA189" s="6">
        <v>10999915</v>
      </c>
      <c r="AB189" s="34">
        <v>4787633</v>
      </c>
      <c r="AC189" s="6">
        <f t="shared" si="358"/>
        <v>26086421</v>
      </c>
      <c r="AE189" s="5">
        <v>21.940855086289133</v>
      </c>
      <c r="AG189" s="6">
        <v>2037013</v>
      </c>
      <c r="AI189" s="6">
        <v>3456987</v>
      </c>
      <c r="AJ189" s="6">
        <v>1165000</v>
      </c>
      <c r="AK189" s="6">
        <v>6659000</v>
      </c>
      <c r="AL189" s="15">
        <v>102.8</v>
      </c>
      <c r="AN189" s="6">
        <v>35005000</v>
      </c>
      <c r="AO189" s="6">
        <v>47909000</v>
      </c>
      <c r="AQ189" s="6">
        <v>199000</v>
      </c>
      <c r="AR189" s="6">
        <v>1960000</v>
      </c>
      <c r="AS189" s="6">
        <v>2358000</v>
      </c>
      <c r="AT189" s="6">
        <v>87431000</v>
      </c>
      <c r="AU189" s="2">
        <v>37.229999999999997</v>
      </c>
      <c r="AW189" s="6">
        <v>29300165.879999999</v>
      </c>
      <c r="AX189" s="4">
        <v>2.2894422883321233</v>
      </c>
      <c r="AZ189" s="15">
        <v>612.57132748500885</v>
      </c>
      <c r="BC189" s="2">
        <v>201</v>
      </c>
      <c r="BD189" s="5">
        <v>16.556750000000001</v>
      </c>
      <c r="BE189" s="15">
        <v>830.12807748500882</v>
      </c>
      <c r="BF189" s="6">
        <v>3546.686567164179</v>
      </c>
      <c r="BH189" s="6">
        <v>164663</v>
      </c>
      <c r="BI189" s="6">
        <v>11713</v>
      </c>
      <c r="BK189" s="6">
        <v>25002</v>
      </c>
      <c r="BL189" s="6">
        <v>14593</v>
      </c>
      <c r="BM189" s="6">
        <v>4700</v>
      </c>
      <c r="BN189" s="6">
        <v>3908</v>
      </c>
      <c r="BO189" s="6">
        <v>221579</v>
      </c>
      <c r="BP189" s="6">
        <v>1190.0999999999999</v>
      </c>
      <c r="BQ189" s="6">
        <v>212172.33154785371</v>
      </c>
      <c r="BV189" s="15"/>
      <c r="BZ189" s="6">
        <v>28237</v>
      </c>
      <c r="CA189" s="6">
        <v>11659</v>
      </c>
      <c r="CB189" s="2">
        <v>284</v>
      </c>
      <c r="CC189" s="6">
        <v>2046000</v>
      </c>
      <c r="CD189" s="6">
        <v>2692861</v>
      </c>
      <c r="CE189" s="6">
        <v>91185000</v>
      </c>
      <c r="CG189" s="6">
        <v>95964041</v>
      </c>
      <c r="CH189" s="4">
        <v>12.06</v>
      </c>
      <c r="CO189" s="6">
        <v>2267</v>
      </c>
      <c r="CP189" s="6">
        <v>1386737</v>
      </c>
      <c r="CQ189" s="6">
        <v>3485</v>
      </c>
      <c r="CR189" s="6">
        <v>1392489</v>
      </c>
      <c r="CS189" s="2">
        <v>148</v>
      </c>
      <c r="CT189" s="6">
        <v>1386737</v>
      </c>
      <c r="CV189" s="6">
        <v>19035.409276882187</v>
      </c>
      <c r="CX189" s="6">
        <v>54224.149399999995</v>
      </c>
      <c r="CY189" s="6">
        <v>73259.558676882181</v>
      </c>
      <c r="DA189" s="6">
        <v>4691.2</v>
      </c>
      <c r="DB189" s="6">
        <v>76085.999276882183</v>
      </c>
      <c r="DD189" s="6">
        <v>174761</v>
      </c>
      <c r="DE189" s="6">
        <v>234627</v>
      </c>
      <c r="DG189" s="6">
        <v>22800</v>
      </c>
      <c r="DH189" s="5">
        <v>14</v>
      </c>
      <c r="DJ189" s="4">
        <v>2</v>
      </c>
      <c r="DK189" s="6">
        <v>432204</v>
      </c>
      <c r="DL189" s="15">
        <v>531.79999999999995</v>
      </c>
      <c r="DM189" s="6">
        <v>383926.01699999999</v>
      </c>
      <c r="DO189" s="6">
        <v>123866</v>
      </c>
      <c r="DP189" s="6">
        <v>289337</v>
      </c>
      <c r="DR189" s="6">
        <v>78405</v>
      </c>
      <c r="DV189" s="6">
        <v>491608</v>
      </c>
      <c r="DW189" s="15">
        <v>657.7</v>
      </c>
      <c r="DX189" s="6">
        <v>457508.86900000001</v>
      </c>
      <c r="DZ189" s="6">
        <v>1996.4</v>
      </c>
      <c r="EA189" s="6">
        <v>1413</v>
      </c>
      <c r="EB189" s="5">
        <v>1.3740999999999999</v>
      </c>
      <c r="EC189" s="6">
        <v>6640.9729032258074</v>
      </c>
      <c r="ED189" s="15">
        <v>460.3</v>
      </c>
      <c r="EE189" s="5">
        <v>14.540059347181009</v>
      </c>
      <c r="EF189" s="6">
        <v>10526.587062572988</v>
      </c>
      <c r="EG189" s="6">
        <v>10788</v>
      </c>
      <c r="EI189" s="2">
        <v>420</v>
      </c>
      <c r="EM189" s="2">
        <v>420</v>
      </c>
      <c r="EN189" s="6">
        <v>35870</v>
      </c>
      <c r="EO189" s="6">
        <v>420</v>
      </c>
      <c r="EZ189" s="6">
        <v>1018</v>
      </c>
      <c r="FB189" s="2">
        <v>836</v>
      </c>
      <c r="FC189" s="6">
        <v>10458</v>
      </c>
      <c r="FF189" s="6">
        <v>12312</v>
      </c>
      <c r="FG189" s="6">
        <v>3399.531697164166</v>
      </c>
      <c r="FI189" s="200"/>
      <c r="FJ189" s="200"/>
      <c r="FK189" s="200"/>
      <c r="FL189" s="200"/>
      <c r="FN189" s="15">
        <v>431.8792819356517</v>
      </c>
      <c r="GC189" s="6">
        <v>1682.4212991067557</v>
      </c>
      <c r="GN189" s="6">
        <v>438445</v>
      </c>
      <c r="GQ189" s="6">
        <v>11186</v>
      </c>
      <c r="GS189" s="6">
        <v>1135195</v>
      </c>
      <c r="GT189" s="6">
        <v>1584826</v>
      </c>
      <c r="GU189" s="5">
        <v>20.768541525160746</v>
      </c>
      <c r="HL189" s="15">
        <v>114.88500000000001</v>
      </c>
      <c r="HM189" s="15">
        <v>298.245</v>
      </c>
      <c r="HN189" s="4">
        <v>7.3220000000000001</v>
      </c>
      <c r="HO189" s="15">
        <v>114.88500000000001</v>
      </c>
      <c r="HP189" s="15">
        <v>298.245</v>
      </c>
      <c r="HR189" s="4">
        <v>7.3220000000000001</v>
      </c>
      <c r="HV189" s="15">
        <v>373.2</v>
      </c>
      <c r="HW189" s="15">
        <v>305.39999999999998</v>
      </c>
      <c r="HY189" s="6">
        <v>3090</v>
      </c>
      <c r="HZ189" s="6">
        <f t="shared" si="363"/>
        <v>3768.6</v>
      </c>
      <c r="IA189" s="15">
        <v>236.69931467732721</v>
      </c>
      <c r="IC189" s="15">
        <v>328.84504199070903</v>
      </c>
      <c r="ID189" s="4">
        <v>1.0530653864568642</v>
      </c>
      <c r="IF189" s="6">
        <v>2008.5953493187026</v>
      </c>
      <c r="IH189" s="4">
        <v>1.7273880355594664</v>
      </c>
      <c r="II189" s="5">
        <v>3.092407247627265</v>
      </c>
      <c r="IJ189" s="6">
        <v>2343.3132519790556</v>
      </c>
      <c r="IK189" s="6">
        <v>17517.994970080654</v>
      </c>
      <c r="IN189" s="15">
        <v>110.7949</v>
      </c>
      <c r="IP189" s="15">
        <v>110.7949</v>
      </c>
      <c r="IQ189" s="6">
        <v>51635.859717069914</v>
      </c>
      <c r="IW189" s="2">
        <v>431</v>
      </c>
      <c r="IX189" s="16">
        <v>16.381</v>
      </c>
      <c r="IZ189" s="15">
        <v>447.38099999999997</v>
      </c>
      <c r="JC189" s="2">
        <v>164</v>
      </c>
      <c r="JD189" s="2">
        <v>164</v>
      </c>
      <c r="JE189" s="5">
        <v>75</v>
      </c>
      <c r="JG189" s="6">
        <v>49382</v>
      </c>
      <c r="JI189" s="4">
        <v>9.6629136122473778</v>
      </c>
      <c r="JJ189" s="6">
        <v>37096.5</v>
      </c>
      <c r="JK189" s="5">
        <v>45.000202175407381</v>
      </c>
      <c r="JL189" s="4">
        <v>4.5958109255590154</v>
      </c>
      <c r="JR189" s="6">
        <v>1159070</v>
      </c>
      <c r="JS189" s="4">
        <v>56.304949614777364</v>
      </c>
      <c r="JT189" s="2">
        <v>16.2</v>
      </c>
      <c r="JV189" s="6">
        <v>1245548.5</v>
      </c>
      <c r="JW189" s="2">
        <v>16.2</v>
      </c>
      <c r="JX189" s="6">
        <v>1033000</v>
      </c>
      <c r="JY189" s="2">
        <v>16.2</v>
      </c>
      <c r="KE189" s="6">
        <v>7106</v>
      </c>
      <c r="KF189" s="4">
        <v>87.461300309597519</v>
      </c>
      <c r="KG189" s="15">
        <v>149.01379116239798</v>
      </c>
      <c r="KI189" s="6">
        <v>7106</v>
      </c>
      <c r="KJ189" s="15">
        <v>149.01379116239798</v>
      </c>
      <c r="KL189" s="6">
        <v>62682</v>
      </c>
      <c r="KN189" s="15">
        <v>202.36260808525574</v>
      </c>
      <c r="KO189" s="6">
        <v>151907.5</v>
      </c>
      <c r="KP189" s="5">
        <v>95.999868340931158</v>
      </c>
      <c r="KQ189" s="15">
        <v>194.5644718002732</v>
      </c>
      <c r="KS189" s="2">
        <v>770</v>
      </c>
      <c r="KU189" s="15">
        <v>243.30519480519482</v>
      </c>
      <c r="KY189" s="6">
        <v>89873</v>
      </c>
      <c r="KZ189" s="4">
        <v>96.110478119123655</v>
      </c>
      <c r="LA189" s="15">
        <v>210.52916893839085</v>
      </c>
      <c r="LC189" s="6">
        <v>305232.5</v>
      </c>
      <c r="LD189" s="15">
        <v>210.52916893839085</v>
      </c>
      <c r="LE189" s="6">
        <v>325000</v>
      </c>
      <c r="LF189" s="2">
        <v>216.6</v>
      </c>
      <c r="LH189" s="6">
        <v>42814</v>
      </c>
      <c r="LI189" s="4">
        <v>83.541423366188624</v>
      </c>
      <c r="LJ189" s="15">
        <v>518.76577754939967</v>
      </c>
      <c r="LL189" s="6">
        <v>62682</v>
      </c>
      <c r="LN189" s="15">
        <v>202.36260808525574</v>
      </c>
      <c r="LO189" s="6">
        <v>153150.5</v>
      </c>
      <c r="LP189" s="5">
        <v>66.547052391474821</v>
      </c>
      <c r="LQ189" s="5">
        <v>94.029203300021877</v>
      </c>
      <c r="LS189" s="2">
        <v>923</v>
      </c>
      <c r="LU189" s="15">
        <v>123.38244853737811</v>
      </c>
      <c r="LY189" s="6">
        <v>104280</v>
      </c>
      <c r="LZ189" s="4">
        <v>65.969505178365935</v>
      </c>
      <c r="MA189" s="5">
        <v>87.301869965477565</v>
      </c>
      <c r="MC189" s="6">
        <v>321035.5</v>
      </c>
      <c r="MD189" s="6">
        <v>398000</v>
      </c>
      <c r="ME189" s="2">
        <v>112.1</v>
      </c>
      <c r="MG189" s="2">
        <v>622</v>
      </c>
      <c r="MI189" s="15">
        <v>179.90836012861737</v>
      </c>
      <c r="MJ189" s="6">
        <v>509</v>
      </c>
      <c r="MK189" s="5">
        <v>89.980353634577597</v>
      </c>
      <c r="ML189" s="15">
        <v>139.10805500982318</v>
      </c>
      <c r="MN189" s="6">
        <v>5150</v>
      </c>
      <c r="MO189" s="4">
        <v>6.0433009708737861</v>
      </c>
      <c r="MP189" s="15">
        <v>160.95553398058252</v>
      </c>
      <c r="MQ189" s="6">
        <v>6281</v>
      </c>
      <c r="MR189" s="15">
        <v>161.0619328132463</v>
      </c>
      <c r="MV189" s="6">
        <v>9400</v>
      </c>
      <c r="MW189" s="2">
        <v>161.30000000000001</v>
      </c>
    </row>
    <row r="190" spans="1:375" x14ac:dyDescent="0.25">
      <c r="A190" s="2">
        <v>1978</v>
      </c>
      <c r="B190" s="2">
        <v>607</v>
      </c>
      <c r="C190" s="2">
        <v>422</v>
      </c>
      <c r="D190" s="5">
        <v>12</v>
      </c>
      <c r="E190" s="6">
        <v>1892</v>
      </c>
      <c r="F190" s="4">
        <v>1</v>
      </c>
      <c r="G190" s="6">
        <v>13332</v>
      </c>
      <c r="H190" s="6">
        <v>3876</v>
      </c>
      <c r="I190" s="6">
        <v>20142</v>
      </c>
      <c r="J190" s="6">
        <v>5430.2250803858515</v>
      </c>
      <c r="K190" s="6">
        <v>17180.172775000003</v>
      </c>
      <c r="M190" s="6">
        <v>417377</v>
      </c>
      <c r="N190" s="6">
        <v>306936</v>
      </c>
      <c r="P190" s="6">
        <v>86192</v>
      </c>
      <c r="R190" s="6">
        <v>1678</v>
      </c>
      <c r="S190" s="2">
        <v>341</v>
      </c>
      <c r="T190" s="6">
        <v>812524</v>
      </c>
      <c r="U190" s="15">
        <v>153</v>
      </c>
      <c r="V190" s="6">
        <v>781632.64</v>
      </c>
      <c r="X190" s="6">
        <v>8226368</v>
      </c>
      <c r="Y190" s="6">
        <v>3857</v>
      </c>
      <c r="Z190" s="6">
        <v>2136</v>
      </c>
      <c r="AA190" s="6">
        <v>11539150</v>
      </c>
      <c r="AB190" s="34">
        <v>4521000</v>
      </c>
      <c r="AC190" s="6">
        <f t="shared" si="358"/>
        <v>24292511</v>
      </c>
      <c r="AE190" s="5">
        <v>23.32387371408301</v>
      </c>
      <c r="AG190" s="6">
        <v>2150620</v>
      </c>
      <c r="AI190" s="6">
        <v>3470380</v>
      </c>
      <c r="AJ190" s="6">
        <v>1155000</v>
      </c>
      <c r="AK190" s="6">
        <v>6776000</v>
      </c>
      <c r="AL190" s="15">
        <v>107.4</v>
      </c>
      <c r="AN190" s="6">
        <v>34461000</v>
      </c>
      <c r="AO190" s="6">
        <v>50679000</v>
      </c>
      <c r="AQ190" s="6">
        <v>224000</v>
      </c>
      <c r="AR190" s="6">
        <v>1585000</v>
      </c>
      <c r="AS190" s="6">
        <v>2404000</v>
      </c>
      <c r="AT190" s="6">
        <v>89353000</v>
      </c>
      <c r="AU190" s="2">
        <v>39.14</v>
      </c>
      <c r="AW190" s="6">
        <v>32877749.776000001</v>
      </c>
      <c r="AX190" s="4">
        <v>2.4829074727919331</v>
      </c>
      <c r="AZ190" s="15">
        <v>975.42660413132432</v>
      </c>
      <c r="BC190" s="2">
        <v>172</v>
      </c>
      <c r="BD190" s="5">
        <v>16.556750000000001</v>
      </c>
      <c r="BE190" s="6">
        <v>1163.9833541313244</v>
      </c>
      <c r="BF190" s="6">
        <v>4969.1220930232557</v>
      </c>
      <c r="BH190" s="6">
        <v>162701</v>
      </c>
      <c r="BI190" s="6">
        <v>14258</v>
      </c>
      <c r="BK190" s="6">
        <v>23908</v>
      </c>
      <c r="BL190" s="6">
        <v>12631</v>
      </c>
      <c r="BM190" s="6">
        <v>4782</v>
      </c>
      <c r="BN190" s="6">
        <v>3831</v>
      </c>
      <c r="BO190" s="6">
        <v>222111</v>
      </c>
      <c r="BP190" s="6">
        <v>1189.8</v>
      </c>
      <c r="BQ190" s="6">
        <v>211025.06862999999</v>
      </c>
      <c r="BV190" s="15"/>
      <c r="BZ190" s="6">
        <f>31803+897</f>
        <v>32700</v>
      </c>
      <c r="CA190" s="6">
        <v>6319</v>
      </c>
      <c r="CB190" s="6">
        <v>8572</v>
      </c>
      <c r="CC190" s="6">
        <v>2093000</v>
      </c>
      <c r="CD190" s="6">
        <v>2376380</v>
      </c>
      <c r="CE190" s="6">
        <v>78665000</v>
      </c>
      <c r="CG190" s="6">
        <v>83181971</v>
      </c>
      <c r="CH190" s="4">
        <v>12.06</v>
      </c>
      <c r="CJ190" s="6">
        <v>8332</v>
      </c>
      <c r="CO190" s="2">
        <v>922</v>
      </c>
      <c r="CP190" s="6">
        <v>1248000</v>
      </c>
      <c r="CQ190" s="6">
        <v>4287</v>
      </c>
      <c r="CR190" s="6">
        <v>1261541</v>
      </c>
      <c r="CS190" s="2">
        <v>141</v>
      </c>
      <c r="CT190" s="6">
        <v>1248000</v>
      </c>
      <c r="CV190" s="6">
        <v>21170.960074752114</v>
      </c>
      <c r="CX190" s="6">
        <v>51787.240900000004</v>
      </c>
      <c r="CY190" s="6">
        <v>72958.200974752122</v>
      </c>
      <c r="DA190" s="6">
        <v>4026.4</v>
      </c>
      <c r="DB190" s="6">
        <v>72850.773074752127</v>
      </c>
      <c r="DD190" s="6">
        <v>146928</v>
      </c>
      <c r="DE190" s="6">
        <v>230574</v>
      </c>
      <c r="DG190" s="6">
        <v>22754</v>
      </c>
      <c r="DH190" s="5">
        <v>24</v>
      </c>
      <c r="DJ190" s="5">
        <v>11</v>
      </c>
      <c r="DK190" s="6">
        <v>400291</v>
      </c>
      <c r="DL190" s="15">
        <v>563.20000000000005</v>
      </c>
      <c r="DM190" s="6">
        <v>383611.30599999998</v>
      </c>
      <c r="DO190" s="6">
        <v>127980</v>
      </c>
      <c r="DP190" s="6">
        <v>267925</v>
      </c>
      <c r="DR190" s="6">
        <v>77388</v>
      </c>
      <c r="DS190" s="6">
        <v>4173</v>
      </c>
      <c r="DV190" s="6">
        <v>477466</v>
      </c>
      <c r="DW190" s="15">
        <v>533.6</v>
      </c>
      <c r="DX190" s="6">
        <v>457570.60249999998</v>
      </c>
      <c r="DZ190" s="6">
        <v>1885.2750000000001</v>
      </c>
      <c r="EA190" s="6">
        <v>2209</v>
      </c>
      <c r="EB190" s="5">
        <v>1.1531</v>
      </c>
      <c r="EC190" s="6">
        <v>7256.0819999999994</v>
      </c>
      <c r="ED190" s="15">
        <v>497.19599999999997</v>
      </c>
      <c r="EE190" s="5">
        <v>5.8160237388724036</v>
      </c>
      <c r="EF190" s="6">
        <v>11854.522123738872</v>
      </c>
      <c r="EG190" s="6">
        <v>12867</v>
      </c>
      <c r="EI190" s="15">
        <v>607.4</v>
      </c>
      <c r="EM190" s="15">
        <v>607.4</v>
      </c>
      <c r="EN190" s="6">
        <v>59920</v>
      </c>
      <c r="EO190" s="6">
        <v>607.4</v>
      </c>
      <c r="EZ190" s="2">
        <v>955</v>
      </c>
      <c r="FC190" s="6">
        <v>15027</v>
      </c>
      <c r="FF190" s="6">
        <v>15982</v>
      </c>
      <c r="FG190" s="6">
        <v>2252.5718339836822</v>
      </c>
      <c r="FI190" s="200"/>
      <c r="FJ190" s="200"/>
      <c r="FK190" s="200"/>
      <c r="FL190" s="200"/>
      <c r="FN190" s="15">
        <v>407.94608017027315</v>
      </c>
      <c r="GC190" s="6">
        <v>1871.2309329549487</v>
      </c>
      <c r="GN190" s="6">
        <v>238332</v>
      </c>
      <c r="GQ190" s="6">
        <v>9996</v>
      </c>
      <c r="GS190" s="6">
        <v>1282875</v>
      </c>
      <c r="GT190" s="6">
        <v>1531203</v>
      </c>
      <c r="GU190" s="5">
        <v>20.523478267601927</v>
      </c>
      <c r="HL190" s="5">
        <v>92.096000000000004</v>
      </c>
      <c r="HM190" s="15">
        <v>229.71700000000001</v>
      </c>
      <c r="HO190" s="5">
        <v>92.096000000000004</v>
      </c>
      <c r="HP190" s="15">
        <v>229.71700000000001</v>
      </c>
      <c r="HW190" s="15">
        <v>161.1</v>
      </c>
      <c r="HY190" s="6">
        <v>6274.2</v>
      </c>
      <c r="HZ190" s="6">
        <f t="shared" si="363"/>
        <v>6435.3</v>
      </c>
      <c r="IA190" s="15">
        <v>259.67287488061123</v>
      </c>
      <c r="IC190" s="15">
        <v>601.50809404883603</v>
      </c>
      <c r="ID190" s="4">
        <v>1.6652389394272702</v>
      </c>
      <c r="IF190" s="6">
        <v>2085.5135289017717</v>
      </c>
      <c r="IH190" s="4">
        <v>0.1351024210975815</v>
      </c>
      <c r="II190" s="5">
        <v>1.0308024158757549</v>
      </c>
      <c r="IJ190" s="6">
        <v>2689.8527667270082</v>
      </c>
      <c r="IK190" s="6">
        <v>16051.791415395532</v>
      </c>
      <c r="IN190" s="5">
        <v>98.092299999999994</v>
      </c>
      <c r="IP190" s="5">
        <v>98.092299999999994</v>
      </c>
      <c r="IQ190" s="6">
        <v>75523.756818720853</v>
      </c>
      <c r="IW190" s="2">
        <v>498</v>
      </c>
      <c r="IX190" s="16">
        <v>14.943</v>
      </c>
      <c r="IZ190" s="15">
        <v>512.94299999999998</v>
      </c>
      <c r="JC190" s="2">
        <v>479</v>
      </c>
      <c r="JD190" s="2">
        <v>479</v>
      </c>
      <c r="JE190" s="5">
        <v>69.8830897703549</v>
      </c>
      <c r="JG190" s="6">
        <v>50084</v>
      </c>
      <c r="JI190" s="4">
        <v>9.4746026675185693</v>
      </c>
      <c r="JJ190" s="6">
        <v>50208</v>
      </c>
      <c r="JK190" s="5">
        <v>44.999800828553219</v>
      </c>
      <c r="JL190" s="4">
        <v>5.609683715742511</v>
      </c>
      <c r="JR190" s="6">
        <v>986095</v>
      </c>
      <c r="JS190" s="4">
        <v>56.484863081143303</v>
      </c>
      <c r="JT190" s="2">
        <v>16.2</v>
      </c>
      <c r="JV190" s="6">
        <v>1086387</v>
      </c>
      <c r="JW190" s="2">
        <v>16.2</v>
      </c>
      <c r="JX190" s="6">
        <v>1255000</v>
      </c>
      <c r="JY190" s="2">
        <v>16.2</v>
      </c>
      <c r="KE190" s="6">
        <v>13273</v>
      </c>
      <c r="KF190" s="4">
        <v>89.452271528667225</v>
      </c>
      <c r="KG190" s="15">
        <v>133.6323363218564</v>
      </c>
      <c r="KI190" s="6">
        <v>13273</v>
      </c>
      <c r="KJ190" s="15">
        <v>133.6323363218564</v>
      </c>
      <c r="KL190" s="6">
        <v>31376</v>
      </c>
      <c r="KN190" s="15">
        <v>176.20034421213666</v>
      </c>
      <c r="KO190" s="6">
        <v>125929.5</v>
      </c>
      <c r="KP190" s="5">
        <v>95.99974588956519</v>
      </c>
      <c r="KQ190" s="15">
        <v>186.37621049873144</v>
      </c>
      <c r="KY190" s="6">
        <v>114643</v>
      </c>
      <c r="KZ190" s="4">
        <v>96.008478494107791</v>
      </c>
      <c r="LA190" s="15">
        <v>195.58225098784925</v>
      </c>
      <c r="LC190" s="6">
        <v>271948.5</v>
      </c>
      <c r="LD190" s="15">
        <v>195.58225098784925</v>
      </c>
      <c r="LE190" s="6">
        <v>257000</v>
      </c>
      <c r="LF190" s="2">
        <v>186.5</v>
      </c>
      <c r="LH190" s="6">
        <v>53236</v>
      </c>
      <c r="LI190" s="2">
        <v>92.92</v>
      </c>
      <c r="LJ190" s="15">
        <v>444.95433541212714</v>
      </c>
      <c r="LL190" s="6">
        <v>31376</v>
      </c>
      <c r="LN190" s="15">
        <v>176.20034421213666</v>
      </c>
      <c r="LO190" s="6">
        <v>137583</v>
      </c>
      <c r="LP190" s="5">
        <v>66.595555412052335</v>
      </c>
      <c r="LQ190" s="5">
        <v>71.220579577418718</v>
      </c>
      <c r="LY190" s="6">
        <v>151297</v>
      </c>
      <c r="LZ190" s="4">
        <v>65.458667389307124</v>
      </c>
      <c r="MA190" s="5">
        <v>56.937249251472267</v>
      </c>
      <c r="MC190" s="6">
        <v>320256</v>
      </c>
      <c r="MD190" s="6">
        <v>392000</v>
      </c>
      <c r="ME190" s="2">
        <v>75.400000000000006</v>
      </c>
      <c r="MJ190" s="6">
        <v>268.5</v>
      </c>
      <c r="MK190" s="5">
        <v>90.130353817504655</v>
      </c>
      <c r="ML190" s="15">
        <v>290.72439478584732</v>
      </c>
      <c r="MN190" s="6">
        <v>10457</v>
      </c>
      <c r="MO190" s="4">
        <v>6.2796213063019986</v>
      </c>
      <c r="MP190" s="15">
        <v>176.79707373051545</v>
      </c>
      <c r="MQ190" s="6">
        <v>10725.5</v>
      </c>
      <c r="MR190" s="15">
        <v>179.64910726772644</v>
      </c>
      <c r="MS190" s="2">
        <v>13</v>
      </c>
      <c r="MT190" s="4">
        <v>30</v>
      </c>
      <c r="MU190" s="15">
        <v>933.69230769230774</v>
      </c>
      <c r="MV190" s="6">
        <v>15000</v>
      </c>
      <c r="MW190" s="2">
        <v>205.2</v>
      </c>
    </row>
    <row r="191" spans="1:375" x14ac:dyDescent="0.25">
      <c r="A191" s="2">
        <v>1979</v>
      </c>
      <c r="B191" s="2">
        <v>515</v>
      </c>
      <c r="C191" s="2">
        <v>471</v>
      </c>
      <c r="D191" s="5">
        <v>23</v>
      </c>
      <c r="E191" s="6">
        <v>1747</v>
      </c>
      <c r="F191" s="4">
        <v>6</v>
      </c>
      <c r="G191" s="6">
        <v>11582</v>
      </c>
      <c r="H191" s="6">
        <v>4221</v>
      </c>
      <c r="I191" s="6">
        <v>18565</v>
      </c>
      <c r="J191" s="6">
        <v>8738.5852090032149</v>
      </c>
      <c r="K191" s="6">
        <v>15129.016753079995</v>
      </c>
      <c r="M191" s="6">
        <v>456734</v>
      </c>
      <c r="N191" s="6">
        <v>296451</v>
      </c>
      <c r="P191" s="6">
        <v>76662</v>
      </c>
      <c r="Q191" s="5">
        <v>10</v>
      </c>
      <c r="R191" s="6">
        <v>1819</v>
      </c>
      <c r="S191" s="2">
        <v>534</v>
      </c>
      <c r="T191" s="6">
        <v>832210</v>
      </c>
      <c r="U191" s="15">
        <v>319.25</v>
      </c>
      <c r="V191" s="6">
        <v>795018.76</v>
      </c>
      <c r="X191" s="6">
        <v>9576944</v>
      </c>
      <c r="Y191" s="6">
        <v>3289</v>
      </c>
      <c r="Z191" s="6">
        <v>3108</v>
      </c>
      <c r="AA191" s="6">
        <v>13378637</v>
      </c>
      <c r="AB191" s="34">
        <v>4621451</v>
      </c>
      <c r="AC191" s="6">
        <f t="shared" si="358"/>
        <v>27583429</v>
      </c>
      <c r="AE191" s="5">
        <v>22.437307523097228</v>
      </c>
      <c r="AG191" s="6">
        <v>2422555</v>
      </c>
      <c r="AI191" s="6">
        <v>3945445</v>
      </c>
      <c r="AJ191" s="6">
        <v>1047000</v>
      </c>
      <c r="AK191" s="6">
        <v>7415000</v>
      </c>
      <c r="AL191" s="15">
        <v>119.7</v>
      </c>
      <c r="AN191" s="6">
        <v>37508000</v>
      </c>
      <c r="AO191" s="6">
        <v>50888000</v>
      </c>
      <c r="AQ191" s="6">
        <v>237000</v>
      </c>
      <c r="AR191" s="6">
        <v>1674000</v>
      </c>
      <c r="AS191" s="6">
        <v>2735000</v>
      </c>
      <c r="AT191" s="6">
        <v>93042000</v>
      </c>
      <c r="AU191" s="2">
        <v>38.99</v>
      </c>
      <c r="AW191" s="6">
        <v>32615727.640000001</v>
      </c>
      <c r="AX191" s="4">
        <v>2.6817843183576908</v>
      </c>
      <c r="AZ191" s="6">
        <v>1343.9091544120981</v>
      </c>
      <c r="BC191" s="2">
        <v>216</v>
      </c>
      <c r="BD191" s="5">
        <v>19.868100000000002</v>
      </c>
      <c r="BE191" s="6">
        <v>1579.777254412098</v>
      </c>
      <c r="BF191" s="6">
        <v>12317.722222222223</v>
      </c>
      <c r="BH191" s="6">
        <v>173706</v>
      </c>
      <c r="BI191" s="6">
        <v>18540</v>
      </c>
      <c r="BK191" s="6">
        <v>22591</v>
      </c>
      <c r="BL191" s="6">
        <v>13651</v>
      </c>
      <c r="BM191" s="6">
        <v>3383</v>
      </c>
      <c r="BN191" s="6">
        <v>5739</v>
      </c>
      <c r="BO191" s="6">
        <v>237610</v>
      </c>
      <c r="BP191" s="6">
        <v>1768</v>
      </c>
      <c r="BQ191" s="6">
        <v>212784.98340000003</v>
      </c>
      <c r="BT191" s="6">
        <v>5119.47</v>
      </c>
      <c r="BV191" s="6">
        <v>5119.47</v>
      </c>
      <c r="BW191" s="2">
        <v>10</v>
      </c>
      <c r="BX191" s="6">
        <v>5119.47</v>
      </c>
      <c r="BZ191" s="6">
        <f>32499+1164</f>
        <v>33663</v>
      </c>
      <c r="CA191" s="6">
        <v>2738</v>
      </c>
      <c r="CB191" s="6">
        <v>1969</v>
      </c>
      <c r="CC191" s="6">
        <v>2212000</v>
      </c>
      <c r="CD191" s="6">
        <v>2627898</v>
      </c>
      <c r="CE191" s="6">
        <v>86882000</v>
      </c>
      <c r="CG191" s="6">
        <v>91760268</v>
      </c>
      <c r="CH191" s="4">
        <v>12.87</v>
      </c>
      <c r="CJ191" s="6">
        <v>26427</v>
      </c>
      <c r="CO191" s="6">
        <v>1395</v>
      </c>
      <c r="CP191" s="6">
        <v>1696276</v>
      </c>
      <c r="CQ191" s="6">
        <v>4490</v>
      </c>
      <c r="CR191" s="6">
        <v>1728588</v>
      </c>
      <c r="CS191" s="2">
        <v>135</v>
      </c>
      <c r="CT191" s="6">
        <v>1696276</v>
      </c>
      <c r="CV191" s="6">
        <v>20459.720042456298</v>
      </c>
      <c r="CX191" s="6">
        <v>51487.481500000009</v>
      </c>
      <c r="CY191" s="6">
        <v>71947.201542456314</v>
      </c>
      <c r="DA191" s="6">
        <v>5354.2</v>
      </c>
      <c r="DB191" s="6">
        <v>66704.660042456293</v>
      </c>
      <c r="DD191" s="6">
        <v>155021</v>
      </c>
      <c r="DE191" s="6">
        <v>244357</v>
      </c>
      <c r="DG191" s="6">
        <v>22160</v>
      </c>
      <c r="DH191" s="5">
        <v>12</v>
      </c>
      <c r="DJ191" s="5">
        <v>31</v>
      </c>
      <c r="DK191" s="6">
        <v>421581</v>
      </c>
      <c r="DL191" s="61">
        <v>1031.2</v>
      </c>
      <c r="DM191" s="6">
        <v>411699.59600000002</v>
      </c>
      <c r="DO191" s="6">
        <v>128647</v>
      </c>
      <c r="DP191" s="6">
        <v>325281</v>
      </c>
      <c r="DR191" s="6">
        <v>75229</v>
      </c>
      <c r="DV191" s="6">
        <v>529157</v>
      </c>
      <c r="DW191" s="15">
        <v>712.5</v>
      </c>
      <c r="DX191" s="6">
        <v>520297.99599999998</v>
      </c>
      <c r="DZ191" s="6">
        <v>2403.6999999999998</v>
      </c>
      <c r="EA191" s="6">
        <v>2588</v>
      </c>
      <c r="EB191" s="4">
        <v>0.32240000000000002</v>
      </c>
      <c r="EC191" s="6">
        <v>6731.2654999999995</v>
      </c>
      <c r="ED191" s="15">
        <v>489.17</v>
      </c>
      <c r="EE191" s="5">
        <v>42.373887240356083</v>
      </c>
      <c r="EF191" s="6">
        <v>12254.831787240355</v>
      </c>
      <c r="EG191" s="6">
        <v>15419</v>
      </c>
      <c r="EI191" s="2">
        <v>832</v>
      </c>
      <c r="EM191" s="2">
        <v>832</v>
      </c>
      <c r="EN191" s="6">
        <v>77680</v>
      </c>
      <c r="EO191" s="6">
        <v>832</v>
      </c>
      <c r="EZ191" s="6">
        <v>1018</v>
      </c>
      <c r="FC191" s="6">
        <v>13639</v>
      </c>
      <c r="FF191" s="6">
        <v>14657</v>
      </c>
      <c r="FG191" s="6">
        <v>2736.4716234051912</v>
      </c>
      <c r="FI191" s="200"/>
      <c r="FJ191" s="200"/>
      <c r="FK191" s="200"/>
      <c r="FL191" s="200"/>
      <c r="FN191" s="15">
        <v>515.61812582490097</v>
      </c>
      <c r="GC191" s="6">
        <v>1988.5613726352838</v>
      </c>
      <c r="GQ191" s="6">
        <v>7557</v>
      </c>
      <c r="GS191" s="6">
        <v>1384516</v>
      </c>
      <c r="GT191" s="6">
        <v>1392073</v>
      </c>
      <c r="GU191" s="4">
        <v>6.2849014159057823</v>
      </c>
      <c r="HL191" s="5">
        <v>85.88</v>
      </c>
      <c r="HM191" s="15">
        <v>213.88800000000001</v>
      </c>
      <c r="HO191" s="5">
        <v>85.88</v>
      </c>
      <c r="HP191" s="15">
        <v>213.88800000000001</v>
      </c>
      <c r="HW191" s="15">
        <v>659.69999999999993</v>
      </c>
      <c r="HY191" s="6">
        <v>10411.199999999999</v>
      </c>
      <c r="HZ191" s="6">
        <f t="shared" si="363"/>
        <v>11070.9</v>
      </c>
      <c r="IA191" s="15">
        <v>340.95659245533113</v>
      </c>
      <c r="IC191" s="6">
        <v>1058.6954800139754</v>
      </c>
      <c r="ID191" s="4">
        <v>3.9648546176839767</v>
      </c>
      <c r="IF191" s="6">
        <v>1974.4975996066203</v>
      </c>
      <c r="IH191" s="4">
        <v>0.29860113096701563</v>
      </c>
      <c r="II191" s="5">
        <v>16.492838654012079</v>
      </c>
      <c r="IJ191" s="6">
        <v>3053.9493740232592</v>
      </c>
      <c r="IK191" s="6">
        <v>16278.04663440387</v>
      </c>
      <c r="IN191" s="15">
        <v>121.38039999999999</v>
      </c>
      <c r="IP191" s="15">
        <v>121.38039999999999</v>
      </c>
      <c r="IQ191" s="6">
        <v>165360.23529119461</v>
      </c>
      <c r="IW191" s="2">
        <v>537</v>
      </c>
      <c r="IX191" s="16">
        <v>29.698</v>
      </c>
      <c r="IZ191" s="15">
        <v>566.69799999999998</v>
      </c>
      <c r="JC191" s="2">
        <v>42</v>
      </c>
      <c r="JD191" s="2">
        <v>42</v>
      </c>
      <c r="JE191" s="5">
        <v>82.857142857142861</v>
      </c>
      <c r="JG191" s="2">
        <v>739</v>
      </c>
      <c r="JI191" s="5">
        <v>25.499323410013531</v>
      </c>
      <c r="JJ191" s="6">
        <v>36187</v>
      </c>
      <c r="JK191" s="5">
        <v>44.987150081520987</v>
      </c>
      <c r="JL191" s="4">
        <v>8.0760079586591864</v>
      </c>
      <c r="JR191" s="6">
        <v>1082844</v>
      </c>
      <c r="JS191" s="4">
        <v>56.185216032965045</v>
      </c>
      <c r="JT191" s="2">
        <v>16.8</v>
      </c>
      <c r="JV191" s="6">
        <v>1119770</v>
      </c>
      <c r="JW191" s="2">
        <v>16.8</v>
      </c>
      <c r="JX191" s="6">
        <v>1181000</v>
      </c>
      <c r="JY191" s="2">
        <v>16.8</v>
      </c>
      <c r="KE191" s="6">
        <v>29196</v>
      </c>
      <c r="KF191" s="4">
        <v>89.224551308398404</v>
      </c>
      <c r="KG191" s="15">
        <v>134.2598643649815</v>
      </c>
      <c r="KI191" s="6">
        <v>29196</v>
      </c>
      <c r="KJ191" s="15">
        <v>134.2598643649815</v>
      </c>
      <c r="KL191" s="6">
        <v>72495</v>
      </c>
      <c r="KN191" s="15">
        <v>219.45680391751156</v>
      </c>
      <c r="KO191" s="6">
        <v>114928.5</v>
      </c>
      <c r="KP191" s="5">
        <v>96.011868248519733</v>
      </c>
      <c r="KQ191" s="15">
        <v>226.49829241658944</v>
      </c>
      <c r="KY191" s="6">
        <v>94351</v>
      </c>
      <c r="KZ191" s="4">
        <v>95.898294665663315</v>
      </c>
      <c r="LA191" s="15">
        <v>210.77987514705725</v>
      </c>
      <c r="LC191" s="6">
        <v>281774.5</v>
      </c>
      <c r="LD191" s="15">
        <v>210.77987514705725</v>
      </c>
      <c r="LE191" s="6">
        <v>275000</v>
      </c>
      <c r="LF191" s="2">
        <v>217.9</v>
      </c>
      <c r="LH191" s="6">
        <v>60442</v>
      </c>
      <c r="LI191" s="4">
        <v>92.5</v>
      </c>
      <c r="LJ191" s="15">
        <v>458.27553687832966</v>
      </c>
      <c r="LL191" s="6">
        <v>72495</v>
      </c>
      <c r="LN191" s="15">
        <v>219.45680391751156</v>
      </c>
      <c r="LO191" s="6">
        <v>125702</v>
      </c>
      <c r="LP191" s="5">
        <v>66.243006149972814</v>
      </c>
      <c r="LQ191" s="5">
        <v>75.657232979586638</v>
      </c>
      <c r="LY191" s="6">
        <v>337197</v>
      </c>
      <c r="LZ191" s="4">
        <v>65.998807818574903</v>
      </c>
      <c r="MA191" s="5">
        <v>53.145644830766585</v>
      </c>
      <c r="MC191" s="6">
        <v>535394</v>
      </c>
      <c r="MD191" s="6">
        <v>445000</v>
      </c>
      <c r="ME191" s="2">
        <v>69.099999999999994</v>
      </c>
      <c r="MJ191" s="6">
        <v>1099.5</v>
      </c>
      <c r="MK191" s="5">
        <v>89.904502046384721</v>
      </c>
      <c r="ML191" s="15">
        <v>340.84674852205546</v>
      </c>
      <c r="MN191" s="6">
        <v>17352</v>
      </c>
      <c r="MO191" s="4">
        <v>6.3413439372982934</v>
      </c>
      <c r="MP191" s="15">
        <v>232.43839326878745</v>
      </c>
      <c r="MQ191" s="6">
        <v>18451.5</v>
      </c>
      <c r="MR191" s="15">
        <v>238.89830095114218</v>
      </c>
      <c r="MS191" s="2">
        <v>44</v>
      </c>
      <c r="MT191" s="4">
        <v>30</v>
      </c>
      <c r="MU191" s="6">
        <v>1227.0454545454545</v>
      </c>
      <c r="MV191" s="6">
        <v>16300</v>
      </c>
      <c r="MW191" s="2">
        <v>233.3</v>
      </c>
    </row>
    <row r="192" spans="1:375" x14ac:dyDescent="0.25">
      <c r="A192" s="2">
        <v>1980</v>
      </c>
      <c r="B192" s="2">
        <v>675</v>
      </c>
      <c r="C192" s="2">
        <v>573</v>
      </c>
      <c r="D192" s="5">
        <v>36</v>
      </c>
      <c r="E192" s="6">
        <v>1311</v>
      </c>
      <c r="F192" s="5">
        <v>16</v>
      </c>
      <c r="G192" s="6">
        <v>11233</v>
      </c>
      <c r="H192" s="6">
        <v>3191</v>
      </c>
      <c r="I192" s="6">
        <v>17035</v>
      </c>
      <c r="J192" s="6">
        <v>17278.778135048229</v>
      </c>
      <c r="K192" s="6">
        <v>13368.622886700001</v>
      </c>
      <c r="M192" s="6">
        <v>405489</v>
      </c>
      <c r="N192" s="6">
        <v>301494</v>
      </c>
      <c r="O192" s="4">
        <v>1</v>
      </c>
      <c r="P192" s="6">
        <v>57160</v>
      </c>
      <c r="Q192" s="4">
        <v>6</v>
      </c>
      <c r="R192" s="6">
        <v>1850</v>
      </c>
      <c r="S192" s="2">
        <v>816</v>
      </c>
      <c r="T192" s="6">
        <v>766817</v>
      </c>
      <c r="U192" s="15">
        <v>598</v>
      </c>
      <c r="V192" s="6">
        <v>812483.98</v>
      </c>
      <c r="X192" s="6">
        <v>9444205</v>
      </c>
      <c r="Y192" s="6">
        <v>1618</v>
      </c>
      <c r="AA192" s="6">
        <v>12555062</v>
      </c>
      <c r="AB192" s="34">
        <v>5178089</v>
      </c>
      <c r="AC192" s="6">
        <f t="shared" si="358"/>
        <v>27178974</v>
      </c>
      <c r="AE192" s="5">
        <v>22.704837117472852</v>
      </c>
      <c r="AG192" s="6">
        <v>2417011</v>
      </c>
      <c r="AI192" s="6">
        <v>3663689</v>
      </c>
      <c r="AJ192" s="6">
        <v>1165000</v>
      </c>
      <c r="AK192" s="6">
        <v>7245700</v>
      </c>
      <c r="AL192" s="15">
        <v>146</v>
      </c>
      <c r="AN192" s="6">
        <v>37579000</v>
      </c>
      <c r="AO192" s="6">
        <v>50720000</v>
      </c>
      <c r="AQ192" s="6">
        <v>234000</v>
      </c>
      <c r="AR192" s="6">
        <v>1719000</v>
      </c>
      <c r="AS192" s="6">
        <v>3154000</v>
      </c>
      <c r="AT192" s="6">
        <v>93406000</v>
      </c>
      <c r="AU192" s="2">
        <v>39.35</v>
      </c>
      <c r="AW192" s="6">
        <v>32913062.399999999</v>
      </c>
      <c r="AX192" s="4">
        <v>3.2464546901561628</v>
      </c>
      <c r="AZ192" s="6">
        <v>1211.6482659143071</v>
      </c>
      <c r="BC192" s="2">
        <v>983</v>
      </c>
      <c r="BD192" s="5">
        <v>22.51718</v>
      </c>
      <c r="BE192" s="6">
        <v>2217.1654459143069</v>
      </c>
      <c r="BF192" s="6">
        <v>13248.364191251272</v>
      </c>
      <c r="BH192" s="6">
        <v>174606</v>
      </c>
      <c r="BI192" s="6">
        <v>19080</v>
      </c>
      <c r="BK192" s="6">
        <v>23018</v>
      </c>
      <c r="BL192" s="6">
        <v>11755</v>
      </c>
      <c r="BM192" s="6">
        <v>3112</v>
      </c>
      <c r="BN192" s="6">
        <v>11974</v>
      </c>
      <c r="BO192" s="6">
        <v>243540</v>
      </c>
      <c r="BP192" s="6">
        <v>1956.6</v>
      </c>
      <c r="BQ192" s="6">
        <v>228632.05624999999</v>
      </c>
      <c r="BT192" s="6">
        <v>15300</v>
      </c>
      <c r="BV192" s="6">
        <v>15300</v>
      </c>
      <c r="BW192" s="2">
        <v>10</v>
      </c>
      <c r="BX192" s="6">
        <v>15300</v>
      </c>
      <c r="BZ192" s="6">
        <f>25534+1221</f>
        <v>26755</v>
      </c>
      <c r="CA192" s="6">
        <v>4397</v>
      </c>
      <c r="CC192" s="6">
        <v>2132000</v>
      </c>
      <c r="CD192" s="6">
        <v>2498386</v>
      </c>
      <c r="CE192" s="6">
        <v>93212714</v>
      </c>
      <c r="CG192" s="6">
        <v>97874252</v>
      </c>
      <c r="CH192" s="4">
        <v>14.59</v>
      </c>
      <c r="CJ192" s="6">
        <v>20268</v>
      </c>
      <c r="CO192" s="6">
        <v>1693</v>
      </c>
      <c r="CP192" s="6">
        <v>1997550</v>
      </c>
      <c r="CQ192" s="6">
        <v>6539</v>
      </c>
      <c r="CR192" s="6">
        <v>2026050</v>
      </c>
      <c r="CS192" s="2">
        <v>164</v>
      </c>
      <c r="CT192" s="6">
        <v>1997550</v>
      </c>
      <c r="CV192" s="6">
        <v>20603.338897406353</v>
      </c>
      <c r="CX192" s="6">
        <v>48528.180999999997</v>
      </c>
      <c r="CY192" s="6">
        <v>69131.519897406353</v>
      </c>
      <c r="DA192" s="6">
        <v>5728.3</v>
      </c>
      <c r="DB192" s="6">
        <v>71133.448897406357</v>
      </c>
      <c r="DD192" s="6">
        <v>141293</v>
      </c>
      <c r="DE192" s="6">
        <v>240668</v>
      </c>
      <c r="DG192" s="6">
        <v>15511</v>
      </c>
      <c r="DH192" s="4">
        <v>8</v>
      </c>
      <c r="DJ192" s="5">
        <v>11</v>
      </c>
      <c r="DK192" s="6">
        <v>397491</v>
      </c>
      <c r="DL192" s="15">
        <v>843.3</v>
      </c>
      <c r="DM192" s="6">
        <v>398284.94799999997</v>
      </c>
      <c r="DO192" s="6">
        <v>113634</v>
      </c>
      <c r="DP192" s="6">
        <v>327404</v>
      </c>
      <c r="DR192" s="6">
        <v>54274</v>
      </c>
      <c r="DV192" s="6">
        <v>495312</v>
      </c>
      <c r="DW192" s="15">
        <v>713.1</v>
      </c>
      <c r="DX192" s="6">
        <v>496109.04200000002</v>
      </c>
      <c r="DZ192" s="6">
        <v>2876.875</v>
      </c>
      <c r="EA192" s="6">
        <v>2402</v>
      </c>
      <c r="EC192" s="6">
        <v>3473.6021000000005</v>
      </c>
      <c r="ED192" s="15">
        <v>395.74900000000002</v>
      </c>
      <c r="EE192" s="5">
        <v>15.370919881305637</v>
      </c>
      <c r="EF192" s="6">
        <v>9163.5970198813047</v>
      </c>
      <c r="EG192" s="6">
        <v>16795</v>
      </c>
      <c r="EI192" s="15">
        <v>834.5</v>
      </c>
      <c r="EK192" s="2">
        <v>11</v>
      </c>
      <c r="EL192" s="6">
        <v>1006</v>
      </c>
      <c r="EM192" s="6">
        <v>1851.5</v>
      </c>
      <c r="EN192" s="6">
        <v>81320</v>
      </c>
      <c r="EO192" s="6">
        <v>2494.5</v>
      </c>
      <c r="EZ192" s="2">
        <v>865</v>
      </c>
      <c r="FC192" s="6">
        <v>13763</v>
      </c>
      <c r="FF192" s="6">
        <v>14628</v>
      </c>
      <c r="FG192" s="6">
        <v>2988.4232253432647</v>
      </c>
      <c r="FI192" s="200"/>
      <c r="FJ192" s="200"/>
      <c r="FK192" s="200"/>
      <c r="FL192" s="200"/>
      <c r="FN192" s="15">
        <v>572.55676209279363</v>
      </c>
      <c r="GC192" s="6">
        <v>2387.1488827066319</v>
      </c>
      <c r="GQ192" s="6">
        <v>6621</v>
      </c>
      <c r="GS192" s="6">
        <v>1544177</v>
      </c>
      <c r="GT192" s="6">
        <v>1550798</v>
      </c>
      <c r="GU192" s="4">
        <v>6.669234254644314</v>
      </c>
      <c r="HL192" s="5">
        <v>63.609000000000002</v>
      </c>
      <c r="HM192" s="15">
        <v>328.24099999999999</v>
      </c>
      <c r="HO192" s="5">
        <v>63.609000000000002</v>
      </c>
      <c r="HP192" s="15">
        <v>328.24099999999999</v>
      </c>
      <c r="HV192" s="15">
        <v>299.39999999999998</v>
      </c>
      <c r="HW192" s="15">
        <v>628.5</v>
      </c>
      <c r="HY192" s="6">
        <v>6586.8</v>
      </c>
      <c r="HZ192" s="6">
        <f t="shared" si="363"/>
        <v>7514.7</v>
      </c>
      <c r="IA192" s="15">
        <v>492.59183989988389</v>
      </c>
      <c r="IC192" s="6">
        <v>1114.2589526261986</v>
      </c>
      <c r="ID192" s="5">
        <v>91.984627130268251</v>
      </c>
      <c r="IF192" s="6">
        <v>1178.3547923756778</v>
      </c>
      <c r="IH192" s="4">
        <v>1.6968309010209761</v>
      </c>
      <c r="II192" s="15">
        <v>642.18990509059529</v>
      </c>
      <c r="IJ192" s="6">
        <v>3028.4851081237607</v>
      </c>
      <c r="IK192" s="6">
        <v>16602.351251907025</v>
      </c>
      <c r="IN192" s="15">
        <v>112.2063</v>
      </c>
      <c r="IP192" s="15">
        <v>112.2063</v>
      </c>
      <c r="IQ192" s="6">
        <v>293566.22587754665</v>
      </c>
      <c r="IW192" s="2">
        <v>590</v>
      </c>
      <c r="IX192" s="16">
        <v>38.301000000000002</v>
      </c>
      <c r="IZ192" s="15">
        <v>628.30100000000004</v>
      </c>
      <c r="JC192" s="2">
        <v>76</v>
      </c>
      <c r="JD192" s="2">
        <v>76</v>
      </c>
      <c r="JE192" s="5">
        <v>99.21052631578948</v>
      </c>
      <c r="JG192" s="6">
        <v>23406</v>
      </c>
      <c r="JI192" s="5">
        <v>13.09553106041186</v>
      </c>
      <c r="JJ192" s="6">
        <v>31145</v>
      </c>
      <c r="JK192" s="5">
        <v>45.440680687108689</v>
      </c>
      <c r="JL192" s="4">
        <v>9.6872210627709094</v>
      </c>
      <c r="JR192" s="6">
        <v>1207728</v>
      </c>
      <c r="JS192" s="4">
        <v>56.569362447504744</v>
      </c>
      <c r="JT192" s="5">
        <v>19</v>
      </c>
      <c r="JV192" s="6">
        <v>1262279</v>
      </c>
      <c r="JW192" s="5">
        <v>19</v>
      </c>
      <c r="JX192" s="6">
        <v>1385000</v>
      </c>
      <c r="JY192" s="5">
        <v>19</v>
      </c>
      <c r="KE192" s="6">
        <v>26911</v>
      </c>
      <c r="KF192" s="4">
        <v>89.561889190293925</v>
      </c>
      <c r="KG192" s="15">
        <v>206.06346847014231</v>
      </c>
      <c r="KI192" s="6">
        <v>26911</v>
      </c>
      <c r="KJ192" s="15">
        <v>206.06346847014231</v>
      </c>
      <c r="KL192" s="6">
        <v>94698</v>
      </c>
      <c r="KN192" s="15">
        <v>287.83659633783185</v>
      </c>
      <c r="KO192" s="6">
        <v>100909.5</v>
      </c>
      <c r="KP192" s="5">
        <v>96.013259405705114</v>
      </c>
      <c r="KQ192" s="15">
        <v>288.82217234254455</v>
      </c>
      <c r="KY192" s="6">
        <v>91667</v>
      </c>
      <c r="KZ192" s="4">
        <v>95.888378587714229</v>
      </c>
      <c r="LA192" s="15">
        <v>254.10267599026912</v>
      </c>
      <c r="LC192" s="6">
        <v>287274.5</v>
      </c>
      <c r="LD192" s="15">
        <v>254.10267599026912</v>
      </c>
      <c r="LE192" s="6">
        <v>312000</v>
      </c>
      <c r="LF192" s="2">
        <v>281.89999999999998</v>
      </c>
      <c r="LH192" s="6">
        <v>48992</v>
      </c>
      <c r="LI192" s="2">
        <v>91.69</v>
      </c>
      <c r="LJ192" s="15">
        <v>614.07078706727634</v>
      </c>
      <c r="LL192" s="6">
        <v>94698</v>
      </c>
      <c r="LN192" s="15">
        <v>287.83659633783185</v>
      </c>
      <c r="LO192" s="6">
        <v>111526</v>
      </c>
      <c r="LP192" s="5">
        <v>66.144806324769149</v>
      </c>
      <c r="LQ192" s="5">
        <v>74.32923264530244</v>
      </c>
      <c r="LY192" s="6">
        <v>327692</v>
      </c>
      <c r="LZ192" s="4">
        <v>65.768160345690461</v>
      </c>
      <c r="MA192" s="5">
        <v>61.467676964954897</v>
      </c>
      <c r="MC192" s="6">
        <v>533916</v>
      </c>
      <c r="MD192" s="6">
        <v>492000</v>
      </c>
      <c r="ME192" s="2">
        <v>69.900000000000006</v>
      </c>
      <c r="MG192" s="2">
        <v>499</v>
      </c>
      <c r="MI192" s="15">
        <v>302.14228456913827</v>
      </c>
      <c r="MJ192" s="6">
        <v>1047.5</v>
      </c>
      <c r="MK192" s="5">
        <v>89.928400954653938</v>
      </c>
      <c r="ML192" s="15">
        <v>346.42291169451073</v>
      </c>
      <c r="MN192" s="6">
        <v>10978</v>
      </c>
      <c r="MO192" s="4">
        <v>6.3235562033157224</v>
      </c>
      <c r="MP192" s="15">
        <v>335.60320641282567</v>
      </c>
      <c r="MQ192" s="6">
        <v>12524.5</v>
      </c>
      <c r="MR192" s="15">
        <v>335.17497704499181</v>
      </c>
      <c r="MS192" s="2">
        <v>21</v>
      </c>
      <c r="MT192" s="4">
        <v>30.552380952380954</v>
      </c>
      <c r="MU192" s="6">
        <v>1532.952380952381</v>
      </c>
      <c r="MV192" s="6">
        <v>14100</v>
      </c>
      <c r="MW192" s="2">
        <v>329.1</v>
      </c>
    </row>
    <row r="193" spans="1:375" x14ac:dyDescent="0.25">
      <c r="A193" s="2">
        <v>1981</v>
      </c>
      <c r="B193" s="6">
        <v>1510</v>
      </c>
      <c r="C193" s="2">
        <v>587</v>
      </c>
      <c r="D193" s="5">
        <v>75</v>
      </c>
      <c r="E193" s="6">
        <v>1950</v>
      </c>
      <c r="F193" s="5">
        <v>32</v>
      </c>
      <c r="G193" s="6">
        <v>11724</v>
      </c>
      <c r="H193" s="6">
        <v>2495</v>
      </c>
      <c r="I193" s="6">
        <v>18373</v>
      </c>
      <c r="J193" s="6">
        <v>12803.53697749196</v>
      </c>
      <c r="K193" s="6">
        <v>18085.075181880002</v>
      </c>
      <c r="M193" s="6">
        <v>366614</v>
      </c>
      <c r="N193" s="6">
        <v>279410</v>
      </c>
      <c r="O193" s="4">
        <v>6</v>
      </c>
      <c r="P193" s="6">
        <v>78177</v>
      </c>
      <c r="Q193" s="4">
        <v>8</v>
      </c>
      <c r="R193" s="6">
        <v>17813</v>
      </c>
      <c r="S193" s="6">
        <v>1529</v>
      </c>
      <c r="T193" s="6">
        <v>743557</v>
      </c>
      <c r="U193" s="15">
        <v>297.17</v>
      </c>
      <c r="V193" s="6">
        <v>746815.36400000006</v>
      </c>
      <c r="X193" s="6">
        <v>8694409</v>
      </c>
      <c r="Y193" s="6">
        <v>1727</v>
      </c>
      <c r="Z193" s="6">
        <v>7104</v>
      </c>
      <c r="AA193" s="6">
        <v>12322355</v>
      </c>
      <c r="AB193" s="34">
        <v>4415797</v>
      </c>
      <c r="AC193" s="6">
        <f t="shared" si="358"/>
        <v>25441392</v>
      </c>
      <c r="AE193" s="5">
        <v>24.371339993110574</v>
      </c>
      <c r="AG193" s="6">
        <v>2146520</v>
      </c>
      <c r="AI193" s="6">
        <v>3678480</v>
      </c>
      <c r="AJ193" s="6">
        <v>1254000</v>
      </c>
      <c r="AK193" s="6">
        <v>7079000</v>
      </c>
      <c r="AL193" s="15">
        <v>166.2</v>
      </c>
      <c r="AN193" s="6">
        <v>34682000</v>
      </c>
      <c r="AO193" s="6">
        <v>60769000</v>
      </c>
      <c r="AQ193" s="6">
        <v>346000</v>
      </c>
      <c r="AR193" s="6">
        <v>1577000</v>
      </c>
      <c r="AS193" s="6">
        <v>3247000</v>
      </c>
      <c r="AT193" s="6">
        <v>100621000</v>
      </c>
      <c r="AU193" s="2">
        <v>41.64</v>
      </c>
      <c r="AW193" s="6">
        <v>32977650.215999998</v>
      </c>
      <c r="AX193" s="4">
        <v>3.9451975929521015</v>
      </c>
      <c r="AZ193" s="6">
        <v>1120.7886166323451</v>
      </c>
      <c r="BC193" s="2">
        <v>609</v>
      </c>
      <c r="BD193" s="5">
        <v>22.51718</v>
      </c>
      <c r="BE193" s="6">
        <v>1752.3057966323452</v>
      </c>
      <c r="BF193" s="6">
        <v>12627.111658456486</v>
      </c>
      <c r="BH193" s="6">
        <v>147225</v>
      </c>
      <c r="BI193" s="6">
        <v>18474</v>
      </c>
      <c r="BK193" s="6">
        <v>22402</v>
      </c>
      <c r="BL193" s="6">
        <v>19886</v>
      </c>
      <c r="BM193" s="6">
        <v>5784</v>
      </c>
      <c r="BN193" s="6">
        <v>17568</v>
      </c>
      <c r="BO193" s="6">
        <v>231339</v>
      </c>
      <c r="BP193" s="6">
        <v>1535.8</v>
      </c>
      <c r="BQ193" s="6">
        <v>239496.09</v>
      </c>
      <c r="BT193" s="6">
        <v>253912.18000000002</v>
      </c>
      <c r="BV193" s="6">
        <v>253912.18000000002</v>
      </c>
      <c r="BW193" s="2">
        <v>10</v>
      </c>
      <c r="BX193" s="6">
        <v>253912.18</v>
      </c>
      <c r="BZ193" s="6">
        <f>40382+778</f>
        <v>41160</v>
      </c>
      <c r="CA193" s="6">
        <v>7378</v>
      </c>
      <c r="CC193" s="6">
        <v>2234000</v>
      </c>
      <c r="CD193" s="6">
        <v>2455944</v>
      </c>
      <c r="CE193" s="6">
        <v>75306403</v>
      </c>
      <c r="CG193" s="6">
        <v>80044885</v>
      </c>
      <c r="CH193" s="4">
        <v>15.79</v>
      </c>
      <c r="CJ193" s="6">
        <v>38414</v>
      </c>
      <c r="CO193" s="6">
        <v>1196</v>
      </c>
      <c r="CP193" s="6">
        <v>1409367</v>
      </c>
      <c r="CQ193" s="6">
        <v>6335</v>
      </c>
      <c r="CR193" s="6">
        <v>1455312</v>
      </c>
      <c r="CS193" s="2">
        <v>172</v>
      </c>
      <c r="CT193" s="6">
        <v>1409367</v>
      </c>
      <c r="CV193" s="6">
        <v>21519.30763578304</v>
      </c>
      <c r="CX193" s="6">
        <v>46980.195599999999</v>
      </c>
      <c r="CY193" s="6">
        <v>68499.503235783035</v>
      </c>
      <c r="DA193" s="6">
        <v>5197.7</v>
      </c>
      <c r="DB193" s="6">
        <v>71697.151835783035</v>
      </c>
      <c r="DD193" s="6">
        <v>141529</v>
      </c>
      <c r="DE193" s="6">
        <v>221045</v>
      </c>
      <c r="DG193" s="6">
        <v>25527</v>
      </c>
      <c r="DH193" s="4">
        <v>8</v>
      </c>
      <c r="DJ193" s="5">
        <v>13</v>
      </c>
      <c r="DK193" s="6">
        <v>388122</v>
      </c>
      <c r="DL193" s="15">
        <v>662.5</v>
      </c>
      <c r="DM193" s="6">
        <v>387896.99400000001</v>
      </c>
      <c r="DO193" s="6">
        <v>124302</v>
      </c>
      <c r="DP193" s="6">
        <v>311560.21600000001</v>
      </c>
      <c r="DR193" s="6">
        <v>74413</v>
      </c>
      <c r="DT193" s="6">
        <v>3613</v>
      </c>
      <c r="DV193" s="6">
        <v>513888.21600000001</v>
      </c>
      <c r="DW193" s="15">
        <v>798.5</v>
      </c>
      <c r="DX193" s="6">
        <v>528912.8003</v>
      </c>
      <c r="DZ193" s="6">
        <v>2531.4</v>
      </c>
      <c r="EA193" s="6">
        <v>2053</v>
      </c>
      <c r="EC193" s="6">
        <v>6956.5567500000016</v>
      </c>
      <c r="ED193" s="15">
        <v>637.54999999999995</v>
      </c>
      <c r="EE193" s="5">
        <v>53.175074183976157</v>
      </c>
      <c r="EF193" s="6">
        <v>12231.681824183977</v>
      </c>
      <c r="EG193" s="6">
        <v>14244</v>
      </c>
      <c r="EI193" s="15">
        <v>824.7</v>
      </c>
      <c r="EL193" s="6">
        <v>2548.1999999999998</v>
      </c>
      <c r="EM193" s="6">
        <v>3372.9</v>
      </c>
      <c r="EN193" s="6">
        <v>73850</v>
      </c>
      <c r="EO193" s="6">
        <v>4626.2</v>
      </c>
      <c r="EZ193" s="2">
        <v>718</v>
      </c>
      <c r="FC193" s="6">
        <v>16403</v>
      </c>
      <c r="FF193" s="6">
        <v>17121</v>
      </c>
      <c r="FG193" s="6">
        <v>2583.5342748880466</v>
      </c>
      <c r="FI193" s="200"/>
      <c r="FJ193" s="200"/>
      <c r="FK193" s="5">
        <v>2.6890000000000001</v>
      </c>
      <c r="FL193" s="200"/>
      <c r="FM193" s="5">
        <f t="shared" ref="FM193:FM225" si="366">SUM(FI193:FL193)</f>
        <v>2.6890000000000001</v>
      </c>
      <c r="FN193" s="15">
        <v>609.71408887357904</v>
      </c>
      <c r="GC193" s="6">
        <v>2678.2638649672754</v>
      </c>
      <c r="GN193" s="6">
        <v>17060</v>
      </c>
      <c r="GQ193" s="6">
        <v>4937</v>
      </c>
      <c r="GS193" s="6">
        <v>1425593</v>
      </c>
      <c r="GT193" s="6">
        <v>1447590</v>
      </c>
      <c r="GU193" s="5">
        <v>26.354273409074032</v>
      </c>
      <c r="HL193" s="5">
        <v>65.114000000000004</v>
      </c>
      <c r="HM193" s="15">
        <v>401.09899999999999</v>
      </c>
      <c r="HO193" s="5">
        <v>65.114000000000004</v>
      </c>
      <c r="HP193" s="15">
        <v>401.09899999999999</v>
      </c>
      <c r="HW193" s="15">
        <v>248.7</v>
      </c>
      <c r="HY193" s="6">
        <v>6429</v>
      </c>
      <c r="HZ193" s="6">
        <f t="shared" si="363"/>
        <v>6677.7</v>
      </c>
      <c r="IA193" s="15">
        <v>566.29236489917605</v>
      </c>
      <c r="IC193" s="6">
        <v>1085.4978972295191</v>
      </c>
      <c r="ID193" s="5">
        <v>11.894563853051929</v>
      </c>
      <c r="IF193" s="6">
        <v>2466.1395721994336</v>
      </c>
      <c r="II193" s="15">
        <v>125.24249352890422</v>
      </c>
      <c r="IJ193" s="6">
        <v>3688.7745268109088</v>
      </c>
      <c r="IK193" s="6">
        <v>15156.734412676542</v>
      </c>
      <c r="IN193" s="15">
        <v>210.29859999999999</v>
      </c>
      <c r="IP193" s="15">
        <v>210.29859999999999</v>
      </c>
      <c r="IQ193" s="6">
        <v>168751.57490719573</v>
      </c>
      <c r="IW193" s="2">
        <v>557</v>
      </c>
      <c r="IX193" s="16">
        <v>50.756999999999998</v>
      </c>
      <c r="IZ193" s="15">
        <v>607.75699999999995</v>
      </c>
      <c r="JC193" s="6">
        <v>1344</v>
      </c>
      <c r="JD193" s="6">
        <v>1344</v>
      </c>
      <c r="JE193" s="15">
        <v>112.7358630952381</v>
      </c>
      <c r="JG193" s="2">
        <v>776</v>
      </c>
      <c r="JI193" s="5">
        <v>24.528350515463917</v>
      </c>
      <c r="JJ193" s="6">
        <v>33858.5</v>
      </c>
      <c r="JK193" s="5">
        <v>45.419909328529023</v>
      </c>
      <c r="JL193" s="4">
        <v>11.081441883131268</v>
      </c>
      <c r="JR193" s="6">
        <v>922821</v>
      </c>
      <c r="JS193" s="4">
        <v>55.854100773606149</v>
      </c>
      <c r="JT193" s="2">
        <v>23.6</v>
      </c>
      <c r="JV193" s="6">
        <v>957455.5</v>
      </c>
      <c r="JW193" s="2">
        <v>23.6</v>
      </c>
      <c r="JX193" s="6">
        <v>1321000</v>
      </c>
      <c r="JY193" s="2">
        <v>23.6</v>
      </c>
      <c r="KE193" s="6">
        <v>15786</v>
      </c>
      <c r="KF193" s="4">
        <v>89.95945774737109</v>
      </c>
      <c r="KG193" s="15">
        <v>202.88521474724439</v>
      </c>
      <c r="KI193" s="6">
        <v>15786</v>
      </c>
      <c r="KJ193" s="15">
        <v>202.88521474724439</v>
      </c>
      <c r="KL193" s="6">
        <v>72657</v>
      </c>
      <c r="KN193" s="15">
        <v>260.89673396919773</v>
      </c>
      <c r="KO193" s="6">
        <v>83708.5</v>
      </c>
      <c r="KP193" s="5">
        <v>95.998614238697385</v>
      </c>
      <c r="KQ193" s="15">
        <v>292.16314352783769</v>
      </c>
      <c r="KY193" s="6">
        <v>61595</v>
      </c>
      <c r="KZ193" s="4">
        <v>95.761019563276236</v>
      </c>
      <c r="LA193" s="15">
        <v>294.53158535595423</v>
      </c>
      <c r="LC193" s="6">
        <v>217960.5</v>
      </c>
      <c r="LD193" s="15">
        <v>294.53158535595423</v>
      </c>
      <c r="LE193" s="6">
        <v>231000</v>
      </c>
      <c r="LF193" s="2">
        <v>296.8</v>
      </c>
      <c r="LH193" s="6">
        <v>40307</v>
      </c>
      <c r="LI193" s="2">
        <v>91.94</v>
      </c>
      <c r="LJ193" s="15">
        <v>735.27397226288235</v>
      </c>
      <c r="LL193" s="6">
        <v>72657</v>
      </c>
      <c r="LN193" s="15">
        <v>260.89673396919773</v>
      </c>
      <c r="LO193" s="6">
        <v>101762</v>
      </c>
      <c r="LP193" s="5">
        <v>66.547018641353333</v>
      </c>
      <c r="LQ193" s="5">
        <v>79.682543582083682</v>
      </c>
      <c r="LY193" s="6">
        <v>226463</v>
      </c>
      <c r="LZ193" s="4">
        <v>65.760852766235544</v>
      </c>
      <c r="MA193" s="5">
        <v>74.956412305762967</v>
      </c>
      <c r="MC193" s="6">
        <v>400882</v>
      </c>
      <c r="MD193" s="6">
        <v>434000</v>
      </c>
      <c r="ME193" s="2">
        <v>83.3</v>
      </c>
      <c r="MJ193" s="6">
        <v>414.5</v>
      </c>
      <c r="MK193" s="5">
        <v>90.229191797346203</v>
      </c>
      <c r="ML193" s="15">
        <v>311.63088057901086</v>
      </c>
      <c r="MN193" s="6">
        <v>10715</v>
      </c>
      <c r="MO193" s="4">
        <v>6.1781614559029396</v>
      </c>
      <c r="MP193" s="15">
        <v>387.16322911805878</v>
      </c>
      <c r="MQ193" s="6">
        <v>11129.5</v>
      </c>
      <c r="MR193" s="15">
        <v>384.35015050092096</v>
      </c>
      <c r="MS193" s="2">
        <v>58</v>
      </c>
      <c r="MT193" s="4">
        <v>30.367241379310343</v>
      </c>
      <c r="MU193" s="6">
        <v>3227.9137931034484</v>
      </c>
      <c r="MV193" s="6">
        <v>13300</v>
      </c>
      <c r="MW193" s="2">
        <v>382.1</v>
      </c>
    </row>
    <row r="194" spans="1:375" x14ac:dyDescent="0.25">
      <c r="A194" s="2">
        <v>1982</v>
      </c>
      <c r="B194" s="2">
        <v>579</v>
      </c>
      <c r="C194" s="2">
        <v>610</v>
      </c>
      <c r="D194" s="2">
        <v>100</v>
      </c>
      <c r="E194" s="6">
        <v>1737</v>
      </c>
      <c r="F194" s="5">
        <v>10</v>
      </c>
      <c r="G194" s="6">
        <v>20603</v>
      </c>
      <c r="H194" s="6">
        <v>3322</v>
      </c>
      <c r="I194" s="6">
        <v>26961</v>
      </c>
      <c r="J194" s="6">
        <v>11960.450160771703</v>
      </c>
      <c r="K194" s="6">
        <v>25526.603281999996</v>
      </c>
      <c r="M194" s="6">
        <v>481368</v>
      </c>
      <c r="N194" s="6">
        <v>303235</v>
      </c>
      <c r="O194" s="4">
        <v>7</v>
      </c>
      <c r="P194" s="6">
        <v>84697</v>
      </c>
      <c r="Q194" s="4">
        <v>7</v>
      </c>
      <c r="R194" s="6">
        <v>36890</v>
      </c>
      <c r="S194" s="2">
        <v>659</v>
      </c>
      <c r="T194" s="6">
        <v>906863</v>
      </c>
      <c r="U194" s="15">
        <v>253.67</v>
      </c>
      <c r="V194" s="6">
        <v>911565.35920000006</v>
      </c>
      <c r="X194" s="6">
        <v>7000025</v>
      </c>
      <c r="Y194" s="6">
        <v>1371</v>
      </c>
      <c r="Z194" s="6">
        <v>9204</v>
      </c>
      <c r="AA194" s="6">
        <v>12083758</v>
      </c>
      <c r="AB194" s="34">
        <v>4530684</v>
      </c>
      <c r="AC194" s="6">
        <f t="shared" si="358"/>
        <v>23625042</v>
      </c>
      <c r="AE194" s="5">
        <v>29.507603186097032</v>
      </c>
      <c r="AG194" s="6">
        <v>1815772</v>
      </c>
      <c r="AI194" s="6">
        <v>3676385</v>
      </c>
      <c r="AJ194" s="6">
        <v>1138843</v>
      </c>
      <c r="AK194" s="6">
        <v>6631000</v>
      </c>
      <c r="AL194" s="15">
        <v>185.3</v>
      </c>
      <c r="AN194" s="6">
        <v>36784000</v>
      </c>
      <c r="AO194" s="6">
        <v>64876000</v>
      </c>
      <c r="AQ194" s="6">
        <v>515000</v>
      </c>
      <c r="AR194" s="6">
        <v>1464000</v>
      </c>
      <c r="AS194" s="6">
        <v>3719000</v>
      </c>
      <c r="AT194" s="6">
        <v>107358000</v>
      </c>
      <c r="AU194" s="2">
        <v>49.64</v>
      </c>
      <c r="AW194" s="6">
        <v>37840105.592</v>
      </c>
      <c r="AX194" s="4">
        <v>3.8180146605353849</v>
      </c>
      <c r="AZ194" s="6">
        <v>1118.6354110912539</v>
      </c>
      <c r="BC194" s="2">
        <v>534</v>
      </c>
      <c r="BD194" s="5">
        <v>20.530370000000001</v>
      </c>
      <c r="BE194" s="6">
        <v>1673.1657810912538</v>
      </c>
      <c r="BF194" s="6">
        <v>9951.6460674157297</v>
      </c>
      <c r="BH194" s="6">
        <v>160896</v>
      </c>
      <c r="BI194" s="6">
        <v>25886</v>
      </c>
      <c r="BK194" s="6">
        <v>20906</v>
      </c>
      <c r="BL194" s="6">
        <v>13701</v>
      </c>
      <c r="BM194" s="6">
        <v>15213</v>
      </c>
      <c r="BN194" s="6">
        <v>8720</v>
      </c>
      <c r="BO194" s="6">
        <v>245322</v>
      </c>
      <c r="BP194" s="6">
        <v>1474.5</v>
      </c>
      <c r="BQ194" s="6">
        <v>245317</v>
      </c>
      <c r="BT194" s="6">
        <v>820377</v>
      </c>
      <c r="BV194" s="6">
        <v>820377</v>
      </c>
      <c r="BW194" s="2">
        <v>10</v>
      </c>
      <c r="BX194" s="6">
        <v>820377</v>
      </c>
      <c r="CA194" s="6">
        <v>12523</v>
      </c>
      <c r="CC194" s="6">
        <v>2094000</v>
      </c>
      <c r="CD194" s="6">
        <v>1765379</v>
      </c>
      <c r="CE194" s="6">
        <v>78182395</v>
      </c>
      <c r="CG194" s="6">
        <v>82054297</v>
      </c>
      <c r="CH194" s="4">
        <v>19.88</v>
      </c>
      <c r="CJ194" s="6">
        <v>4066</v>
      </c>
      <c r="CO194" s="5">
        <v>74</v>
      </c>
      <c r="CP194" s="6">
        <v>1122945</v>
      </c>
      <c r="CQ194" s="6">
        <v>6600</v>
      </c>
      <c r="CR194" s="6">
        <v>1133685</v>
      </c>
      <c r="CS194" s="2">
        <v>164</v>
      </c>
      <c r="CT194" s="6">
        <v>1122945</v>
      </c>
      <c r="CV194" s="6">
        <v>22691.632118006735</v>
      </c>
      <c r="CX194" s="6">
        <v>56884.852399999996</v>
      </c>
      <c r="CY194" s="6">
        <v>79576.484518006735</v>
      </c>
      <c r="DA194" s="6">
        <v>4771.7</v>
      </c>
      <c r="DB194" s="6">
        <v>81622.232118006737</v>
      </c>
      <c r="DD194" s="6">
        <v>179531</v>
      </c>
      <c r="DE194" s="6">
        <v>245124</v>
      </c>
      <c r="DG194" s="6">
        <v>30621</v>
      </c>
      <c r="DH194" s="5">
        <v>12</v>
      </c>
      <c r="DJ194" s="5">
        <v>50</v>
      </c>
      <c r="DK194" s="6">
        <v>455338</v>
      </c>
      <c r="DL194" s="15">
        <v>622.4</v>
      </c>
      <c r="DM194" s="6">
        <v>455585.18599999999</v>
      </c>
      <c r="DO194" s="6">
        <v>173610</v>
      </c>
      <c r="DP194" s="6">
        <v>373032.91200000001</v>
      </c>
      <c r="DR194" s="6">
        <v>79493</v>
      </c>
      <c r="DS194" s="6">
        <v>11987</v>
      </c>
      <c r="DT194" s="6">
        <v>48018</v>
      </c>
      <c r="DV194" s="6">
        <v>686140.91200000001</v>
      </c>
      <c r="DW194" s="15">
        <v>849</v>
      </c>
      <c r="DX194" s="6">
        <v>669902.84273000003</v>
      </c>
      <c r="DZ194" s="6">
        <v>2304.6</v>
      </c>
      <c r="EA194" s="6">
        <v>1652</v>
      </c>
      <c r="EC194" s="6">
        <v>6705.2321749999992</v>
      </c>
      <c r="ED194" s="15">
        <v>505.4</v>
      </c>
      <c r="EE194" s="5">
        <v>22.433234421364983</v>
      </c>
      <c r="EF194" s="6">
        <v>11189.665409421365</v>
      </c>
      <c r="EG194" s="6">
        <v>12764</v>
      </c>
      <c r="EI194" s="15">
        <v>859.4</v>
      </c>
      <c r="EL194" s="6">
        <v>4392.6000000000004</v>
      </c>
      <c r="EM194" s="6">
        <v>5252</v>
      </c>
      <c r="EN194" s="6">
        <v>76010</v>
      </c>
      <c r="EO194" s="6">
        <v>5070.5</v>
      </c>
      <c r="EU194" s="2">
        <v>167</v>
      </c>
      <c r="EV194" s="2">
        <v>167</v>
      </c>
      <c r="EW194" s="6">
        <v>10635.02526917161</v>
      </c>
      <c r="EZ194" s="2">
        <v>681</v>
      </c>
      <c r="FC194" s="6">
        <v>16302</v>
      </c>
      <c r="FF194" s="6">
        <v>16983</v>
      </c>
      <c r="FG194" s="6">
        <v>2136.1332367849386</v>
      </c>
      <c r="FI194" s="200"/>
      <c r="FJ194" s="200"/>
      <c r="FK194" s="200"/>
      <c r="FL194" s="200"/>
      <c r="FN194" s="15">
        <v>613.68573497465604</v>
      </c>
      <c r="FZ194" s="15">
        <v>5.04</v>
      </c>
      <c r="GB194" s="15">
        <v>5.04</v>
      </c>
      <c r="GC194" s="6">
        <v>2814.9891383055756</v>
      </c>
      <c r="GQ194" s="6">
        <v>7669</v>
      </c>
      <c r="GS194" s="6">
        <v>1535254</v>
      </c>
      <c r="GT194" s="6">
        <v>1542923</v>
      </c>
      <c r="GU194" s="4">
        <v>7.3274220889294561</v>
      </c>
      <c r="HL194" s="5">
        <v>74.28</v>
      </c>
      <c r="HM194" s="15">
        <v>416.14100000000002</v>
      </c>
      <c r="HO194" s="5">
        <v>74.28</v>
      </c>
      <c r="HP194" s="15">
        <v>416.14100000000002</v>
      </c>
      <c r="HW194" s="15">
        <v>238.5</v>
      </c>
      <c r="HY194" s="6">
        <v>9741.6</v>
      </c>
      <c r="HZ194" s="6">
        <f t="shared" si="363"/>
        <v>9980.1</v>
      </c>
      <c r="IA194" s="15">
        <v>618.00428966856509</v>
      </c>
      <c r="IC194" s="15">
        <v>984.9888326712304</v>
      </c>
      <c r="ID194" s="4">
        <v>3.1718836941471813</v>
      </c>
      <c r="IF194" s="6">
        <v>1955.4662974417372</v>
      </c>
      <c r="IJ194" s="6">
        <v>2943.627013807115</v>
      </c>
      <c r="IK194" s="6">
        <v>12671.976828385228</v>
      </c>
      <c r="IN194" s="5">
        <v>14.114000000000001</v>
      </c>
      <c r="IP194" s="5">
        <v>14.114000000000001</v>
      </c>
      <c r="IQ194" s="6">
        <v>88666.43772893773</v>
      </c>
      <c r="IW194" s="2">
        <v>562</v>
      </c>
      <c r="IX194" s="16">
        <v>57.027000000000001</v>
      </c>
      <c r="IZ194" s="15">
        <v>619.02700000000004</v>
      </c>
      <c r="JC194" s="6">
        <v>3266</v>
      </c>
      <c r="JD194" s="6">
        <v>3266</v>
      </c>
      <c r="JE194" s="5">
        <v>68.195345988977337</v>
      </c>
      <c r="JG194" s="39">
        <f>(JG193+JG195)/2</f>
        <v>6236</v>
      </c>
      <c r="JJ194" s="6">
        <v>28910.5</v>
      </c>
      <c r="JK194" s="5">
        <v>45.000951211497551</v>
      </c>
      <c r="JL194" s="4">
        <v>13.129727953511701</v>
      </c>
      <c r="JR194" s="6">
        <v>1040157</v>
      </c>
      <c r="JS194" s="4">
        <v>57.091830425599213</v>
      </c>
      <c r="JT194" s="2">
        <v>25.4</v>
      </c>
      <c r="JV194" s="6">
        <v>1075303.5</v>
      </c>
      <c r="JW194" s="2">
        <v>25.4</v>
      </c>
      <c r="JX194" s="6">
        <v>1149000</v>
      </c>
      <c r="JY194" s="2">
        <v>25.4</v>
      </c>
      <c r="KE194" s="6">
        <v>15318</v>
      </c>
      <c r="KF194" s="4">
        <v>90.475257866562217</v>
      </c>
      <c r="KG194" s="15">
        <v>198.95312704008356</v>
      </c>
      <c r="KI194" s="6">
        <v>15318</v>
      </c>
      <c r="KJ194" s="15">
        <v>198.95312704008356</v>
      </c>
      <c r="KL194" s="39">
        <f>(KL193+KL195)/2</f>
        <v>78495</v>
      </c>
      <c r="KO194" s="6">
        <v>53150.5</v>
      </c>
      <c r="KP194" s="5">
        <v>95.997215454229035</v>
      </c>
      <c r="KQ194" s="15">
        <v>259.73331389168493</v>
      </c>
      <c r="KY194" s="6">
        <v>80199</v>
      </c>
      <c r="KZ194" s="4">
        <v>95.754311151011862</v>
      </c>
      <c r="LA194" s="15">
        <v>272.11823090063467</v>
      </c>
      <c r="LC194" s="6">
        <v>211844.5</v>
      </c>
      <c r="LD194" s="15">
        <v>272.11823090063467</v>
      </c>
      <c r="LE194" s="6">
        <v>221000</v>
      </c>
      <c r="LF194" s="2">
        <v>255.8</v>
      </c>
      <c r="LH194" s="6">
        <v>35704</v>
      </c>
      <c r="LI194" s="4">
        <v>92</v>
      </c>
      <c r="LJ194" s="15">
        <v>960.27968855030247</v>
      </c>
      <c r="LL194" s="39">
        <f>(LL193+LL195)/2</f>
        <v>78495</v>
      </c>
      <c r="LO194" s="6">
        <v>72780</v>
      </c>
      <c r="LP194" s="5">
        <v>66.52999836942449</v>
      </c>
      <c r="LQ194" s="5">
        <v>100.29010030228085</v>
      </c>
      <c r="LY194" s="6">
        <v>297105</v>
      </c>
      <c r="LZ194" s="4">
        <v>67.799262886858187</v>
      </c>
      <c r="MA194" s="5">
        <v>98.699772807593277</v>
      </c>
      <c r="MC194" s="6">
        <v>448380</v>
      </c>
      <c r="MD194" s="6">
        <v>462000</v>
      </c>
      <c r="ME194" s="2">
        <v>106.4</v>
      </c>
      <c r="MJ194" s="6">
        <v>397.5</v>
      </c>
      <c r="MK194" s="5">
        <v>90.188679245283012</v>
      </c>
      <c r="ML194" s="15">
        <v>340.86666666666667</v>
      </c>
      <c r="MN194" s="6">
        <v>16236</v>
      </c>
      <c r="MO194" s="4">
        <v>6.2342941611234295</v>
      </c>
      <c r="MP194" s="15">
        <v>420.24291697462428</v>
      </c>
      <c r="MQ194" s="6">
        <v>16633.5</v>
      </c>
      <c r="MR194" s="15">
        <v>418.34601857696816</v>
      </c>
      <c r="MV194" s="6">
        <v>9600</v>
      </c>
      <c r="MW194" s="5">
        <v>400</v>
      </c>
    </row>
    <row r="195" spans="1:375" x14ac:dyDescent="0.25">
      <c r="A195" s="2">
        <v>1983</v>
      </c>
      <c r="B195" s="6">
        <v>1061</v>
      </c>
      <c r="C195" s="2">
        <v>673</v>
      </c>
      <c r="D195" s="2">
        <v>113</v>
      </c>
      <c r="E195" s="6">
        <v>2077</v>
      </c>
      <c r="F195" s="4">
        <v>5</v>
      </c>
      <c r="G195" s="6">
        <v>23919</v>
      </c>
      <c r="H195" s="6">
        <v>2744</v>
      </c>
      <c r="I195" s="6">
        <v>30592</v>
      </c>
      <c r="J195" s="6">
        <v>15101.28617363344</v>
      </c>
      <c r="K195" s="6">
        <v>29844.361819999998</v>
      </c>
      <c r="M195" s="6">
        <v>556186</v>
      </c>
      <c r="N195" s="6">
        <v>343733</v>
      </c>
      <c r="P195" s="6">
        <v>94929</v>
      </c>
      <c r="Q195" s="4">
        <v>8</v>
      </c>
      <c r="R195" s="6">
        <v>37073</v>
      </c>
      <c r="S195" s="2">
        <v>966</v>
      </c>
      <c r="T195" s="6">
        <v>1032895</v>
      </c>
      <c r="U195" s="15">
        <v>411.33</v>
      </c>
      <c r="V195" s="6">
        <v>1034764.4624000001</v>
      </c>
      <c r="X195" s="6">
        <v>6439004</v>
      </c>
      <c r="Z195" s="6">
        <v>8585</v>
      </c>
      <c r="AA195" s="6">
        <v>12977470</v>
      </c>
      <c r="AB195" s="34">
        <v>4955817</v>
      </c>
      <c r="AC195" s="6">
        <f t="shared" si="358"/>
        <v>24380876</v>
      </c>
      <c r="AE195" s="5">
        <v>30.587232228498348</v>
      </c>
      <c r="AG195" s="6">
        <v>2033945</v>
      </c>
      <c r="AI195" s="6">
        <v>3983098</v>
      </c>
      <c r="AJ195" s="6">
        <v>1213957</v>
      </c>
      <c r="AK195" s="6">
        <v>7231000</v>
      </c>
      <c r="AL195" s="15">
        <v>185.8</v>
      </c>
      <c r="AN195" s="6">
        <v>37128000</v>
      </c>
      <c r="AO195" s="6">
        <v>66129000</v>
      </c>
      <c r="AQ195" s="6">
        <v>473000</v>
      </c>
      <c r="AR195" s="6">
        <v>1380000</v>
      </c>
      <c r="AS195" s="6">
        <v>3935000</v>
      </c>
      <c r="AT195" s="6">
        <v>109045000</v>
      </c>
      <c r="AU195" s="2">
        <v>56.21</v>
      </c>
      <c r="AW195" s="6">
        <v>34210182.288000003</v>
      </c>
      <c r="AX195" s="4">
        <v>4.176748985997583</v>
      </c>
      <c r="AZ195" s="15">
        <v>715.25070080104501</v>
      </c>
      <c r="BC195" s="2">
        <v>447</v>
      </c>
      <c r="BD195" s="5">
        <v>19.205830000000002</v>
      </c>
      <c r="BE195" s="6">
        <v>1181.4565308010451</v>
      </c>
      <c r="BF195" s="6">
        <v>6644.4947589098529</v>
      </c>
      <c r="BH195" s="6">
        <v>164992</v>
      </c>
      <c r="BI195" s="6">
        <v>28220</v>
      </c>
      <c r="BK195" s="6">
        <v>27516</v>
      </c>
      <c r="BL195" s="6">
        <v>14922</v>
      </c>
      <c r="BM195" s="6">
        <v>15046</v>
      </c>
      <c r="BN195" s="6">
        <v>10780</v>
      </c>
      <c r="BO195" s="6">
        <v>261476</v>
      </c>
      <c r="BP195" s="6">
        <v>1790.5</v>
      </c>
      <c r="BQ195" s="6">
        <v>256668.33333333334</v>
      </c>
      <c r="BT195" s="6">
        <v>6200000</v>
      </c>
      <c r="BV195" s="6">
        <v>6200000</v>
      </c>
      <c r="BW195" s="4">
        <v>10.547953649367601</v>
      </c>
      <c r="BX195" s="6">
        <v>6200000</v>
      </c>
      <c r="BZ195" s="6">
        <f>12252+18609</f>
        <v>30861</v>
      </c>
      <c r="CA195" s="6">
        <v>22422</v>
      </c>
      <c r="CB195" s="6">
        <v>1102</v>
      </c>
      <c r="CC195" s="6">
        <v>2229000</v>
      </c>
      <c r="CD195" s="6">
        <v>1505931</v>
      </c>
      <c r="CE195" s="6">
        <v>74983543</v>
      </c>
      <c r="CG195" s="6">
        <v>78772859</v>
      </c>
      <c r="CH195" s="4">
        <v>21.23</v>
      </c>
      <c r="CP195" s="6">
        <v>1370233</v>
      </c>
      <c r="CQ195" s="6">
        <v>5786</v>
      </c>
      <c r="CR195" s="6">
        <v>1376019</v>
      </c>
      <c r="CS195" s="2">
        <v>137</v>
      </c>
      <c r="CT195" s="6">
        <v>1370233</v>
      </c>
      <c r="CV195" s="6">
        <v>15004.795384238556</v>
      </c>
      <c r="CX195" s="6">
        <v>59083.060100000002</v>
      </c>
      <c r="CY195" s="6">
        <v>74087.855484238564</v>
      </c>
      <c r="DA195" s="6">
        <v>5205.2</v>
      </c>
      <c r="DB195" s="6">
        <v>74836.310384238561</v>
      </c>
      <c r="DD195" s="6">
        <v>202254</v>
      </c>
      <c r="DE195" s="6">
        <v>243293</v>
      </c>
      <c r="DG195" s="6">
        <v>34777</v>
      </c>
      <c r="DH195" s="4">
        <v>9</v>
      </c>
      <c r="DJ195" s="2">
        <v>293</v>
      </c>
      <c r="DK195" s="6">
        <v>480626</v>
      </c>
      <c r="DL195" s="15">
        <v>592.20000000000005</v>
      </c>
      <c r="DM195" s="6">
        <v>479875.04000000004</v>
      </c>
      <c r="DO195" s="6">
        <v>201075</v>
      </c>
      <c r="DP195" s="6">
        <v>382819.36</v>
      </c>
      <c r="DR195" s="6">
        <v>82285</v>
      </c>
      <c r="DS195" s="6">
        <v>6886</v>
      </c>
      <c r="DT195" s="6">
        <v>13158</v>
      </c>
      <c r="DV195" s="6">
        <v>686223.35999999999</v>
      </c>
      <c r="DW195" s="15">
        <v>952.3</v>
      </c>
      <c r="DX195" s="6">
        <v>704237.54827999999</v>
      </c>
      <c r="DZ195" s="6">
        <v>2130</v>
      </c>
      <c r="EA195" s="6">
        <v>1576</v>
      </c>
      <c r="EC195" s="6">
        <v>6463.8160000000007</v>
      </c>
      <c r="ED195" s="15">
        <v>549.33000000000004</v>
      </c>
      <c r="EE195" s="5">
        <v>33.649851632047472</v>
      </c>
      <c r="EF195" s="6">
        <v>10752.795851632049</v>
      </c>
      <c r="EG195" s="6">
        <v>12995</v>
      </c>
      <c r="EL195" s="6">
        <v>3794.6</v>
      </c>
      <c r="EM195" s="6">
        <v>3794.6</v>
      </c>
      <c r="EN195" s="6">
        <v>91560</v>
      </c>
      <c r="EO195" s="6">
        <v>4372.7999999999993</v>
      </c>
      <c r="EZ195" s="2">
        <v>331</v>
      </c>
      <c r="FC195" s="6">
        <v>17600</v>
      </c>
      <c r="FF195" s="6">
        <v>17931</v>
      </c>
      <c r="FG195" s="6">
        <v>2142.1720132153896</v>
      </c>
      <c r="FI195" s="200"/>
      <c r="FJ195" s="200"/>
      <c r="FK195" s="200"/>
      <c r="FL195" s="200"/>
      <c r="FN195" s="15">
        <v>691.67643610785467</v>
      </c>
      <c r="FZ195" s="15">
        <v>239.1</v>
      </c>
      <c r="GB195" s="15">
        <v>239.1</v>
      </c>
      <c r="GC195" s="6">
        <v>1940.7820995399416</v>
      </c>
      <c r="GQ195" s="6">
        <v>4868</v>
      </c>
      <c r="GS195" s="6">
        <v>1202710</v>
      </c>
      <c r="GT195" s="6">
        <v>1207578</v>
      </c>
      <c r="GU195" s="4">
        <v>7.3689400164338537</v>
      </c>
      <c r="HL195" s="5">
        <v>52.48</v>
      </c>
      <c r="HM195" s="15">
        <v>449.34800000000001</v>
      </c>
      <c r="HO195" s="5">
        <v>52.48</v>
      </c>
      <c r="HP195" s="15">
        <v>449.34800000000001</v>
      </c>
      <c r="HV195" s="4">
        <v>6</v>
      </c>
      <c r="HW195" s="15">
        <v>268.2</v>
      </c>
      <c r="HY195" s="6">
        <v>7726.2</v>
      </c>
      <c r="HZ195" s="6">
        <f t="shared" si="363"/>
        <v>8000.4</v>
      </c>
      <c r="IA195" s="15">
        <v>626.4615662215806</v>
      </c>
      <c r="IC195" s="15">
        <v>832.0485306486886</v>
      </c>
      <c r="ID195" s="4">
        <v>0.79297092353679532</v>
      </c>
      <c r="IF195" s="6">
        <v>1215.6244257819071</v>
      </c>
      <c r="IH195" s="3">
        <v>8.9066494131652837E-2</v>
      </c>
      <c r="IJ195" s="6">
        <v>2048.5549938482641</v>
      </c>
      <c r="IK195" s="6">
        <v>11083.875093253757</v>
      </c>
      <c r="IN195" s="15">
        <v>191.9504</v>
      </c>
      <c r="IP195" s="15">
        <v>191.9504</v>
      </c>
      <c r="IQ195" s="6">
        <v>94735.161692882291</v>
      </c>
      <c r="IW195" s="2">
        <v>601</v>
      </c>
      <c r="IX195" s="16">
        <v>45.75</v>
      </c>
      <c r="IZ195" s="15">
        <v>646.75</v>
      </c>
      <c r="JC195" s="6">
        <v>2657</v>
      </c>
      <c r="JD195" s="6">
        <v>2657</v>
      </c>
      <c r="JE195" s="5">
        <v>34.989461799021456</v>
      </c>
      <c r="JG195" s="6">
        <v>11696</v>
      </c>
      <c r="JI195" s="5">
        <v>13.939979480164158</v>
      </c>
      <c r="JJ195" s="6">
        <v>20479</v>
      </c>
      <c r="JK195" s="5">
        <v>45.002197372918602</v>
      </c>
      <c r="JL195" s="4">
        <v>14.942135846476878</v>
      </c>
      <c r="JR195" s="6">
        <v>871302</v>
      </c>
      <c r="JS195" s="4">
        <v>56.297339590635623</v>
      </c>
      <c r="JT195" s="2">
        <v>28.2</v>
      </c>
      <c r="JV195" s="6">
        <v>903477</v>
      </c>
      <c r="JW195" s="2">
        <v>28.2</v>
      </c>
      <c r="JX195" s="6">
        <v>893000</v>
      </c>
      <c r="JY195" s="2">
        <v>28.2</v>
      </c>
      <c r="KE195" s="6">
        <v>10193</v>
      </c>
      <c r="KF195" s="4">
        <v>90.012753850681847</v>
      </c>
      <c r="KG195" s="15">
        <v>180.76258216423037</v>
      </c>
      <c r="KI195" s="6">
        <v>10193</v>
      </c>
      <c r="KJ195" s="15">
        <v>180.76258216423037</v>
      </c>
      <c r="KL195" s="6">
        <v>84333</v>
      </c>
      <c r="KM195" s="4">
        <v>95.992079020075181</v>
      </c>
      <c r="KN195" s="15">
        <v>245.03496851766212</v>
      </c>
      <c r="KO195" s="6">
        <v>36768</v>
      </c>
      <c r="KP195" s="5">
        <v>95.96932114882506</v>
      </c>
      <c r="KQ195" s="15">
        <v>243.54057876414274</v>
      </c>
      <c r="KY195" s="6">
        <v>86203</v>
      </c>
      <c r="KZ195" s="4">
        <v>95.544238599584702</v>
      </c>
      <c r="LA195" s="15">
        <v>239.50312634131063</v>
      </c>
      <c r="LC195" s="6">
        <v>207304</v>
      </c>
      <c r="LD195" s="15">
        <v>239.50312634131063</v>
      </c>
      <c r="LE195" s="6">
        <v>163000</v>
      </c>
      <c r="LF195" s="2">
        <v>247.7</v>
      </c>
      <c r="LH195" s="6">
        <v>10044</v>
      </c>
      <c r="LI195" s="4">
        <v>92</v>
      </c>
      <c r="LJ195" s="6">
        <v>2503.9621664675428</v>
      </c>
      <c r="LL195" s="6">
        <v>84333</v>
      </c>
      <c r="LM195" s="4">
        <v>64.525361283365143</v>
      </c>
      <c r="LN195" s="15">
        <v>245.03496851766212</v>
      </c>
      <c r="LO195" s="6">
        <v>57982.5</v>
      </c>
      <c r="LP195" s="5">
        <v>66.526199264650245</v>
      </c>
      <c r="LQ195" s="5">
        <v>119.11352563273401</v>
      </c>
      <c r="LY195" s="6">
        <v>272391</v>
      </c>
      <c r="LZ195" s="4">
        <v>65.385420223135128</v>
      </c>
      <c r="MA195" s="15">
        <v>110.00421820104188</v>
      </c>
      <c r="MC195" s="6">
        <v>414706.5</v>
      </c>
      <c r="MD195" s="6">
        <v>382000</v>
      </c>
      <c r="ME195" s="2">
        <v>117.6</v>
      </c>
      <c r="MG195" s="2">
        <v>10</v>
      </c>
      <c r="MI195" s="5">
        <v>96</v>
      </c>
      <c r="MJ195" s="6">
        <v>447</v>
      </c>
      <c r="MK195" s="5">
        <v>90.044742729306492</v>
      </c>
      <c r="ML195" s="15">
        <v>365.7718120805369</v>
      </c>
      <c r="MN195" s="6">
        <v>12877</v>
      </c>
      <c r="MO195" s="4">
        <v>6.3022443115632525</v>
      </c>
      <c r="MP195" s="15">
        <v>425.99386503067484</v>
      </c>
      <c r="MQ195" s="6">
        <v>13334</v>
      </c>
      <c r="MR195" s="15">
        <v>423.72753862306882</v>
      </c>
      <c r="MV195" s="6">
        <v>15100</v>
      </c>
      <c r="MW195" s="2">
        <v>406.8</v>
      </c>
    </row>
    <row r="196" spans="1:375" x14ac:dyDescent="0.25">
      <c r="A196" s="2">
        <v>1984</v>
      </c>
      <c r="B196" s="6">
        <v>1751</v>
      </c>
      <c r="C196" s="6">
        <v>1112</v>
      </c>
      <c r="D196" s="2">
        <v>411</v>
      </c>
      <c r="E196" s="6">
        <v>1926</v>
      </c>
      <c r="F196" s="4">
        <v>5</v>
      </c>
      <c r="G196" s="6">
        <v>32111</v>
      </c>
      <c r="H196" s="6">
        <v>2993</v>
      </c>
      <c r="I196" s="6">
        <v>40309</v>
      </c>
      <c r="J196" s="6">
        <v>13181.350482315112</v>
      </c>
      <c r="K196" s="6">
        <v>38898.151600000005</v>
      </c>
      <c r="M196" s="6">
        <v>514799</v>
      </c>
      <c r="N196" s="6">
        <v>323514</v>
      </c>
      <c r="O196" s="5">
        <v>44</v>
      </c>
      <c r="P196" s="6">
        <v>93209</v>
      </c>
      <c r="Q196" s="4">
        <v>8</v>
      </c>
      <c r="R196" s="6">
        <v>40249</v>
      </c>
      <c r="S196" s="2">
        <v>480</v>
      </c>
      <c r="T196" s="6">
        <v>972303</v>
      </c>
      <c r="U196" s="15">
        <v>299.75</v>
      </c>
      <c r="V196" s="6">
        <v>948745.61200000008</v>
      </c>
      <c r="X196" s="6">
        <v>9097000</v>
      </c>
      <c r="Z196" s="6">
        <v>13291</v>
      </c>
      <c r="AA196" s="6">
        <v>17301880</v>
      </c>
      <c r="AB196" s="34">
        <v>5413139</v>
      </c>
      <c r="AC196" s="6">
        <f t="shared" si="358"/>
        <v>31825310</v>
      </c>
      <c r="AE196" s="5">
        <v>32.902727172352876</v>
      </c>
      <c r="AG196" s="6">
        <v>2493220</v>
      </c>
      <c r="AI196" s="6">
        <v>5004998</v>
      </c>
      <c r="AJ196" s="6">
        <v>1282782</v>
      </c>
      <c r="AK196" s="6">
        <v>8781000</v>
      </c>
      <c r="AL196" s="15">
        <v>228.7</v>
      </c>
      <c r="AN196" s="6">
        <v>50777000</v>
      </c>
      <c r="AO196" s="6">
        <v>68323000</v>
      </c>
      <c r="AQ196" s="6">
        <v>458000</v>
      </c>
      <c r="AR196" s="6">
        <v>1325000</v>
      </c>
      <c r="AS196" s="6">
        <v>3686000</v>
      </c>
      <c r="AT196" s="6">
        <v>124569000</v>
      </c>
      <c r="AU196" s="2">
        <v>51.77</v>
      </c>
      <c r="AW196" s="6">
        <v>33209174.024</v>
      </c>
      <c r="AX196" s="4">
        <v>4.8652607530496317</v>
      </c>
      <c r="AZ196" s="15">
        <v>691.95280819370237</v>
      </c>
      <c r="BC196" s="2">
        <v>520</v>
      </c>
      <c r="BD196" s="5">
        <v>13.907670000000001</v>
      </c>
      <c r="BE196" s="6">
        <v>1225.8604781937024</v>
      </c>
      <c r="BF196" s="6">
        <v>12609.138461538461</v>
      </c>
      <c r="BH196" s="6">
        <v>161018</v>
      </c>
      <c r="BI196" s="6">
        <v>20456</v>
      </c>
      <c r="BK196" s="6">
        <v>25569</v>
      </c>
      <c r="BL196" s="6">
        <v>10508</v>
      </c>
      <c r="BM196" s="6">
        <v>11941</v>
      </c>
      <c r="BN196" s="6">
        <v>6179</v>
      </c>
      <c r="BO196" s="6">
        <v>235671</v>
      </c>
      <c r="BP196" s="6">
        <v>1592.5</v>
      </c>
      <c r="BQ196" s="6">
        <v>236243</v>
      </c>
      <c r="BT196" s="6">
        <v>5689586</v>
      </c>
      <c r="BV196" s="6">
        <v>5689586</v>
      </c>
      <c r="BW196" s="4">
        <v>7.9328009433271145</v>
      </c>
      <c r="BX196" s="6">
        <v>5689586</v>
      </c>
      <c r="BZ196" s="6">
        <f>10759+25336</f>
        <v>36095</v>
      </c>
      <c r="CA196" s="6">
        <v>14384</v>
      </c>
      <c r="CC196" s="6">
        <v>2022000</v>
      </c>
      <c r="CD196" s="6">
        <v>1752957</v>
      </c>
      <c r="CE196" s="6">
        <v>90631128</v>
      </c>
      <c r="CG196" s="6">
        <v>94456564</v>
      </c>
      <c r="CH196" s="4">
        <v>18.87</v>
      </c>
      <c r="CP196" s="6">
        <v>1848889</v>
      </c>
      <c r="CQ196" s="6">
        <v>6450</v>
      </c>
      <c r="CR196" s="6">
        <v>1855339</v>
      </c>
      <c r="CS196" s="2">
        <v>137</v>
      </c>
      <c r="CT196" s="6">
        <v>1848889</v>
      </c>
      <c r="CV196" s="6">
        <v>14796.334969291762</v>
      </c>
      <c r="CX196" s="6">
        <v>58837.129499999995</v>
      </c>
      <c r="CY196" s="6">
        <v>73633.464469291765</v>
      </c>
      <c r="DA196" s="6">
        <v>5420.7</v>
      </c>
      <c r="DB196" s="6">
        <v>74826.364921291766</v>
      </c>
      <c r="DD196" s="6">
        <v>193397</v>
      </c>
      <c r="DE196" s="6">
        <v>214719</v>
      </c>
      <c r="DG196" s="6">
        <v>32493</v>
      </c>
      <c r="DH196" s="5">
        <v>11</v>
      </c>
      <c r="DK196" s="6">
        <v>440620</v>
      </c>
      <c r="DL196" s="15">
        <v>515.29999999999995</v>
      </c>
      <c r="DM196" s="6">
        <v>439723.05499999999</v>
      </c>
      <c r="DO196" s="6">
        <v>214929</v>
      </c>
      <c r="DP196" s="6">
        <v>329136</v>
      </c>
      <c r="DR196" s="6">
        <v>83403</v>
      </c>
      <c r="DS196" s="6">
        <v>46397</v>
      </c>
      <c r="DT196" s="6">
        <v>35640</v>
      </c>
      <c r="DV196" s="6">
        <v>709505</v>
      </c>
      <c r="DW196" s="6">
        <v>1187.7</v>
      </c>
      <c r="DX196" s="6">
        <v>684493.44590000005</v>
      </c>
      <c r="DZ196" s="6">
        <v>1744</v>
      </c>
      <c r="EA196" s="6">
        <v>1388</v>
      </c>
      <c r="EC196" s="6">
        <v>4835</v>
      </c>
      <c r="ED196" s="15">
        <v>505.40899999999999</v>
      </c>
      <c r="EE196" s="5">
        <v>55.252225519287705</v>
      </c>
      <c r="EF196" s="6">
        <v>8527.6612255192867</v>
      </c>
      <c r="EG196" s="6">
        <v>12217</v>
      </c>
      <c r="EJ196" s="4">
        <v>9</v>
      </c>
      <c r="EL196" s="6">
        <v>5176.6000000000004</v>
      </c>
      <c r="EM196" s="6">
        <v>5185.6000000000004</v>
      </c>
      <c r="EN196" s="6">
        <v>95770</v>
      </c>
      <c r="EO196" s="6">
        <v>4374.1000000000004</v>
      </c>
      <c r="EZ196" s="2">
        <v>314</v>
      </c>
      <c r="FC196" s="6">
        <v>14460</v>
      </c>
      <c r="FF196" s="6">
        <v>14774</v>
      </c>
      <c r="FG196" s="6">
        <v>3676.7141437562109</v>
      </c>
      <c r="FI196" s="200"/>
      <c r="FJ196" s="200"/>
      <c r="FK196" s="200"/>
      <c r="FL196" s="200"/>
      <c r="FN196" s="15">
        <v>799.38169371756658</v>
      </c>
      <c r="FZ196" s="15">
        <v>400.09499999999997</v>
      </c>
      <c r="GB196" s="15">
        <v>400.09499999999997</v>
      </c>
      <c r="GC196" s="6">
        <v>3451.3078143940816</v>
      </c>
      <c r="GI196" s="15">
        <v>324.43873576946868</v>
      </c>
      <c r="GK196" s="15">
        <f t="shared" ref="GK196:GK226" si="367">SUM(GE196:GJ196)</f>
        <v>324.43873576946868</v>
      </c>
      <c r="GL196" s="6">
        <v>8667.3291376835605</v>
      </c>
      <c r="GN196" s="6">
        <v>4400</v>
      </c>
      <c r="GQ196" s="6">
        <v>7473</v>
      </c>
      <c r="GS196" s="6">
        <v>1142753</v>
      </c>
      <c r="GT196" s="6">
        <v>1154626</v>
      </c>
      <c r="GU196" s="5">
        <v>10.260725731417347</v>
      </c>
      <c r="HL196" s="5">
        <v>66</v>
      </c>
      <c r="HM196" s="2">
        <v>523</v>
      </c>
      <c r="HO196" s="5">
        <v>66</v>
      </c>
      <c r="HP196" s="15">
        <v>523</v>
      </c>
      <c r="HV196" s="15">
        <v>150.6</v>
      </c>
      <c r="HW196" s="15">
        <v>443.7</v>
      </c>
      <c r="HY196" s="6">
        <v>9355.1999999999989</v>
      </c>
      <c r="HZ196" s="6">
        <f t="shared" si="363"/>
        <v>9949.4999999999982</v>
      </c>
      <c r="IA196" s="15">
        <v>635.56282073437364</v>
      </c>
      <c r="IC196" s="15">
        <v>949.40822733213452</v>
      </c>
      <c r="IF196" s="15">
        <v>947.60025362647036</v>
      </c>
      <c r="IJ196" s="6">
        <v>1897.0084809586049</v>
      </c>
      <c r="IK196" s="6">
        <v>12586.949320967209</v>
      </c>
      <c r="IN196" s="15">
        <v>102.3265</v>
      </c>
      <c r="IP196" s="15">
        <v>102.3265</v>
      </c>
      <c r="IQ196" s="6">
        <v>137477.86935286937</v>
      </c>
      <c r="IW196" s="2">
        <v>574</v>
      </c>
      <c r="IX196" s="16">
        <v>33.811</v>
      </c>
      <c r="IZ196" s="15">
        <v>607.81100000000004</v>
      </c>
      <c r="JC196" s="6">
        <v>3287</v>
      </c>
      <c r="JD196" s="6">
        <v>3287</v>
      </c>
      <c r="JE196" s="5">
        <v>35.010648007301491</v>
      </c>
      <c r="JG196" s="6">
        <v>41696</v>
      </c>
      <c r="JI196" s="5">
        <v>17.3686444742901</v>
      </c>
      <c r="JJ196" s="6">
        <v>15947.5</v>
      </c>
      <c r="JK196" s="5">
        <v>46.135757955792442</v>
      </c>
      <c r="JL196" s="4">
        <v>16.046872550556515</v>
      </c>
      <c r="JR196" s="6">
        <v>1336472</v>
      </c>
      <c r="JS196" s="4">
        <v>56.510889356454896</v>
      </c>
      <c r="JT196" s="2">
        <v>28.9</v>
      </c>
      <c r="JV196" s="6">
        <v>1394115.5</v>
      </c>
      <c r="JW196" s="2">
        <v>28.9</v>
      </c>
      <c r="JX196" s="6">
        <v>1493000</v>
      </c>
      <c r="JY196" s="2">
        <v>28.9</v>
      </c>
      <c r="KE196" s="6">
        <v>32110</v>
      </c>
      <c r="KF196" s="4">
        <v>90.432886951105573</v>
      </c>
      <c r="KG196" s="15">
        <v>216.49018997197135</v>
      </c>
      <c r="KI196" s="6">
        <v>32110</v>
      </c>
      <c r="KJ196" s="15">
        <v>216.49018997197135</v>
      </c>
      <c r="KL196" s="6">
        <v>76046</v>
      </c>
      <c r="KM196" s="4">
        <v>95.9932146332483</v>
      </c>
      <c r="KN196" s="15">
        <v>271.92755700497065</v>
      </c>
      <c r="KO196" s="6">
        <v>35435.5</v>
      </c>
      <c r="KP196" s="5">
        <v>95.892537144953508</v>
      </c>
      <c r="KQ196" s="15">
        <v>304.01085070056865</v>
      </c>
      <c r="KY196" s="6">
        <v>60651</v>
      </c>
      <c r="KZ196" s="4">
        <v>95.340554978483453</v>
      </c>
      <c r="LA196" s="15">
        <v>310.53408847339699</v>
      </c>
      <c r="LC196" s="6">
        <v>172132.5</v>
      </c>
      <c r="LD196" s="15">
        <v>310.53408847339699</v>
      </c>
      <c r="LE196" s="6">
        <v>170000</v>
      </c>
      <c r="LF196" s="2">
        <v>302.10000000000002</v>
      </c>
      <c r="LH196" s="6">
        <v>72133</v>
      </c>
      <c r="LI196" s="4">
        <v>92</v>
      </c>
      <c r="LJ196" s="15">
        <v>748.47143471088134</v>
      </c>
      <c r="LL196" s="6">
        <v>76046</v>
      </c>
      <c r="LM196" s="4">
        <v>64.526124636456586</v>
      </c>
      <c r="LN196" s="15">
        <v>271.92755700497065</v>
      </c>
      <c r="LO196" s="6">
        <v>53684</v>
      </c>
      <c r="LP196" s="5">
        <v>66.547069311351393</v>
      </c>
      <c r="LQ196" s="5">
        <v>124.00487109753371</v>
      </c>
      <c r="LY196" s="6">
        <v>336950</v>
      </c>
      <c r="LZ196" s="4">
        <v>66.203887817183556</v>
      </c>
      <c r="MA196" s="15">
        <v>111.81460454073304</v>
      </c>
      <c r="MC196" s="6">
        <v>466680</v>
      </c>
      <c r="MD196" s="6">
        <v>458000</v>
      </c>
      <c r="ME196" s="2">
        <v>118.3</v>
      </c>
      <c r="MG196" s="2">
        <v>251</v>
      </c>
      <c r="MI196" s="5">
        <v>83.665338645418331</v>
      </c>
      <c r="MJ196" s="6">
        <v>739.5</v>
      </c>
      <c r="MK196" s="5">
        <v>89.993238674780258</v>
      </c>
      <c r="ML196" s="15">
        <v>444.18864097363081</v>
      </c>
      <c r="MN196" s="6">
        <v>15592</v>
      </c>
      <c r="MO196" s="4">
        <v>6.4436249358645457</v>
      </c>
      <c r="MP196" s="15">
        <v>434.01212160082093</v>
      </c>
      <c r="MQ196" s="6">
        <v>16582.5</v>
      </c>
      <c r="MR196" s="15">
        <v>429.16294286145035</v>
      </c>
      <c r="MS196" s="2">
        <v>66</v>
      </c>
      <c r="MT196" s="4">
        <v>30.31818181818182</v>
      </c>
      <c r="MU196" s="6">
        <v>5424.969696969697</v>
      </c>
      <c r="MV196" s="6">
        <v>16300</v>
      </c>
      <c r="MW196" s="2">
        <v>421.5</v>
      </c>
    </row>
    <row r="197" spans="1:375" x14ac:dyDescent="0.25">
      <c r="A197" s="2">
        <v>1985</v>
      </c>
      <c r="B197" s="6">
        <v>9276</v>
      </c>
      <c r="C197" s="6">
        <v>1536</v>
      </c>
      <c r="D197" s="2">
        <v>962</v>
      </c>
      <c r="E197" s="6">
        <v>2334</v>
      </c>
      <c r="F197" s="4">
        <v>2</v>
      </c>
      <c r="G197" s="6">
        <v>41196</v>
      </c>
      <c r="H197" s="6">
        <v>3215</v>
      </c>
      <c r="I197" s="6">
        <v>58521</v>
      </c>
      <c r="J197" s="6">
        <v>14652.73311897106</v>
      </c>
      <c r="K197" s="6">
        <v>56809.654784999999</v>
      </c>
      <c r="M197" s="6">
        <v>576756</v>
      </c>
      <c r="N197" s="6">
        <v>353859</v>
      </c>
      <c r="O197" s="5">
        <v>72</v>
      </c>
      <c r="P197" s="6">
        <v>110191</v>
      </c>
      <c r="Q197" s="5">
        <v>16</v>
      </c>
      <c r="R197" s="6">
        <v>36496</v>
      </c>
      <c r="S197" s="6">
        <v>4145</v>
      </c>
      <c r="T197" s="6">
        <v>1085933</v>
      </c>
      <c r="U197" s="15">
        <v>285.33</v>
      </c>
      <c r="V197" s="6">
        <v>1083431.76</v>
      </c>
      <c r="X197" s="6">
        <v>7621000</v>
      </c>
      <c r="Z197" s="6">
        <v>4081</v>
      </c>
      <c r="AA197" s="6">
        <v>18942621</v>
      </c>
      <c r="AB197" s="34">
        <v>5390342</v>
      </c>
      <c r="AC197" s="6">
        <f t="shared" si="358"/>
        <v>31958044</v>
      </c>
      <c r="AE197" s="5">
        <v>37.462860095594884</v>
      </c>
      <c r="AG197" s="6">
        <v>2115936</v>
      </c>
      <c r="AI197" s="6">
        <v>5419623</v>
      </c>
      <c r="AJ197" s="6">
        <v>1256441</v>
      </c>
      <c r="AK197" s="6">
        <v>8792000</v>
      </c>
      <c r="AL197" s="15">
        <v>199.9</v>
      </c>
      <c r="AN197" s="6">
        <v>60976000</v>
      </c>
      <c r="AO197" s="6">
        <v>75039000</v>
      </c>
      <c r="AQ197" s="6">
        <v>526000</v>
      </c>
      <c r="AR197" s="6">
        <v>2041000</v>
      </c>
      <c r="AS197" s="6">
        <v>3769000</v>
      </c>
      <c r="AT197" s="6">
        <v>142351000</v>
      </c>
      <c r="AU197" s="2">
        <v>54.09</v>
      </c>
      <c r="AW197" s="6">
        <v>38398709</v>
      </c>
      <c r="AZ197" s="15">
        <v>891.00570619880079</v>
      </c>
      <c r="BC197" s="2">
        <v>508</v>
      </c>
      <c r="BD197" s="5">
        <v>11.25859</v>
      </c>
      <c r="BE197" s="6">
        <v>1410.2642961988008</v>
      </c>
      <c r="BF197" s="6">
        <v>18956.51968503937</v>
      </c>
      <c r="BH197" s="6">
        <v>179872</v>
      </c>
      <c r="BI197" s="6">
        <v>24301</v>
      </c>
      <c r="BK197" s="6">
        <v>27037</v>
      </c>
      <c r="BL197" s="6">
        <v>11032</v>
      </c>
      <c r="BM197" s="6">
        <v>12511</v>
      </c>
      <c r="BN197" s="6">
        <v>5012</v>
      </c>
      <c r="BO197" s="6">
        <v>259765</v>
      </c>
      <c r="BP197" s="6">
        <v>2064.8000000000002</v>
      </c>
      <c r="BQ197" s="6">
        <v>258172.05</v>
      </c>
      <c r="BT197" s="6">
        <v>7079412</v>
      </c>
      <c r="BV197" s="6">
        <v>7079412</v>
      </c>
      <c r="BW197" s="4">
        <v>9.1042156348841079</v>
      </c>
      <c r="BX197" s="6">
        <v>7079412</v>
      </c>
      <c r="BZ197" s="6">
        <f>10718+20785</f>
        <v>31503</v>
      </c>
      <c r="CA197" s="6">
        <v>6863</v>
      </c>
      <c r="CC197" s="6">
        <v>2484000</v>
      </c>
      <c r="CD197" s="6">
        <v>1726304</v>
      </c>
      <c r="CE197" s="6">
        <v>88670729</v>
      </c>
      <c r="CG197" s="6">
        <v>92919399</v>
      </c>
      <c r="CH197" s="4">
        <v>22.98</v>
      </c>
      <c r="CM197" s="2">
        <v>208</v>
      </c>
      <c r="CP197" s="6">
        <v>2002960</v>
      </c>
      <c r="CQ197" s="6">
        <v>4731</v>
      </c>
      <c r="CR197" s="6">
        <v>2007899</v>
      </c>
      <c r="CS197" s="2">
        <v>139</v>
      </c>
      <c r="CT197" s="6">
        <v>2002960</v>
      </c>
      <c r="CV197" s="6">
        <v>20106.127133020662</v>
      </c>
      <c r="CX197" s="6">
        <v>54390.633699999998</v>
      </c>
      <c r="CY197" s="6">
        <v>74496.760833020657</v>
      </c>
      <c r="DA197" s="6">
        <v>7020.7</v>
      </c>
      <c r="DB197" s="6">
        <v>63278.295274613585</v>
      </c>
      <c r="DD197" s="6">
        <v>205288</v>
      </c>
      <c r="DE197" s="6">
        <v>252920</v>
      </c>
      <c r="DG197" s="6">
        <v>37975</v>
      </c>
      <c r="DH197" s="5">
        <v>15</v>
      </c>
      <c r="DJ197" s="6">
        <v>1771</v>
      </c>
      <c r="DK197" s="6">
        <v>497969</v>
      </c>
      <c r="DL197" s="15">
        <v>568.1</v>
      </c>
      <c r="DM197" s="6">
        <v>493077.16800000001</v>
      </c>
      <c r="DO197" s="6">
        <v>227072</v>
      </c>
      <c r="DP197" s="6">
        <v>393681</v>
      </c>
      <c r="DR197" s="6">
        <v>98778</v>
      </c>
      <c r="DS197" s="6">
        <v>30566</v>
      </c>
      <c r="DT197" s="6">
        <v>51977</v>
      </c>
      <c r="DU197" s="6">
        <v>4318</v>
      </c>
      <c r="DV197" s="6">
        <v>806392</v>
      </c>
      <c r="DW197" s="6">
        <v>1255.2</v>
      </c>
      <c r="DX197" s="6">
        <v>769291.90299999993</v>
      </c>
      <c r="DZ197" s="6">
        <v>1961</v>
      </c>
      <c r="EA197" s="6">
        <v>1306</v>
      </c>
      <c r="EC197" s="6">
        <v>3458</v>
      </c>
      <c r="ED197" s="15">
        <v>321.06000000000006</v>
      </c>
      <c r="EE197" s="5">
        <v>39.881305637982194</v>
      </c>
      <c r="EF197" s="6">
        <v>7085.9413056379826</v>
      </c>
      <c r="EG197" s="6">
        <v>12161</v>
      </c>
      <c r="EK197" s="2">
        <v>0.47</v>
      </c>
      <c r="EL197" s="6">
        <v>3834.4</v>
      </c>
      <c r="EM197" s="6">
        <v>3834.87</v>
      </c>
      <c r="EN197" s="6">
        <v>92120</v>
      </c>
      <c r="EO197" s="6">
        <v>4451</v>
      </c>
      <c r="EZ197" s="2">
        <v>963</v>
      </c>
      <c r="FC197" s="6">
        <v>13030</v>
      </c>
      <c r="FF197" s="6">
        <v>13993</v>
      </c>
      <c r="FG197" s="6">
        <v>3733.3677819403179</v>
      </c>
      <c r="FI197" s="200"/>
      <c r="FJ197" s="200"/>
      <c r="FK197" s="200"/>
      <c r="FL197" s="200"/>
      <c r="FN197" s="15">
        <v>985.66076734272053</v>
      </c>
      <c r="FZ197" s="15">
        <v>720.56309999999996</v>
      </c>
      <c r="GB197" s="15">
        <v>720.56309999999996</v>
      </c>
      <c r="GC197" s="6">
        <v>1982.7743052620931</v>
      </c>
      <c r="GN197" s="6">
        <v>3472</v>
      </c>
      <c r="GQ197" s="6">
        <v>9316</v>
      </c>
      <c r="GS197" s="6">
        <v>1268692</v>
      </c>
      <c r="GT197" s="6">
        <v>1281480</v>
      </c>
      <c r="GU197" s="4">
        <v>9.3210278682591383</v>
      </c>
      <c r="HL197" s="5">
        <v>95.048000000000002</v>
      </c>
      <c r="HM197" s="15">
        <v>476.399</v>
      </c>
      <c r="HO197" s="5">
        <v>95.048000000000002</v>
      </c>
      <c r="HP197" s="15">
        <v>476.399</v>
      </c>
      <c r="HW197" s="15">
        <v>443.7</v>
      </c>
      <c r="HY197" s="6">
        <v>10653</v>
      </c>
      <c r="HZ197" s="6">
        <f t="shared" si="363"/>
        <v>11096.7</v>
      </c>
      <c r="IA197" s="15">
        <v>747.40736640704256</v>
      </c>
      <c r="IC197" s="15">
        <v>767.00905550020059</v>
      </c>
      <c r="ID197" s="4">
        <v>0.79297092353679532</v>
      </c>
      <c r="IF197" s="6">
        <v>1133.9484206576174</v>
      </c>
      <c r="IJ197" s="6">
        <v>1901.7504470813547</v>
      </c>
      <c r="IK197" s="6">
        <v>12026.869913447876</v>
      </c>
      <c r="IN197" s="5">
        <v>76.215599999999995</v>
      </c>
      <c r="IP197" s="5">
        <v>76.215599999999995</v>
      </c>
      <c r="IQ197" s="6">
        <v>158105.24352191019</v>
      </c>
      <c r="IW197" s="2">
        <v>463</v>
      </c>
      <c r="IX197" s="16">
        <v>37.36</v>
      </c>
      <c r="IZ197" s="15">
        <v>500.36</v>
      </c>
      <c r="JC197" s="6">
        <v>5835</v>
      </c>
      <c r="JD197" s="6">
        <v>5835</v>
      </c>
      <c r="JE197" s="5">
        <v>35.004627249357327</v>
      </c>
      <c r="JG197" s="6">
        <v>125938</v>
      </c>
      <c r="JI197" s="5">
        <v>21.483078975368834</v>
      </c>
      <c r="JJ197" s="6">
        <v>16522</v>
      </c>
      <c r="JK197" s="5">
        <v>46.662026389057011</v>
      </c>
      <c r="JL197" s="4">
        <v>16.741284348141871</v>
      </c>
      <c r="JR197" s="6">
        <v>1163987</v>
      </c>
      <c r="JS197" s="4">
        <v>55.9</v>
      </c>
      <c r="JT197" s="2">
        <v>34.5</v>
      </c>
      <c r="JV197" s="6">
        <v>1306447</v>
      </c>
      <c r="JW197" s="2">
        <v>34.5</v>
      </c>
      <c r="JX197" s="6">
        <v>1419000</v>
      </c>
      <c r="JY197" s="2">
        <v>34.5</v>
      </c>
      <c r="KE197" s="6">
        <v>13809</v>
      </c>
      <c r="KF197" s="4">
        <v>88.130929104207397</v>
      </c>
      <c r="KG197" s="15">
        <v>289.8854370338185</v>
      </c>
      <c r="KI197" s="6">
        <v>13809</v>
      </c>
      <c r="KJ197" s="15">
        <v>289.8854370338185</v>
      </c>
      <c r="KL197" s="6">
        <v>79872</v>
      </c>
      <c r="KM197" s="4">
        <v>95.983573717948715</v>
      </c>
      <c r="KN197" s="15">
        <v>354.76964393028845</v>
      </c>
      <c r="KO197" s="6">
        <v>38147.5</v>
      </c>
      <c r="KP197" s="5">
        <v>95.817550298184685</v>
      </c>
      <c r="KQ197" s="15">
        <v>439.79639556982767</v>
      </c>
      <c r="KY197" s="6">
        <v>79669</v>
      </c>
      <c r="KZ197" s="4">
        <v>95.373357265686778</v>
      </c>
      <c r="LA197" s="15">
        <v>388.63920721987222</v>
      </c>
      <c r="LC197" s="6">
        <v>197688.5</v>
      </c>
      <c r="LD197" s="15">
        <v>388.63920721987222</v>
      </c>
      <c r="LE197" s="6">
        <v>212000</v>
      </c>
      <c r="LF197" s="2">
        <v>393.9</v>
      </c>
      <c r="LH197" s="6">
        <v>71618</v>
      </c>
      <c r="LI197" s="4">
        <v>92</v>
      </c>
      <c r="LJ197" s="15">
        <v>842.78087910860393</v>
      </c>
      <c r="LL197" s="6">
        <v>79872</v>
      </c>
      <c r="LM197" s="4">
        <v>64.519644064839028</v>
      </c>
      <c r="LN197" s="15">
        <v>354.76964393028845</v>
      </c>
      <c r="LO197" s="6">
        <v>50869</v>
      </c>
      <c r="LP197" s="5">
        <v>66.546860011385192</v>
      </c>
      <c r="LQ197" s="5">
        <v>142.709675834005</v>
      </c>
      <c r="LY197" s="6">
        <v>371754</v>
      </c>
      <c r="LZ197" s="4">
        <v>65.684834594920304</v>
      </c>
      <c r="MA197" s="15">
        <v>121.30615675957758</v>
      </c>
      <c r="MC197" s="6">
        <v>502495</v>
      </c>
      <c r="MD197" s="6">
        <v>501000</v>
      </c>
      <c r="ME197" s="2">
        <v>128.80000000000001</v>
      </c>
      <c r="MJ197" s="6">
        <v>739.5</v>
      </c>
      <c r="MK197" s="5">
        <v>90.060851926977691</v>
      </c>
      <c r="ML197" s="15">
        <v>495.18323191345502</v>
      </c>
      <c r="MN197" s="6">
        <v>17755</v>
      </c>
      <c r="MO197" s="4">
        <v>6.4110954660658965</v>
      </c>
      <c r="MP197" s="15">
        <v>509.55375950436496</v>
      </c>
      <c r="MQ197" s="6">
        <v>18494.5</v>
      </c>
      <c r="MR197" s="15">
        <v>508.97915596528696</v>
      </c>
      <c r="MS197" s="2">
        <v>46</v>
      </c>
      <c r="MT197" s="4">
        <v>7.8673913043478265</v>
      </c>
      <c r="MU197" s="6">
        <v>12742.717391304348</v>
      </c>
      <c r="MV197" s="6">
        <v>18700</v>
      </c>
      <c r="MW197" s="2">
        <v>512.20000000000005</v>
      </c>
      <c r="NA197" s="4">
        <v>5.7807017543859654E-2</v>
      </c>
      <c r="NB197" s="6">
        <v>8649.4688922610003</v>
      </c>
      <c r="NJ197" s="3">
        <v>5.7807017543859654E-2</v>
      </c>
      <c r="NK197" s="6">
        <v>8649.4688922610003</v>
      </c>
    </row>
    <row r="198" spans="1:375" x14ac:dyDescent="0.25">
      <c r="A198" s="2">
        <v>1986</v>
      </c>
      <c r="B198" s="6">
        <v>11123</v>
      </c>
      <c r="C198" s="2">
        <v>961</v>
      </c>
      <c r="D198" s="6">
        <v>1148</v>
      </c>
      <c r="E198" s="6">
        <v>2674</v>
      </c>
      <c r="F198" s="4">
        <v>2</v>
      </c>
      <c r="G198" s="6">
        <v>53876</v>
      </c>
      <c r="H198" s="6">
        <v>5296</v>
      </c>
      <c r="I198" s="6">
        <v>75080</v>
      </c>
      <c r="J198" s="6">
        <v>17818.327974276526</v>
      </c>
      <c r="K198" s="6">
        <v>73285.357308124992</v>
      </c>
      <c r="M198" s="6">
        <v>492098</v>
      </c>
      <c r="N198" s="6">
        <v>402200</v>
      </c>
      <c r="O198" s="2">
        <v>171</v>
      </c>
      <c r="P198" s="6">
        <v>100592</v>
      </c>
      <c r="Q198" s="4">
        <v>1.8</v>
      </c>
      <c r="R198" s="6">
        <v>9096</v>
      </c>
      <c r="S198" s="6">
        <v>14717</v>
      </c>
      <c r="T198" s="6">
        <v>1022761</v>
      </c>
      <c r="U198" s="15">
        <v>264.58</v>
      </c>
      <c r="V198" s="6">
        <v>1016087</v>
      </c>
      <c r="X198" s="6">
        <v>7785000</v>
      </c>
      <c r="Z198" s="6">
        <v>6207</v>
      </c>
      <c r="AA198" s="6">
        <v>19627130</v>
      </c>
      <c r="AB198" s="34">
        <v>5058964</v>
      </c>
      <c r="AC198" s="6">
        <f t="shared" si="358"/>
        <v>32477301</v>
      </c>
      <c r="AE198" s="5">
        <v>39.403926063906006</v>
      </c>
      <c r="AG198" s="6">
        <v>2665758</v>
      </c>
      <c r="AI198" s="6">
        <v>5442790</v>
      </c>
      <c r="AJ198" s="6">
        <v>1314452</v>
      </c>
      <c r="AK198" s="6">
        <v>9423000</v>
      </c>
      <c r="AL198" s="15">
        <v>185.6</v>
      </c>
      <c r="AN198" s="6">
        <v>66134000</v>
      </c>
      <c r="AO198" s="6">
        <v>80310000</v>
      </c>
      <c r="AQ198" s="6">
        <v>555000</v>
      </c>
      <c r="AR198" s="6">
        <v>2368000</v>
      </c>
      <c r="AS198" s="6">
        <v>3831000</v>
      </c>
      <c r="AT198" s="6">
        <v>153198000</v>
      </c>
      <c r="AU198" s="2">
        <v>57.49</v>
      </c>
      <c r="AW198" s="6">
        <v>36086934</v>
      </c>
      <c r="AZ198" s="6">
        <v>1028.8521377833824</v>
      </c>
      <c r="BC198" s="2">
        <v>484</v>
      </c>
      <c r="BD198" s="5">
        <v>8.6095100000000002</v>
      </c>
      <c r="BE198" s="6">
        <v>1521.4616477833824</v>
      </c>
      <c r="BF198" s="6">
        <v>11496.194214876034</v>
      </c>
      <c r="BH198" s="6">
        <v>175959</v>
      </c>
      <c r="BI198" s="6">
        <v>32548</v>
      </c>
      <c r="BK198" s="6">
        <v>28761</v>
      </c>
      <c r="BL198" s="6">
        <v>4893</v>
      </c>
      <c r="BM198" s="6">
        <v>3592</v>
      </c>
      <c r="BN198" s="6">
        <v>2615</v>
      </c>
      <c r="BO198" s="6">
        <v>248368</v>
      </c>
      <c r="BP198" s="6">
        <v>2111.1999999999998</v>
      </c>
      <c r="BQ198" s="6">
        <v>245773.97</v>
      </c>
      <c r="BT198" s="6">
        <v>29237832</v>
      </c>
      <c r="BV198" s="6">
        <v>29237832</v>
      </c>
      <c r="BW198" s="4">
        <v>8.790347631791283</v>
      </c>
      <c r="BX198" s="6">
        <v>29237832</v>
      </c>
      <c r="BZ198" s="6">
        <f>11816+20679</f>
        <v>32495</v>
      </c>
      <c r="CA198" s="6">
        <v>7279</v>
      </c>
      <c r="CC198" s="6">
        <v>2190000</v>
      </c>
      <c r="CD198" s="6">
        <v>1976949</v>
      </c>
      <c r="CE198" s="6">
        <v>81290940</v>
      </c>
      <c r="CG198" s="6">
        <v>85497663</v>
      </c>
      <c r="CH198" s="4">
        <v>24.33</v>
      </c>
      <c r="CM198" s="2">
        <v>177</v>
      </c>
      <c r="CP198" s="6">
        <v>1648921</v>
      </c>
      <c r="CQ198" s="6">
        <v>3984</v>
      </c>
      <c r="CR198" s="6">
        <v>1653082</v>
      </c>
      <c r="CS198" s="2">
        <v>138</v>
      </c>
      <c r="CT198" s="6">
        <v>1648921</v>
      </c>
      <c r="CV198" s="6">
        <v>22326.799629868186</v>
      </c>
      <c r="CX198" s="6">
        <v>46940.743000000002</v>
      </c>
      <c r="CY198" s="6">
        <v>69267.542629868185</v>
      </c>
      <c r="DA198" s="6">
        <v>5813.7</v>
      </c>
      <c r="DB198" s="6">
        <v>71974.799629868183</v>
      </c>
      <c r="DD198" s="6">
        <v>192841</v>
      </c>
      <c r="DE198" s="6">
        <v>210696</v>
      </c>
      <c r="DG198" s="6">
        <v>37754</v>
      </c>
      <c r="DH198" s="4">
        <v>4</v>
      </c>
      <c r="DJ198" s="6">
        <v>6378</v>
      </c>
      <c r="DK198" s="6">
        <v>447673</v>
      </c>
      <c r="DL198" s="15">
        <v>604.5</v>
      </c>
      <c r="DM198" s="6">
        <v>456340.5</v>
      </c>
      <c r="DO198" s="6">
        <v>252734</v>
      </c>
      <c r="DP198" s="6">
        <v>320716</v>
      </c>
      <c r="DR198" s="6">
        <v>95267</v>
      </c>
      <c r="DS198" s="6">
        <v>62708</v>
      </c>
      <c r="DT198" s="6">
        <v>23969</v>
      </c>
      <c r="DU198" s="6">
        <v>18157</v>
      </c>
      <c r="DV198" s="6">
        <v>773551</v>
      </c>
      <c r="DW198" s="6">
        <v>1242.3</v>
      </c>
      <c r="DX198" s="6">
        <v>719916.31400000001</v>
      </c>
      <c r="DZ198" s="6">
        <v>1227</v>
      </c>
      <c r="EA198" s="6">
        <v>1280</v>
      </c>
      <c r="EC198" s="6">
        <v>4383.0000000000009</v>
      </c>
      <c r="ED198" s="15">
        <v>520.32999999999993</v>
      </c>
      <c r="EE198" s="5">
        <v>39.050445103857562</v>
      </c>
      <c r="EF198" s="6">
        <v>7449.3804451038586</v>
      </c>
      <c r="EG198" s="6">
        <v>11581</v>
      </c>
      <c r="EL198" s="6">
        <v>4898.8999999999996</v>
      </c>
      <c r="EM198" s="6">
        <v>4898.8999999999996</v>
      </c>
      <c r="EN198" s="6">
        <v>92210</v>
      </c>
      <c r="EO198" s="6">
        <v>4510.8999999999996</v>
      </c>
      <c r="EZ198" s="15">
        <v>821.6</v>
      </c>
      <c r="FC198" s="6">
        <v>13004</v>
      </c>
      <c r="FF198" s="6">
        <v>13825.6</v>
      </c>
      <c r="FG198" s="6">
        <v>3854.4204040693512</v>
      </c>
      <c r="FI198" s="200"/>
      <c r="FJ198" s="200"/>
      <c r="FK198" s="200"/>
      <c r="FL198" s="200"/>
      <c r="FN198" s="15">
        <v>974.35162630749392</v>
      </c>
      <c r="FZ198" s="15">
        <v>511.78259999999995</v>
      </c>
      <c r="GB198" s="15">
        <v>511.78259999999995</v>
      </c>
      <c r="GC198" s="6">
        <v>5240.9597356377499</v>
      </c>
      <c r="GN198" s="6">
        <v>42362</v>
      </c>
      <c r="GQ198" s="6">
        <v>8346</v>
      </c>
      <c r="GS198" s="115">
        <v>1250000</v>
      </c>
      <c r="GT198" s="6">
        <v>1300708</v>
      </c>
      <c r="GU198" s="5">
        <v>30.470721712331088</v>
      </c>
      <c r="HL198" s="15">
        <v>114.521</v>
      </c>
      <c r="HM198" s="15">
        <v>428.33499999999998</v>
      </c>
      <c r="HO198" s="15">
        <v>114.521</v>
      </c>
      <c r="HP198" s="15">
        <v>428.33499999999998</v>
      </c>
      <c r="HW198" s="15">
        <v>294</v>
      </c>
      <c r="HY198" s="6">
        <v>8848.1999999999989</v>
      </c>
      <c r="HZ198" s="6">
        <f t="shared" si="363"/>
        <v>9142.1999999999989</v>
      </c>
      <c r="IA198" s="15">
        <v>941.81440834380817</v>
      </c>
      <c r="IC198" s="15">
        <v>698.24261701108969</v>
      </c>
      <c r="ID198" s="4">
        <v>2.3789127706103859</v>
      </c>
      <c r="IF198" s="6">
        <v>1141.0851589694485</v>
      </c>
      <c r="IJ198" s="6">
        <v>1841.7066887511487</v>
      </c>
      <c r="IK198" s="6">
        <v>10130.391173520562</v>
      </c>
      <c r="IN198" s="5">
        <v>88.918199999999999</v>
      </c>
      <c r="IP198" s="5">
        <v>88.918199999999999</v>
      </c>
      <c r="IQ198" s="6">
        <v>133201.96668410956</v>
      </c>
      <c r="IW198" s="2">
        <v>396</v>
      </c>
      <c r="IX198" s="16">
        <v>33.115000000000002</v>
      </c>
      <c r="IZ198" s="15">
        <v>429.11500000000001</v>
      </c>
      <c r="JC198" s="6">
        <v>9724</v>
      </c>
      <c r="JD198" s="6">
        <v>9724</v>
      </c>
      <c r="JE198" s="5">
        <v>35</v>
      </c>
      <c r="JG198" s="6">
        <v>195840</v>
      </c>
      <c r="JI198" s="5">
        <v>18.763311887254901</v>
      </c>
      <c r="JJ198" s="6">
        <v>18602</v>
      </c>
      <c r="JK198" s="5">
        <v>46.003117944307064</v>
      </c>
      <c r="JL198" s="4">
        <v>18.433555531663263</v>
      </c>
      <c r="JR198" s="6">
        <v>946368</v>
      </c>
      <c r="JS198" s="4">
        <v>56.368747199820788</v>
      </c>
      <c r="JT198" s="2">
        <v>46.9</v>
      </c>
      <c r="JV198" s="6">
        <v>1160810</v>
      </c>
      <c r="JW198" s="2">
        <v>46.9</v>
      </c>
      <c r="JX198" s="6">
        <v>1238000</v>
      </c>
      <c r="JY198" s="2">
        <v>46.9</v>
      </c>
      <c r="KE198" s="6">
        <v>14143</v>
      </c>
      <c r="KF198" s="4">
        <v>90.030403733295628</v>
      </c>
      <c r="KG198" s="15">
        <v>375.81708265573076</v>
      </c>
      <c r="KI198" s="6">
        <v>14143</v>
      </c>
      <c r="KJ198" s="15">
        <v>375.81708265573076</v>
      </c>
      <c r="KL198" s="6">
        <v>100397</v>
      </c>
      <c r="KM198" s="4">
        <v>95.987927926133253</v>
      </c>
      <c r="KN198" s="15">
        <v>439.47264360488862</v>
      </c>
      <c r="KO198" s="6">
        <v>46047.5</v>
      </c>
      <c r="KP198" s="5">
        <v>95.760899071610837</v>
      </c>
      <c r="KQ198" s="15">
        <v>553.34489385960148</v>
      </c>
      <c r="KY198" s="6">
        <v>69887</v>
      </c>
      <c r="KZ198" s="4">
        <v>95.308140283600665</v>
      </c>
      <c r="LA198" s="15">
        <v>504.94511139410764</v>
      </c>
      <c r="LC198" s="6">
        <v>216331.5</v>
      </c>
      <c r="LD198" s="15">
        <v>504.94511139410764</v>
      </c>
      <c r="LE198" s="6">
        <v>216000</v>
      </c>
      <c r="LF198" s="2">
        <v>506.1</v>
      </c>
      <c r="LH198" s="6">
        <v>58874</v>
      </c>
      <c r="LI198" s="4">
        <v>92</v>
      </c>
      <c r="LJ198" s="6">
        <v>1113.9231069742161</v>
      </c>
      <c r="LL198" s="6">
        <v>100397</v>
      </c>
      <c r="LM198" s="4">
        <v>64.52257094025498</v>
      </c>
      <c r="LN198" s="15">
        <v>439.47264360488862</v>
      </c>
      <c r="LO198" s="6">
        <v>52445</v>
      </c>
      <c r="LP198" s="5">
        <v>66.547205566826435</v>
      </c>
      <c r="LQ198" s="5">
        <v>191.91597864429403</v>
      </c>
      <c r="LY198" s="6">
        <v>319192</v>
      </c>
      <c r="LZ198" s="4">
        <v>56.867966615704653</v>
      </c>
      <c r="MA198" s="15">
        <v>160.29170217298679</v>
      </c>
      <c r="MC198" s="6">
        <v>472034</v>
      </c>
      <c r="MD198" s="6">
        <v>452000</v>
      </c>
      <c r="ME198" s="5">
        <v>167</v>
      </c>
      <c r="MJ198" s="6">
        <v>490</v>
      </c>
      <c r="MK198" s="5">
        <v>90.102040816326536</v>
      </c>
      <c r="ML198" s="15">
        <v>592.45000000000005</v>
      </c>
      <c r="MN198" s="6">
        <v>14747</v>
      </c>
      <c r="MO198" s="4">
        <v>6.4716891571167015</v>
      </c>
      <c r="MP198" s="15">
        <v>642.2143486810877</v>
      </c>
      <c r="MQ198" s="6">
        <v>15237</v>
      </c>
      <c r="MR198" s="15">
        <v>640.6139988186651</v>
      </c>
      <c r="MS198" s="2">
        <v>41</v>
      </c>
      <c r="MT198" s="4">
        <v>30</v>
      </c>
      <c r="MU198" s="6">
        <v>8186.8780487804879</v>
      </c>
      <c r="MV198" s="6">
        <v>14800</v>
      </c>
      <c r="MW198" s="2">
        <v>651.1</v>
      </c>
    </row>
    <row r="199" spans="1:375" x14ac:dyDescent="0.25">
      <c r="A199" s="2">
        <v>1987</v>
      </c>
      <c r="B199" s="6">
        <v>15495</v>
      </c>
      <c r="C199" s="6">
        <v>4201</v>
      </c>
      <c r="D199" s="6">
        <v>1206</v>
      </c>
      <c r="E199" s="6">
        <v>2225</v>
      </c>
      <c r="F199" s="4">
        <v>1</v>
      </c>
      <c r="G199" s="6">
        <v>78438</v>
      </c>
      <c r="H199" s="6">
        <v>9129</v>
      </c>
      <c r="I199" s="6">
        <v>110695</v>
      </c>
      <c r="J199" s="6">
        <v>20552.411575562699</v>
      </c>
      <c r="K199" s="6">
        <v>112547.25965483331</v>
      </c>
      <c r="M199" s="6">
        <v>552250</v>
      </c>
      <c r="N199" s="6">
        <v>414862</v>
      </c>
      <c r="O199" s="2">
        <v>178</v>
      </c>
      <c r="P199" s="6">
        <v>112949</v>
      </c>
      <c r="Q199" s="4">
        <v>2.1</v>
      </c>
      <c r="R199" s="6">
        <v>11353</v>
      </c>
      <c r="S199" s="6">
        <v>26064</v>
      </c>
      <c r="T199" s="6">
        <v>1119300</v>
      </c>
      <c r="U199" s="15">
        <v>325.83</v>
      </c>
      <c r="V199" s="6">
        <v>935490.93666666665</v>
      </c>
      <c r="X199" s="6">
        <v>8015000</v>
      </c>
      <c r="Z199" s="6">
        <v>6535</v>
      </c>
      <c r="AA199" s="6">
        <v>20925911</v>
      </c>
      <c r="AB199" s="34">
        <v>5244698</v>
      </c>
      <c r="AC199" s="6">
        <f t="shared" si="358"/>
        <v>34192144</v>
      </c>
      <c r="AE199" s="5">
        <v>35.254955363897714</v>
      </c>
      <c r="AG199" s="6">
        <v>2708237</v>
      </c>
      <c r="AI199" s="6">
        <v>5928763</v>
      </c>
      <c r="AJ199" s="6">
        <v>1472000</v>
      </c>
      <c r="AK199" s="6">
        <v>10109000</v>
      </c>
      <c r="AL199" s="15">
        <v>186.1</v>
      </c>
      <c r="AN199" s="6">
        <v>68492000</v>
      </c>
      <c r="AO199" s="6">
        <v>83605000</v>
      </c>
      <c r="AQ199" s="6">
        <v>621000</v>
      </c>
      <c r="AR199" s="6">
        <v>2521000</v>
      </c>
      <c r="AS199" s="6">
        <v>3721000</v>
      </c>
      <c r="AT199" s="6">
        <v>158960000</v>
      </c>
      <c r="AU199" s="2">
        <v>55.46</v>
      </c>
      <c r="AW199" s="6">
        <v>41730781</v>
      </c>
      <c r="AZ199" s="15">
        <v>990.91133087399578</v>
      </c>
      <c r="BC199" s="2">
        <v>368</v>
      </c>
      <c r="BD199" s="5">
        <v>11.526233815057552</v>
      </c>
      <c r="BE199" s="6">
        <v>1370.4375646890533</v>
      </c>
      <c r="BF199" s="6">
        <v>5049.701086956522</v>
      </c>
      <c r="BH199" s="6">
        <v>171710</v>
      </c>
      <c r="BI199" s="6">
        <v>31014</v>
      </c>
      <c r="BK199" s="6">
        <v>27061</v>
      </c>
      <c r="BM199" s="6">
        <v>2910</v>
      </c>
      <c r="BN199" s="2">
        <v>412</v>
      </c>
      <c r="BO199" s="6">
        <v>232695</v>
      </c>
      <c r="BP199" s="6">
        <v>2559.6999999999998</v>
      </c>
      <c r="BQ199" s="6">
        <v>249704.76</v>
      </c>
      <c r="BT199" s="6">
        <v>30332677</v>
      </c>
      <c r="BV199" s="6">
        <v>30332677</v>
      </c>
      <c r="BW199" s="4">
        <v>8.1273752500725234</v>
      </c>
      <c r="BX199" s="6">
        <v>30332677</v>
      </c>
      <c r="BZ199" s="6">
        <f>9372+20344</f>
        <v>29716</v>
      </c>
      <c r="CA199" s="6">
        <v>9996</v>
      </c>
      <c r="CC199" s="6">
        <v>1861000</v>
      </c>
      <c r="CD199" s="6">
        <v>1995043</v>
      </c>
      <c r="CE199" s="6">
        <v>84122743</v>
      </c>
      <c r="CG199" s="6">
        <v>88018498</v>
      </c>
      <c r="CH199" s="4">
        <v>21.54</v>
      </c>
      <c r="CM199" s="2">
        <v>116</v>
      </c>
      <c r="CP199" s="6">
        <v>1853279</v>
      </c>
      <c r="CQ199" s="6">
        <v>5175.1695314525114</v>
      </c>
      <c r="CR199" s="6">
        <v>1858570.1695314525</v>
      </c>
      <c r="CS199" s="2">
        <v>128</v>
      </c>
      <c r="CT199" s="6">
        <v>1853279</v>
      </c>
      <c r="CV199" s="6">
        <v>21116.695145104375</v>
      </c>
      <c r="CX199" s="6">
        <v>46929.872300000003</v>
      </c>
      <c r="CY199" s="6">
        <v>68046.567445104374</v>
      </c>
      <c r="DA199" s="6">
        <v>6973.9</v>
      </c>
      <c r="DB199" s="6">
        <v>68674.695145104371</v>
      </c>
      <c r="DD199" s="6">
        <v>213035</v>
      </c>
      <c r="DE199" s="6">
        <v>229758</v>
      </c>
      <c r="DG199" s="6">
        <v>35969</v>
      </c>
      <c r="DH199" s="4">
        <v>3</v>
      </c>
      <c r="DJ199" s="6">
        <v>10385</v>
      </c>
      <c r="DK199" s="6">
        <v>489150</v>
      </c>
      <c r="DL199" s="15">
        <v>867.6</v>
      </c>
      <c r="DM199" s="6">
        <v>469057.8666666667</v>
      </c>
      <c r="DO199" s="6">
        <v>253004</v>
      </c>
      <c r="DP199" s="6">
        <v>401673</v>
      </c>
      <c r="DR199" s="6">
        <v>86142</v>
      </c>
      <c r="DS199" s="6">
        <v>43725</v>
      </c>
      <c r="DU199" s="6">
        <v>20077</v>
      </c>
      <c r="DV199" s="6">
        <v>804621</v>
      </c>
      <c r="DW199" s="6">
        <v>1249.3</v>
      </c>
      <c r="DX199" s="6">
        <v>744846.77</v>
      </c>
      <c r="DZ199" s="2">
        <v>698</v>
      </c>
      <c r="EA199" s="2">
        <v>249</v>
      </c>
      <c r="EC199" s="6">
        <v>6864</v>
      </c>
      <c r="ED199" s="15">
        <v>453.9</v>
      </c>
      <c r="EE199" s="5">
        <v>41.543026706231458</v>
      </c>
      <c r="EF199" s="6">
        <v>8306.4430267062307</v>
      </c>
      <c r="EG199" s="6">
        <v>12004</v>
      </c>
      <c r="EL199" s="6">
        <v>3615.8</v>
      </c>
      <c r="EM199" s="6">
        <v>3615.8</v>
      </c>
      <c r="EN199" s="6">
        <v>89140</v>
      </c>
      <c r="EO199" s="6">
        <v>4192.7</v>
      </c>
      <c r="EZ199" s="15">
        <v>647.11599999999987</v>
      </c>
      <c r="FC199" s="6">
        <v>11105</v>
      </c>
      <c r="FF199" s="6">
        <v>11752.116</v>
      </c>
      <c r="FG199" s="6">
        <v>3707.0661219549097</v>
      </c>
      <c r="FI199" s="200"/>
      <c r="FJ199" s="200"/>
      <c r="FK199" s="200"/>
      <c r="FL199" s="200"/>
      <c r="FN199" s="15">
        <v>995.61204418217574</v>
      </c>
      <c r="FZ199" s="15">
        <v>991.26</v>
      </c>
      <c r="GB199" s="15">
        <v>991.26</v>
      </c>
      <c r="GC199" s="6">
        <v>3349.7911748683496</v>
      </c>
      <c r="GN199" s="6">
        <v>10075</v>
      </c>
      <c r="GQ199" s="6">
        <v>4666</v>
      </c>
      <c r="GS199" s="115">
        <v>1200000</v>
      </c>
      <c r="GT199" s="6">
        <v>1214741</v>
      </c>
      <c r="GU199" s="5">
        <v>14.500025763899623</v>
      </c>
      <c r="HL199" s="5">
        <v>84.459000000000003</v>
      </c>
      <c r="HM199" s="15">
        <v>450.54</v>
      </c>
      <c r="HO199" s="5">
        <v>84.459000000000003</v>
      </c>
      <c r="HP199" s="15">
        <v>450.54</v>
      </c>
      <c r="HV199" s="2">
        <v>1.2</v>
      </c>
      <c r="HW199" s="15">
        <v>422.7</v>
      </c>
      <c r="HY199" s="6">
        <v>7059.5999999999995</v>
      </c>
      <c r="HZ199" s="6">
        <f t="shared" si="363"/>
        <v>7483.4999999999991</v>
      </c>
      <c r="IA199" s="6">
        <v>1062.1395053646299</v>
      </c>
      <c r="IC199" s="15">
        <v>131.47457912240068</v>
      </c>
      <c r="ID199" s="4">
        <v>1.5859418470735906</v>
      </c>
      <c r="IF199" s="15">
        <v>943.63539900878641</v>
      </c>
      <c r="IJ199" s="6">
        <v>1076.6959199782607</v>
      </c>
      <c r="IK199" s="6">
        <v>9608.1101528219097</v>
      </c>
      <c r="IN199" s="5">
        <v>78.332700000000003</v>
      </c>
      <c r="IP199" s="5">
        <v>78.332700000000003</v>
      </c>
      <c r="IQ199" s="6">
        <v>144541.10704110705</v>
      </c>
      <c r="IW199" s="15">
        <v>489.02195440629401</v>
      </c>
      <c r="IX199" s="16">
        <v>50.890999999999998</v>
      </c>
      <c r="IZ199" s="15">
        <v>539.91295440629403</v>
      </c>
      <c r="JC199" s="6">
        <v>16837</v>
      </c>
      <c r="JD199" s="6">
        <v>16837</v>
      </c>
      <c r="JE199" s="5">
        <v>35.222604977133692</v>
      </c>
      <c r="JG199" s="6">
        <v>311021</v>
      </c>
      <c r="JH199" s="4">
        <v>51.000286849977464</v>
      </c>
      <c r="JI199" s="5">
        <v>30.376013195250483</v>
      </c>
      <c r="JJ199" s="6">
        <v>17451</v>
      </c>
      <c r="JK199" s="5">
        <v>46.077588676866654</v>
      </c>
      <c r="JL199" s="4">
        <v>19.759182854850724</v>
      </c>
      <c r="JR199" s="6">
        <v>996074</v>
      </c>
      <c r="JS199" s="2">
        <v>56.07</v>
      </c>
      <c r="JT199" s="5">
        <v>62.428385842818905</v>
      </c>
      <c r="JV199" s="6">
        <v>1324546</v>
      </c>
      <c r="JW199" s="5">
        <v>62.428385842818905</v>
      </c>
      <c r="JX199" s="6">
        <v>1498000</v>
      </c>
      <c r="JY199" s="2">
        <v>58.3</v>
      </c>
      <c r="KE199" s="6">
        <v>11290</v>
      </c>
      <c r="KF199" s="4">
        <v>90.451727192205496</v>
      </c>
      <c r="KG199" s="15">
        <v>413.08237378210805</v>
      </c>
      <c r="KI199" s="6">
        <v>11290</v>
      </c>
      <c r="KJ199" s="15">
        <v>413.08237378210805</v>
      </c>
      <c r="KL199" s="6">
        <v>107905</v>
      </c>
      <c r="KM199" s="4">
        <v>95.489550993929839</v>
      </c>
      <c r="KN199" s="15">
        <v>544.22471618553357</v>
      </c>
      <c r="KO199" s="6">
        <v>53290</v>
      </c>
      <c r="KP199" s="5">
        <v>95.651154062675928</v>
      </c>
      <c r="KQ199" s="15">
        <v>553.90260836930008</v>
      </c>
      <c r="KY199" s="6">
        <v>85630</v>
      </c>
      <c r="KZ199" s="4">
        <v>95.111526334228657</v>
      </c>
      <c r="LA199" s="15">
        <v>596.2446922807427</v>
      </c>
      <c r="LC199" s="6">
        <v>246825</v>
      </c>
      <c r="LD199" s="15">
        <v>596.2446922807427</v>
      </c>
      <c r="LE199" s="6">
        <v>246000</v>
      </c>
      <c r="LF199" s="2">
        <v>583.70000000000005</v>
      </c>
      <c r="LH199" s="6">
        <v>134866</v>
      </c>
      <c r="LI199" s="4">
        <v>92</v>
      </c>
      <c r="LJ199" s="15">
        <v>370.66785550101582</v>
      </c>
      <c r="LL199" s="6">
        <v>107905</v>
      </c>
      <c r="LM199" s="4">
        <v>64.187564636255715</v>
      </c>
      <c r="LN199" s="15">
        <v>544.22471618553357</v>
      </c>
      <c r="LO199" s="6">
        <v>50565</v>
      </c>
      <c r="LP199" s="5">
        <v>66.547469057616311</v>
      </c>
      <c r="LQ199" s="5">
        <v>342.26114901611788</v>
      </c>
      <c r="LY199" s="6">
        <v>320163</v>
      </c>
      <c r="LZ199" s="4">
        <v>65.714651599341579</v>
      </c>
      <c r="MA199" s="15">
        <v>216.60074087261802</v>
      </c>
      <c r="MC199" s="6">
        <v>478633</v>
      </c>
      <c r="MD199" s="6">
        <v>466000</v>
      </c>
      <c r="ME199" s="2">
        <v>233.1</v>
      </c>
      <c r="MG199" s="2">
        <v>2</v>
      </c>
      <c r="MI199" s="2">
        <v>650</v>
      </c>
      <c r="MJ199" s="6">
        <v>704.5</v>
      </c>
      <c r="MK199" s="5">
        <v>89.992902767920512</v>
      </c>
      <c r="ML199" s="15">
        <v>621.94393186657203</v>
      </c>
      <c r="MN199" s="6">
        <v>11766</v>
      </c>
      <c r="MO199" s="4">
        <v>6.4704232534421218</v>
      </c>
      <c r="MP199" s="15">
        <v>722.56178820329762</v>
      </c>
      <c r="MQ199" s="6">
        <v>12472.5</v>
      </c>
      <c r="MR199" s="15">
        <v>716.86682701944278</v>
      </c>
      <c r="MS199" s="2">
        <v>5</v>
      </c>
      <c r="MT199" s="4">
        <v>31.7</v>
      </c>
      <c r="MU199" s="6">
        <v>7688.8</v>
      </c>
      <c r="MV199" s="6">
        <v>12800</v>
      </c>
      <c r="MW199" s="2">
        <v>735.2</v>
      </c>
    </row>
    <row r="200" spans="1:375" x14ac:dyDescent="0.25">
      <c r="A200" s="2">
        <v>1988</v>
      </c>
      <c r="B200" s="6">
        <v>24780</v>
      </c>
      <c r="C200" s="6">
        <v>5630</v>
      </c>
      <c r="D200" s="6">
        <v>1770</v>
      </c>
      <c r="E200" s="6">
        <v>2029.9999999999998</v>
      </c>
      <c r="F200" s="5">
        <v>10</v>
      </c>
      <c r="G200" s="6">
        <v>110750</v>
      </c>
      <c r="H200" s="6">
        <v>11970</v>
      </c>
      <c r="I200" s="6">
        <v>156940</v>
      </c>
      <c r="J200" s="6">
        <v>17920.900321543406</v>
      </c>
      <c r="K200" s="6">
        <v>148912.71966398615</v>
      </c>
      <c r="M200" s="6">
        <v>487531</v>
      </c>
      <c r="N200" s="6">
        <v>437591</v>
      </c>
      <c r="P200" s="6">
        <v>126884</v>
      </c>
      <c r="R200" s="6">
        <v>21782</v>
      </c>
      <c r="S200" s="6">
        <v>43898</v>
      </c>
      <c r="T200" s="6">
        <v>1113569</v>
      </c>
      <c r="U200" s="15">
        <v>275.75</v>
      </c>
      <c r="V200" s="6">
        <v>947755.12799999991</v>
      </c>
      <c r="X200" s="6">
        <v>8977000</v>
      </c>
      <c r="Z200" s="6">
        <v>7345</v>
      </c>
      <c r="AA200" s="6">
        <v>21270883</v>
      </c>
      <c r="AB200" s="34">
        <v>7503028.5549466405</v>
      </c>
      <c r="AC200" s="6">
        <f t="shared" si="358"/>
        <v>37758256.554946639</v>
      </c>
      <c r="AE200" s="5">
        <v>32.911043789589648</v>
      </c>
      <c r="AG200" s="6">
        <v>2880586</v>
      </c>
      <c r="AI200" s="6">
        <v>6176414</v>
      </c>
      <c r="AJ200" s="6">
        <v>1461000</v>
      </c>
      <c r="AK200" s="6">
        <v>10518000</v>
      </c>
      <c r="AL200" s="15">
        <v>215.6</v>
      </c>
      <c r="AN200" s="6">
        <v>87638764.308407992</v>
      </c>
      <c r="AO200" s="6">
        <v>79787000</v>
      </c>
      <c r="AQ200" s="6">
        <v>648000</v>
      </c>
      <c r="AR200" s="6">
        <v>2534000</v>
      </c>
      <c r="AS200" s="6">
        <v>3789743</v>
      </c>
      <c r="AT200" s="6">
        <v>174397507.30840799</v>
      </c>
      <c r="AU200" s="2">
        <v>46.61</v>
      </c>
      <c r="AW200" s="6">
        <v>44429772</v>
      </c>
      <c r="AZ200" s="15">
        <v>849.12466651860314</v>
      </c>
      <c r="BC200" s="2">
        <v>287</v>
      </c>
      <c r="BE200" s="6">
        <v>1136.1246665186031</v>
      </c>
      <c r="BF200" s="6">
        <v>15527.574912891987</v>
      </c>
      <c r="BH200" s="6">
        <v>156335</v>
      </c>
      <c r="BI200" s="6">
        <v>31786</v>
      </c>
      <c r="BK200" s="6">
        <v>23258</v>
      </c>
      <c r="BL200" s="6">
        <v>8449</v>
      </c>
      <c r="BM200" s="6">
        <v>12726</v>
      </c>
      <c r="BN200" s="6">
        <v>5763</v>
      </c>
      <c r="BO200" s="6">
        <v>238317</v>
      </c>
      <c r="BP200" s="6">
        <v>3319.4</v>
      </c>
      <c r="BQ200" s="6">
        <v>237338.33319999999</v>
      </c>
      <c r="BT200" s="6">
        <v>35050000</v>
      </c>
      <c r="BV200" s="6">
        <v>35050000</v>
      </c>
      <c r="BW200" s="4">
        <v>8.5885337319153319</v>
      </c>
      <c r="BX200" s="6">
        <v>35050000</v>
      </c>
      <c r="BZ200" s="6">
        <f>9840+22406</f>
        <v>32246</v>
      </c>
      <c r="CA200" s="6">
        <v>3901</v>
      </c>
      <c r="CC200" s="6">
        <v>2534624.5209472957</v>
      </c>
      <c r="CD200" s="6">
        <v>2062504</v>
      </c>
      <c r="CE200" s="6">
        <v>98319089</v>
      </c>
      <c r="CG200" s="6">
        <v>102952364.52094729</v>
      </c>
      <c r="CH200" s="4">
        <v>18.68</v>
      </c>
      <c r="CM200" s="2">
        <v>120</v>
      </c>
      <c r="CP200" s="6">
        <v>1976087</v>
      </c>
      <c r="CR200" s="6">
        <v>1976207</v>
      </c>
      <c r="CS200" s="2">
        <v>165</v>
      </c>
      <c r="CT200" s="6">
        <v>1976087</v>
      </c>
      <c r="CV200" s="6">
        <v>18782.955177677359</v>
      </c>
      <c r="CX200" s="6">
        <v>36296.249400000001</v>
      </c>
      <c r="CY200" s="6">
        <v>55079.204577677359</v>
      </c>
      <c r="DA200" s="6">
        <v>18164.3</v>
      </c>
      <c r="DB200" s="6">
        <v>58119.455177677359</v>
      </c>
      <c r="DD200" s="6">
        <v>190000</v>
      </c>
      <c r="DE200" s="6">
        <v>223953</v>
      </c>
      <c r="DG200" s="6">
        <v>42267</v>
      </c>
      <c r="DJ200" s="6">
        <v>15845</v>
      </c>
      <c r="DK200" s="6">
        <v>472065</v>
      </c>
      <c r="DL200" s="15">
        <v>885.7</v>
      </c>
      <c r="DM200" s="6">
        <v>445598.663</v>
      </c>
      <c r="DO200" s="6">
        <v>245000</v>
      </c>
      <c r="DP200" s="6">
        <v>373520</v>
      </c>
      <c r="DR200" s="6">
        <v>101226</v>
      </c>
      <c r="DS200" s="6">
        <v>21718</v>
      </c>
      <c r="DT200" s="6">
        <v>20250</v>
      </c>
      <c r="DU200" s="6">
        <v>25508</v>
      </c>
      <c r="DV200" s="6">
        <v>787222</v>
      </c>
      <c r="DW200" s="6">
        <v>1560.7</v>
      </c>
      <c r="DX200" s="6">
        <v>650805.5</v>
      </c>
      <c r="DZ200" s="2">
        <v>330</v>
      </c>
      <c r="EA200" s="2">
        <v>3</v>
      </c>
      <c r="EC200" s="6">
        <v>6222</v>
      </c>
      <c r="ED200" s="15">
        <v>262.2</v>
      </c>
      <c r="EE200" s="5">
        <v>26.587537091988128</v>
      </c>
      <c r="EF200" s="6">
        <v>6843.7875370919883</v>
      </c>
      <c r="EG200" s="6">
        <v>11299</v>
      </c>
      <c r="EJ200" s="2">
        <v>452</v>
      </c>
      <c r="EL200" s="6">
        <v>4290.5</v>
      </c>
      <c r="EM200" s="6">
        <v>4742.5</v>
      </c>
      <c r="EN200" s="6">
        <v>90290</v>
      </c>
      <c r="EO200" s="6">
        <v>4128.21</v>
      </c>
      <c r="EY200" s="2">
        <v>13</v>
      </c>
      <c r="EZ200" s="15">
        <v>860.16000000000008</v>
      </c>
      <c r="FF200" s="15">
        <v>873.16000000000008</v>
      </c>
      <c r="FG200" s="6">
        <v>3153.4012668686314</v>
      </c>
      <c r="FI200" s="200"/>
      <c r="FJ200" s="200"/>
      <c r="FK200" s="200"/>
      <c r="FL200" s="200"/>
      <c r="FM200" s="15">
        <f>(2*55.9961/(55.845+2*55.9961+4*15.999))*540</f>
        <v>260.85904866084752</v>
      </c>
      <c r="FN200" s="6">
        <v>1445.882676948499</v>
      </c>
      <c r="FZ200" s="6">
        <v>1643.76</v>
      </c>
      <c r="GB200" s="6">
        <v>1643.76</v>
      </c>
      <c r="GC200" s="6">
        <v>2903.6221832870979</v>
      </c>
      <c r="GN200" s="6">
        <v>5423</v>
      </c>
      <c r="GQ200" s="6">
        <v>5997</v>
      </c>
      <c r="GT200" s="144">
        <f>SUM(GN200:GS200)</f>
        <v>11420</v>
      </c>
      <c r="GU200" s="5">
        <v>18.067740817740816</v>
      </c>
      <c r="HL200" s="5">
        <v>72.625</v>
      </c>
      <c r="HM200" s="15">
        <v>360.07100000000003</v>
      </c>
      <c r="HO200" s="5">
        <v>72.625</v>
      </c>
      <c r="HP200" s="15">
        <v>360.07100000000003</v>
      </c>
      <c r="HV200" s="15">
        <v>310.8</v>
      </c>
      <c r="HW200" s="15">
        <v>408.9</v>
      </c>
      <c r="HY200" s="6">
        <v>5743.8</v>
      </c>
      <c r="HZ200" s="6">
        <f t="shared" si="363"/>
        <v>6463.5</v>
      </c>
      <c r="IA200" s="6">
        <v>1109.3297017961054</v>
      </c>
      <c r="ID200" s="4">
        <v>0.55507964647575669</v>
      </c>
      <c r="IF200" s="6">
        <v>1172.0110249873835</v>
      </c>
      <c r="IJ200" s="6">
        <v>1172.5661046338594</v>
      </c>
      <c r="IK200" s="6">
        <v>10327.733406774994</v>
      </c>
      <c r="IN200" s="5">
        <v>53.633200000000002</v>
      </c>
      <c r="IP200" s="5">
        <v>53.633200000000002</v>
      </c>
      <c r="IQ200" s="6">
        <v>405118.86687873531</v>
      </c>
      <c r="JC200" s="6">
        <v>19758</v>
      </c>
      <c r="JD200" s="6">
        <v>19758</v>
      </c>
      <c r="JE200" s="5">
        <v>35.112916287073588</v>
      </c>
      <c r="JG200" s="6">
        <v>288554</v>
      </c>
      <c r="JH200" s="4">
        <v>51.0001040257984</v>
      </c>
      <c r="JI200" s="5">
        <v>34.723649646166749</v>
      </c>
      <c r="JJ200" s="6">
        <v>28592</v>
      </c>
      <c r="JK200" s="5">
        <v>46.787562954672637</v>
      </c>
      <c r="JL200" s="4">
        <v>18.345341354224956</v>
      </c>
      <c r="JR200" s="6">
        <v>939139</v>
      </c>
      <c r="JS200" s="4">
        <v>55.831337384561813</v>
      </c>
      <c r="JT200" s="5">
        <v>72.715479817151675</v>
      </c>
      <c r="JV200" s="6">
        <v>1256285</v>
      </c>
      <c r="JW200" s="5">
        <v>72.715479817151675</v>
      </c>
      <c r="JX200" s="6">
        <v>1610000</v>
      </c>
      <c r="JY200" s="2">
        <v>65.3</v>
      </c>
      <c r="KE200" s="6">
        <v>12946</v>
      </c>
      <c r="KF200" s="4">
        <v>90.359956743395642</v>
      </c>
      <c r="KG200" s="15">
        <v>409.20747721303877</v>
      </c>
      <c r="KI200" s="6">
        <v>12946</v>
      </c>
      <c r="KJ200" s="15">
        <v>409.20747721303877</v>
      </c>
      <c r="KL200" s="6">
        <v>95612</v>
      </c>
      <c r="KM200" s="4">
        <v>95.492197632096392</v>
      </c>
      <c r="KN200" s="15">
        <v>554.61154457599469</v>
      </c>
      <c r="KO200" s="6">
        <v>58114</v>
      </c>
      <c r="KP200" s="5">
        <v>95.797054066145847</v>
      </c>
      <c r="KQ200" s="15">
        <v>562.19546925009467</v>
      </c>
      <c r="KY200" s="6">
        <v>91192</v>
      </c>
      <c r="KZ200" s="4">
        <v>94.996271602772168</v>
      </c>
      <c r="LA200" s="15">
        <v>592.28237126063686</v>
      </c>
      <c r="LC200" s="6">
        <v>244918</v>
      </c>
      <c r="LD200" s="15">
        <v>592.28237126063686</v>
      </c>
      <c r="LE200" s="6">
        <v>231000</v>
      </c>
      <c r="LF200" s="2">
        <v>576.9</v>
      </c>
      <c r="LH200" s="6">
        <v>183499</v>
      </c>
      <c r="LI200" s="4">
        <v>92</v>
      </c>
      <c r="LJ200" s="15">
        <v>376.85932893367266</v>
      </c>
      <c r="LL200" s="6">
        <v>95612</v>
      </c>
      <c r="LM200" s="4">
        <v>64.189343692253118</v>
      </c>
      <c r="LN200" s="15">
        <v>554.61154457599469</v>
      </c>
      <c r="LO200" s="6">
        <v>53080.5</v>
      </c>
      <c r="LP200" s="5">
        <v>66.547022710676316</v>
      </c>
      <c r="LQ200" s="5">
        <v>733.6437109673044</v>
      </c>
      <c r="LY200" s="6">
        <v>368164</v>
      </c>
      <c r="LZ200" s="4">
        <v>65.33501374387501</v>
      </c>
      <c r="MA200" s="15">
        <v>336.46149813669996</v>
      </c>
      <c r="MC200" s="6">
        <v>516856.5</v>
      </c>
      <c r="MD200" s="6">
        <v>480000</v>
      </c>
      <c r="ME200" s="5">
        <v>409</v>
      </c>
      <c r="MG200" s="2">
        <v>518</v>
      </c>
      <c r="MH200" s="5">
        <v>95.945945945945951</v>
      </c>
      <c r="MI200" s="2">
        <v>650</v>
      </c>
      <c r="MJ200" s="6">
        <v>681.5</v>
      </c>
      <c r="MK200" s="5">
        <v>89.948642699926637</v>
      </c>
      <c r="ML200" s="15">
        <v>675.90315480557592</v>
      </c>
      <c r="MN200" s="6">
        <v>9573</v>
      </c>
      <c r="MO200" s="4">
        <v>6.4753995612660606</v>
      </c>
      <c r="MP200" s="15">
        <v>754.34419722135169</v>
      </c>
      <c r="MQ200" s="6">
        <v>10772.5</v>
      </c>
      <c r="MR200" s="15">
        <v>744.3643536783477</v>
      </c>
      <c r="MV200" s="6">
        <v>12200</v>
      </c>
      <c r="MW200" s="2">
        <v>787.5</v>
      </c>
    </row>
    <row r="201" spans="1:375" x14ac:dyDescent="0.25">
      <c r="A201" s="2">
        <v>1989</v>
      </c>
      <c r="B201" s="6">
        <v>27720</v>
      </c>
      <c r="C201" s="6">
        <v>8750</v>
      </c>
      <c r="D201" s="6">
        <v>1840</v>
      </c>
      <c r="E201" s="6">
        <v>1760</v>
      </c>
      <c r="F201" s="2">
        <v>280</v>
      </c>
      <c r="G201" s="6">
        <v>146610</v>
      </c>
      <c r="H201" s="6">
        <v>17060</v>
      </c>
      <c r="I201" s="6">
        <v>204020</v>
      </c>
      <c r="J201" s="6">
        <v>15547.909967845659</v>
      </c>
      <c r="K201" s="6">
        <v>204522.77541100443</v>
      </c>
      <c r="M201" s="6">
        <v>505000</v>
      </c>
      <c r="N201" s="6">
        <v>427134</v>
      </c>
      <c r="P201" s="6">
        <v>120039</v>
      </c>
      <c r="Q201" s="2">
        <v>9.8000000000000004E-2</v>
      </c>
      <c r="R201" s="6">
        <v>41377</v>
      </c>
      <c r="S201" s="6">
        <v>33727</v>
      </c>
      <c r="T201" s="6">
        <v>1075000</v>
      </c>
      <c r="U201" s="15">
        <v>229.67</v>
      </c>
      <c r="V201" s="6">
        <v>817696.8165999999</v>
      </c>
      <c r="X201" s="6">
        <v>9661000</v>
      </c>
      <c r="Z201" s="6">
        <v>6211</v>
      </c>
      <c r="AA201" s="6">
        <v>22916579</v>
      </c>
      <c r="AB201" s="34">
        <v>6057078</v>
      </c>
      <c r="AC201" s="6">
        <f t="shared" si="358"/>
        <v>38640868</v>
      </c>
      <c r="AE201" s="5">
        <v>32.927878117704878</v>
      </c>
      <c r="AG201" s="6">
        <v>2954204</v>
      </c>
      <c r="AI201" s="6">
        <v>6384796</v>
      </c>
      <c r="AJ201" s="6">
        <v>1461000</v>
      </c>
      <c r="AK201" s="6">
        <v>10800000</v>
      </c>
      <c r="AL201" s="15">
        <v>315.5</v>
      </c>
      <c r="AN201" s="6">
        <v>94874781.471453622</v>
      </c>
      <c r="AO201" s="6">
        <v>90774106.154606178</v>
      </c>
      <c r="AQ201" s="6">
        <v>589943</v>
      </c>
      <c r="AR201" s="6">
        <v>2930781</v>
      </c>
      <c r="AS201" s="6">
        <v>3830472</v>
      </c>
      <c r="AT201" s="6">
        <v>193000083.6260598</v>
      </c>
      <c r="AU201" s="2">
        <v>48.04</v>
      </c>
      <c r="AW201" s="6">
        <v>48336064</v>
      </c>
      <c r="AZ201" s="15">
        <v>525.23570376430075</v>
      </c>
      <c r="BC201" s="2">
        <v>261</v>
      </c>
      <c r="BE201" s="15">
        <v>786.23570376430075</v>
      </c>
      <c r="BF201" s="6">
        <v>17134.429118773947</v>
      </c>
      <c r="BH201" s="6">
        <v>188000</v>
      </c>
      <c r="BI201" s="6">
        <v>31715</v>
      </c>
      <c r="BK201" s="6">
        <v>22286</v>
      </c>
      <c r="BL201" s="6">
        <v>36409</v>
      </c>
      <c r="BM201" s="6">
        <v>19038</v>
      </c>
      <c r="BN201" s="6">
        <v>6000</v>
      </c>
      <c r="BO201" s="6">
        <v>296000</v>
      </c>
      <c r="BP201" s="6">
        <v>3606</v>
      </c>
      <c r="BQ201" s="6">
        <v>298115.70462000003</v>
      </c>
      <c r="BT201" s="6">
        <v>34979938</v>
      </c>
      <c r="BV201" s="6">
        <v>34979938</v>
      </c>
      <c r="BW201" s="4">
        <v>11.396926056921229</v>
      </c>
      <c r="BX201" s="6">
        <v>34979938</v>
      </c>
      <c r="BZ201" s="6">
        <f>8573+20814</f>
        <v>29387</v>
      </c>
      <c r="CA201" s="6">
        <v>8487</v>
      </c>
      <c r="CC201" s="6">
        <v>2495675</v>
      </c>
      <c r="CD201" s="6">
        <v>2520399</v>
      </c>
      <c r="CE201" s="6">
        <v>106469970</v>
      </c>
      <c r="CG201" s="6">
        <v>111523918</v>
      </c>
      <c r="CH201" s="4">
        <v>20.53</v>
      </c>
      <c r="CM201" s="2">
        <v>135</v>
      </c>
      <c r="CO201" s="6">
        <v>11375</v>
      </c>
      <c r="CP201" s="6">
        <v>2118554</v>
      </c>
      <c r="CR201" s="6">
        <v>2130064</v>
      </c>
      <c r="CS201" s="2">
        <v>285</v>
      </c>
      <c r="CT201" s="6">
        <v>2129929</v>
      </c>
      <c r="CV201" s="6">
        <v>17172.246315026336</v>
      </c>
      <c r="CX201" s="6">
        <v>39028.714</v>
      </c>
      <c r="CY201" s="6">
        <v>56200.960315026336</v>
      </c>
      <c r="DA201" s="6">
        <v>16886.400000000001</v>
      </c>
      <c r="DB201" s="6">
        <v>59207.246315026336</v>
      </c>
      <c r="DD201" s="6">
        <v>192000</v>
      </c>
      <c r="DE201" s="6">
        <v>231964</v>
      </c>
      <c r="DG201" s="6">
        <v>45649</v>
      </c>
      <c r="DI201" s="6">
        <v>7846</v>
      </c>
      <c r="DJ201" s="6">
        <v>16138</v>
      </c>
      <c r="DK201" s="6">
        <v>493597</v>
      </c>
      <c r="DL201" s="15">
        <v>892.8</v>
      </c>
      <c r="DM201" s="6">
        <v>449502.53100000002</v>
      </c>
      <c r="DO201" s="6">
        <v>226000</v>
      </c>
      <c r="DP201" s="6">
        <v>368010</v>
      </c>
      <c r="DR201" s="6">
        <v>166602</v>
      </c>
      <c r="DS201" s="6">
        <v>3083</v>
      </c>
      <c r="DT201" s="6">
        <v>38064</v>
      </c>
      <c r="DU201" s="6">
        <v>27724</v>
      </c>
      <c r="DV201" s="6">
        <v>829483</v>
      </c>
      <c r="DW201" s="6">
        <v>2298.9</v>
      </c>
      <c r="DX201" s="6">
        <v>792188.32400000002</v>
      </c>
      <c r="DZ201" s="2">
        <v>166</v>
      </c>
      <c r="EC201" s="6">
        <v>6940</v>
      </c>
      <c r="ED201" s="15">
        <v>229.82</v>
      </c>
      <c r="EE201" s="5">
        <v>20.771513353115729</v>
      </c>
      <c r="EF201" s="6">
        <v>7356.5915133531153</v>
      </c>
      <c r="EG201" s="6">
        <v>13352</v>
      </c>
      <c r="EJ201" s="6">
        <v>1020.5</v>
      </c>
      <c r="EL201" s="6">
        <v>3289.7</v>
      </c>
      <c r="EM201" s="6">
        <v>4310.2</v>
      </c>
      <c r="EN201" s="6">
        <v>79540</v>
      </c>
      <c r="EO201" s="6">
        <v>4104.4679999999998</v>
      </c>
      <c r="EQ201" s="5">
        <v>21.859000000000002</v>
      </c>
      <c r="ER201" s="5">
        <v>21.859000000000002</v>
      </c>
      <c r="ES201" s="6">
        <v>34668.557573539503</v>
      </c>
      <c r="EZ201" s="6">
        <v>1323.98</v>
      </c>
      <c r="FF201" s="6">
        <v>1323.98</v>
      </c>
      <c r="FG201" s="6">
        <v>2555.5965106278413</v>
      </c>
      <c r="FI201" s="200"/>
      <c r="FJ201" s="200"/>
      <c r="FK201" s="200"/>
      <c r="FL201" s="200"/>
      <c r="FN201" s="6">
        <v>1523.5286890281361</v>
      </c>
      <c r="FZ201" s="6">
        <v>2346.2999999999997</v>
      </c>
      <c r="GB201" s="6">
        <v>2346.2999999999997</v>
      </c>
      <c r="GC201" s="6">
        <v>3033.9470655926357</v>
      </c>
      <c r="GN201" s="6">
        <v>8010</v>
      </c>
      <c r="GQ201" s="6">
        <v>5095</v>
      </c>
      <c r="GT201" s="144">
        <f>SUM(GN201:GS201)</f>
        <v>13105</v>
      </c>
      <c r="GU201" s="5">
        <v>18.473736263736264</v>
      </c>
      <c r="HL201" s="5">
        <v>60.436999999999998</v>
      </c>
      <c r="HM201" s="15">
        <v>322.57299999999998</v>
      </c>
      <c r="HO201" s="5">
        <v>60.436999999999998</v>
      </c>
      <c r="HP201" s="15">
        <v>322.57299999999998</v>
      </c>
      <c r="HV201" s="15">
        <v>317.39999999999998</v>
      </c>
      <c r="HW201" s="15">
        <v>236.39999999999998</v>
      </c>
      <c r="HY201" s="6">
        <v>7060.2</v>
      </c>
      <c r="HZ201" s="6">
        <f t="shared" si="363"/>
        <v>7614</v>
      </c>
      <c r="IA201" s="6">
        <v>1098.2906142859281</v>
      </c>
      <c r="IF201" s="6">
        <v>1398.0077381953702</v>
      </c>
      <c r="IJ201" s="6">
        <v>1398.0077381953702</v>
      </c>
      <c r="IK201" s="6">
        <v>13023.712986853423</v>
      </c>
      <c r="IN201" s="15">
        <v>388.13499999999999</v>
      </c>
      <c r="IP201" s="15">
        <v>388.13499999999999</v>
      </c>
      <c r="IQ201" s="6">
        <v>124400.98790098792</v>
      </c>
      <c r="IW201" s="2">
        <v>353</v>
      </c>
      <c r="IY201" s="2">
        <v>439</v>
      </c>
      <c r="IZ201" s="2">
        <v>792</v>
      </c>
      <c r="JC201" s="6">
        <v>29905</v>
      </c>
      <c r="JD201" s="6">
        <v>29905</v>
      </c>
      <c r="JE201" s="5">
        <v>40.509379702390902</v>
      </c>
      <c r="JG201" s="6">
        <v>280715</v>
      </c>
      <c r="JH201" s="4">
        <v>50.999977064746219</v>
      </c>
      <c r="JI201" s="5">
        <v>37.613283935664285</v>
      </c>
      <c r="JJ201" s="6">
        <v>27309.5</v>
      </c>
      <c r="JK201" s="5">
        <v>46.771270070854463</v>
      </c>
      <c r="JL201" s="4">
        <v>19.068456031783811</v>
      </c>
      <c r="JR201" s="6">
        <v>964711</v>
      </c>
      <c r="JS201" s="4">
        <v>29.683190095272057</v>
      </c>
      <c r="JT201" s="5">
        <v>79.892378131896493</v>
      </c>
      <c r="JV201" s="6">
        <v>1272735.5</v>
      </c>
      <c r="JW201" s="5">
        <v>79.892378131896493</v>
      </c>
      <c r="JX201" s="6">
        <v>1690000</v>
      </c>
      <c r="JY201" s="2">
        <v>72.5</v>
      </c>
      <c r="KE201" s="6">
        <v>22498</v>
      </c>
      <c r="KF201" s="4">
        <v>91.54591519246155</v>
      </c>
      <c r="KG201" s="15">
        <v>459.44377277980266</v>
      </c>
      <c r="KI201" s="6">
        <v>22498</v>
      </c>
      <c r="KJ201" s="15">
        <v>459.44377277980266</v>
      </c>
      <c r="KL201" s="6">
        <v>107696</v>
      </c>
      <c r="KM201" s="4">
        <v>95.492868815926315</v>
      </c>
      <c r="KN201" s="15">
        <v>598.31039221512401</v>
      </c>
      <c r="KO201" s="6">
        <v>61433.5</v>
      </c>
      <c r="KP201" s="5">
        <v>95.766967534000173</v>
      </c>
      <c r="KQ201" s="15">
        <v>671.96031481195109</v>
      </c>
      <c r="KY201" s="6">
        <v>88972</v>
      </c>
      <c r="KZ201" s="4">
        <v>95.000674369464548</v>
      </c>
      <c r="LA201" s="15">
        <v>655.97917322303647</v>
      </c>
      <c r="LC201" s="6">
        <v>258101.5</v>
      </c>
      <c r="LD201" s="15">
        <v>655.97917322303647</v>
      </c>
      <c r="LE201" s="6">
        <v>243000</v>
      </c>
      <c r="LF201" s="5">
        <v>655</v>
      </c>
      <c r="LH201" s="6">
        <v>261603</v>
      </c>
      <c r="LI201" s="4">
        <v>92.31299335252271</v>
      </c>
      <c r="LJ201" s="15">
        <v>441.62345997561192</v>
      </c>
      <c r="LL201" s="6">
        <v>107696</v>
      </c>
      <c r="LM201" s="4">
        <v>64.18979485842803</v>
      </c>
      <c r="LN201" s="15">
        <v>598.31039221512401</v>
      </c>
      <c r="LO201" s="6">
        <v>51012.5</v>
      </c>
      <c r="LP201" s="5">
        <v>66.511856310615613</v>
      </c>
      <c r="LQ201" s="5">
        <v>998.7697917177162</v>
      </c>
      <c r="LY201" s="6">
        <v>343821</v>
      </c>
      <c r="LZ201" s="4">
        <v>68.32392436762153</v>
      </c>
      <c r="MA201" s="15">
        <v>546.66143720133437</v>
      </c>
      <c r="MC201" s="6">
        <v>502529.5</v>
      </c>
      <c r="MD201" s="6">
        <v>511000</v>
      </c>
      <c r="ME201" s="2">
        <v>641.20000000000005</v>
      </c>
      <c r="MG201" s="2">
        <v>529</v>
      </c>
      <c r="MH201" s="5">
        <v>96.030245746691875</v>
      </c>
      <c r="MI201" s="15">
        <v>800.21172022684311</v>
      </c>
      <c r="MJ201" s="6">
        <v>394</v>
      </c>
      <c r="MK201" s="5">
        <v>89.974619289340097</v>
      </c>
      <c r="ML201" s="15">
        <v>817.68401015228426</v>
      </c>
      <c r="MN201" s="6">
        <v>11767</v>
      </c>
      <c r="MO201" s="4">
        <v>6.5002124585705792</v>
      </c>
      <c r="MP201" s="15">
        <v>748.1069941361435</v>
      </c>
      <c r="MQ201" s="6">
        <v>12690</v>
      </c>
      <c r="MR201" s="15">
        <v>752.43928289992118</v>
      </c>
      <c r="MS201" s="2">
        <v>20</v>
      </c>
      <c r="MT201" s="4">
        <v>32</v>
      </c>
      <c r="MU201" s="6">
        <v>5292</v>
      </c>
      <c r="MV201" s="6">
        <v>12800</v>
      </c>
      <c r="MW201" s="2">
        <v>855.3</v>
      </c>
    </row>
    <row r="202" spans="1:375" x14ac:dyDescent="0.25">
      <c r="A202" s="2">
        <v>1990</v>
      </c>
      <c r="B202" s="6">
        <v>29728</v>
      </c>
      <c r="C202" s="6">
        <v>8052.0000000000018</v>
      </c>
      <c r="D202" s="6">
        <v>3926</v>
      </c>
      <c r="E202" s="6">
        <v>1676</v>
      </c>
      <c r="F202" s="2">
        <v>890.00000000000011</v>
      </c>
      <c r="G202" s="6">
        <v>180785</v>
      </c>
      <c r="H202" s="6">
        <v>19042</v>
      </c>
      <c r="I202" s="6">
        <v>244099</v>
      </c>
      <c r="J202" s="6">
        <v>15776.163661487632</v>
      </c>
      <c r="K202" s="6">
        <v>245594.54446678204</v>
      </c>
      <c r="M202" s="6">
        <v>571625</v>
      </c>
      <c r="N202" s="6">
        <v>335140.99999999994</v>
      </c>
      <c r="P202" s="6">
        <v>144213</v>
      </c>
      <c r="Q202" s="6">
        <v>1736.922</v>
      </c>
      <c r="R202" s="6">
        <v>36763.000000000007</v>
      </c>
      <c r="S202" s="6">
        <v>30877.412949999998</v>
      </c>
      <c r="T202" s="6">
        <v>1087824</v>
      </c>
      <c r="U202" s="15">
        <v>198.91935083814184</v>
      </c>
      <c r="V202" s="6">
        <v>909743.04190000007</v>
      </c>
      <c r="W202" s="209"/>
      <c r="X202" s="6">
        <v>11209573</v>
      </c>
      <c r="Z202" s="6">
        <v>2466</v>
      </c>
      <c r="AA202" s="6">
        <v>23873818</v>
      </c>
      <c r="AB202" s="34">
        <v>6305358</v>
      </c>
      <c r="AC202" s="6">
        <f t="shared" si="358"/>
        <v>41391215</v>
      </c>
      <c r="AD202" s="4">
        <v>38.874216729768762</v>
      </c>
      <c r="AE202" s="5">
        <v>22.44039270687237</v>
      </c>
      <c r="AG202" s="6">
        <v>2920116.68</v>
      </c>
      <c r="AI202" s="6">
        <v>6722292</v>
      </c>
      <c r="AJ202" s="6">
        <v>1235433.98</v>
      </c>
      <c r="AK202" s="6">
        <v>10877842.66</v>
      </c>
      <c r="AL202" s="15">
        <v>290.2383786997554</v>
      </c>
      <c r="AN202" s="6">
        <v>97950213.999999985</v>
      </c>
      <c r="AO202" s="6">
        <v>94022000</v>
      </c>
      <c r="AQ202" s="6">
        <v>612000</v>
      </c>
      <c r="AR202" s="6">
        <v>2694000</v>
      </c>
      <c r="AS202" s="6">
        <v>4939999.9999999991</v>
      </c>
      <c r="AT202" s="6">
        <v>200218214</v>
      </c>
      <c r="AU202" s="4">
        <v>55.895288724211348</v>
      </c>
      <c r="AW202" s="6">
        <v>45977216</v>
      </c>
      <c r="AZ202" s="15">
        <v>362.16699068276739</v>
      </c>
      <c r="BC202" s="2">
        <v>268</v>
      </c>
      <c r="BE202" s="15">
        <v>630.16699068276739</v>
      </c>
      <c r="BF202" s="6">
        <v>15914.134328358208</v>
      </c>
      <c r="BH202" s="6">
        <v>209626</v>
      </c>
      <c r="BI202" s="6">
        <v>31746</v>
      </c>
      <c r="BK202" s="6">
        <v>23237</v>
      </c>
      <c r="BL202" s="6">
        <v>43213</v>
      </c>
      <c r="BM202" s="6">
        <v>13623</v>
      </c>
      <c r="BN202" s="6">
        <v>10000</v>
      </c>
      <c r="BO202" s="6">
        <v>329076</v>
      </c>
      <c r="BP202" s="6">
        <v>3413.9</v>
      </c>
      <c r="BQ202" s="6">
        <v>320725.62390000001</v>
      </c>
      <c r="BT202" s="6">
        <v>34589283</v>
      </c>
      <c r="BV202" s="6">
        <v>34589283</v>
      </c>
      <c r="BW202" s="4">
        <v>13.787278207421206</v>
      </c>
      <c r="BX202" s="6">
        <v>34589283</v>
      </c>
      <c r="BZ202" s="35"/>
      <c r="CC202" s="6">
        <v>2119821</v>
      </c>
      <c r="CD202" s="6">
        <v>2417000</v>
      </c>
      <c r="CE202" s="6">
        <v>105970656.99999999</v>
      </c>
      <c r="CG202" s="6">
        <v>110507477.99999999</v>
      </c>
      <c r="CH202" s="4">
        <v>23.551994991432778</v>
      </c>
      <c r="CO202" s="6">
        <v>364577</v>
      </c>
      <c r="CP202" s="6">
        <v>1856318</v>
      </c>
      <c r="CR202" s="6">
        <v>2220895</v>
      </c>
      <c r="CS202" s="2">
        <v>396</v>
      </c>
      <c r="CT202" s="6">
        <v>2220895</v>
      </c>
      <c r="CV202" s="6">
        <v>11302.894843155555</v>
      </c>
      <c r="CX202" s="6">
        <v>49547.000500000009</v>
      </c>
      <c r="CY202" s="6">
        <v>60849.895343155564</v>
      </c>
      <c r="CZ202" s="6">
        <v>6978.1046568444362</v>
      </c>
      <c r="DA202" s="6">
        <v>11476.611305222847</v>
      </c>
      <c r="DB202" s="6">
        <v>62901.894843155555</v>
      </c>
      <c r="DD202" s="6">
        <v>230459</v>
      </c>
      <c r="DE202" s="6">
        <v>241798.00000000003</v>
      </c>
      <c r="DG202" s="6">
        <v>63033</v>
      </c>
      <c r="DH202" s="6">
        <v>13000</v>
      </c>
      <c r="DI202" s="6">
        <v>13606.000000000002</v>
      </c>
      <c r="DJ202" s="6">
        <v>16409</v>
      </c>
      <c r="DK202" s="6">
        <v>578305</v>
      </c>
      <c r="DL202" s="15">
        <v>585.52748398910592</v>
      </c>
      <c r="DM202" s="6">
        <v>497087.56000000006</v>
      </c>
      <c r="DO202" s="6">
        <v>287791</v>
      </c>
      <c r="DP202" s="6">
        <v>382652</v>
      </c>
      <c r="DR202" s="6">
        <v>164659</v>
      </c>
      <c r="DS202" s="6">
        <v>6036.6</v>
      </c>
      <c r="DT202" s="6">
        <v>51704</v>
      </c>
      <c r="DU202" s="6">
        <v>41437</v>
      </c>
      <c r="DV202" s="6">
        <v>934279.6</v>
      </c>
      <c r="DW202" s="6">
        <v>1936.8896985738875</v>
      </c>
      <c r="DX202" s="6">
        <v>877439.83700000017</v>
      </c>
      <c r="DZ202" s="2">
        <v>62</v>
      </c>
      <c r="EC202" s="6">
        <v>7963</v>
      </c>
      <c r="ED202" s="15">
        <v>145.20000000000002</v>
      </c>
      <c r="EE202" s="5">
        <v>19.525222551928781</v>
      </c>
      <c r="EF202" s="6">
        <v>8189.7252225519287</v>
      </c>
      <c r="EG202" s="6">
        <v>8070.7932043015435</v>
      </c>
      <c r="EJ202" s="6">
        <v>1255.49416288512</v>
      </c>
      <c r="EL202" s="6">
        <v>2894.3978399999996</v>
      </c>
      <c r="EM202" s="6">
        <v>4149.8920028851198</v>
      </c>
      <c r="EN202" s="6">
        <v>51777.357478833495</v>
      </c>
      <c r="EO202" s="6">
        <v>4176.95</v>
      </c>
      <c r="EQ202" s="5">
        <v>31.375</v>
      </c>
      <c r="ER202" s="5">
        <v>31.375</v>
      </c>
      <c r="ES202" s="6">
        <v>32675.569721115538</v>
      </c>
      <c r="EZ202" s="2">
        <v>945</v>
      </c>
      <c r="FF202" s="2">
        <v>945</v>
      </c>
      <c r="FG202" s="6">
        <v>2347.7240119994781</v>
      </c>
      <c r="FI202" s="200"/>
      <c r="FJ202" s="200"/>
      <c r="FK202" s="200"/>
      <c r="FL202" s="200"/>
      <c r="FN202" s="6">
        <v>1163.4276770575191</v>
      </c>
      <c r="FS202" s="5">
        <v>51</v>
      </c>
      <c r="FV202" s="5">
        <v>51</v>
      </c>
      <c r="FW202" s="15">
        <f>38200/51</f>
        <v>749.01960784313724</v>
      </c>
      <c r="FZ202" s="6">
        <v>3034.56</v>
      </c>
      <c r="GB202" s="6">
        <v>3034.56</v>
      </c>
      <c r="GC202" s="6">
        <v>2479.9189997890962</v>
      </c>
      <c r="GQ202" s="6">
        <v>3698</v>
      </c>
      <c r="GT202" s="6">
        <v>3698</v>
      </c>
      <c r="GU202" s="4">
        <v>7.0383991346673875</v>
      </c>
      <c r="HL202" s="5">
        <v>96</v>
      </c>
      <c r="HM202" s="2">
        <v>435</v>
      </c>
      <c r="HO202" s="5">
        <v>96</v>
      </c>
      <c r="HP202" s="15">
        <v>435</v>
      </c>
      <c r="HW202" s="15">
        <v>143.69999999999999</v>
      </c>
      <c r="HY202" s="6">
        <v>6308.4</v>
      </c>
      <c r="HZ202" s="6">
        <f t="shared" si="363"/>
        <v>6452.0999999999995</v>
      </c>
      <c r="IA202" s="6">
        <v>1095.3402466179548</v>
      </c>
      <c r="IF202" s="6">
        <v>1214.0384839348337</v>
      </c>
      <c r="IJ202" s="6">
        <v>1214.0384839348337</v>
      </c>
      <c r="IK202" s="6">
        <v>11060.388678753097</v>
      </c>
      <c r="IN202" s="15">
        <v>404.36610000000002</v>
      </c>
      <c r="IP202" s="15">
        <v>404.36610000000002</v>
      </c>
      <c r="IQ202" s="6">
        <v>114405.56259372758</v>
      </c>
      <c r="IW202" s="2">
        <v>63</v>
      </c>
      <c r="IY202" s="2">
        <v>484</v>
      </c>
      <c r="IZ202" s="2">
        <v>547</v>
      </c>
      <c r="JC202" s="6">
        <v>23367</v>
      </c>
      <c r="JD202" s="6">
        <v>23367</v>
      </c>
      <c r="JE202" s="5">
        <v>65.704412205246712</v>
      </c>
      <c r="JG202" s="39">
        <f>(JG201+JG203)/2</f>
        <v>232453</v>
      </c>
      <c r="JI202" s="2">
        <v>79.5</v>
      </c>
      <c r="JJ202" s="6">
        <v>14014.5</v>
      </c>
      <c r="JK202" s="5">
        <v>46.052302971921939</v>
      </c>
      <c r="JL202" s="4">
        <v>24.213707231795642</v>
      </c>
      <c r="JR202" s="6">
        <v>988251</v>
      </c>
      <c r="JS202" s="4">
        <v>56.670425468833322</v>
      </c>
      <c r="JT202" s="5">
        <v>87.227994709845987</v>
      </c>
      <c r="JV202" s="6">
        <v>1234718.5</v>
      </c>
      <c r="JW202" s="5">
        <v>87.227994709845987</v>
      </c>
      <c r="JX202" s="6">
        <v>1616000</v>
      </c>
      <c r="JY202" s="2">
        <v>79.5</v>
      </c>
      <c r="KE202" s="6">
        <v>20839</v>
      </c>
      <c r="KF202" s="4">
        <v>90.541772637842513</v>
      </c>
      <c r="KG202" s="15">
        <v>552.39046979221655</v>
      </c>
      <c r="KI202" s="6">
        <v>20839</v>
      </c>
      <c r="KJ202" s="15">
        <v>552.39046979221655</v>
      </c>
      <c r="KL202" s="39">
        <f>(KL201+KL203)/2</f>
        <v>90686.5</v>
      </c>
      <c r="KO202" s="6">
        <v>62328.5</v>
      </c>
      <c r="KP202" s="5">
        <v>95.556607330514936</v>
      </c>
      <c r="KQ202" s="15">
        <v>789.44922467250137</v>
      </c>
      <c r="KY202" s="6">
        <v>76065</v>
      </c>
      <c r="KZ202" s="4">
        <v>95.05554460001315</v>
      </c>
      <c r="LA202" s="15">
        <v>761.27844606586473</v>
      </c>
      <c r="LC202" s="6">
        <v>229080</v>
      </c>
      <c r="LD202" s="15">
        <v>761.27844606586473</v>
      </c>
      <c r="LE202" s="6">
        <v>244000</v>
      </c>
      <c r="LF202" s="2">
        <v>775.3</v>
      </c>
      <c r="LH202" s="6">
        <v>249265</v>
      </c>
      <c r="LI202" s="4">
        <v>92</v>
      </c>
      <c r="LJ202" s="15">
        <v>484.51525083746213</v>
      </c>
      <c r="LL202" s="39">
        <f>(LL201+LL203)/2</f>
        <v>85061.5</v>
      </c>
      <c r="LO202" s="6">
        <v>46690.5</v>
      </c>
      <c r="LP202" s="5">
        <v>66.499623382470759</v>
      </c>
      <c r="LQ202" s="5">
        <v>776.82301538856939</v>
      </c>
      <c r="LY202" s="6">
        <v>224461</v>
      </c>
      <c r="LZ202" s="4">
        <v>65.200636190696827</v>
      </c>
      <c r="MA202" s="15">
        <v>564.36150600772521</v>
      </c>
      <c r="MC202" s="6">
        <v>356213</v>
      </c>
      <c r="MD202" s="6">
        <v>443000</v>
      </c>
      <c r="ME202" s="2">
        <v>616.70000000000005</v>
      </c>
      <c r="MG202" s="145">
        <f>(MG201+MG203)/2</f>
        <v>430</v>
      </c>
      <c r="MJ202" s="6">
        <v>239.5</v>
      </c>
      <c r="MK202" s="5">
        <v>89.979123173277657</v>
      </c>
      <c r="ML202" s="15">
        <v>742.93736951983294</v>
      </c>
      <c r="MN202" s="6">
        <v>10514</v>
      </c>
      <c r="MO202" s="4">
        <v>6.5000951112801975</v>
      </c>
      <c r="MP202" s="15">
        <v>744.83136770020928</v>
      </c>
      <c r="MQ202" s="6">
        <v>11183.5</v>
      </c>
      <c r="MR202" s="15">
        <v>744.78918491653883</v>
      </c>
      <c r="MV202" s="6">
        <v>11100</v>
      </c>
      <c r="MW202" s="5">
        <v>894</v>
      </c>
    </row>
    <row r="203" spans="1:375" x14ac:dyDescent="0.25">
      <c r="A203" s="2">
        <v>1991</v>
      </c>
      <c r="B203" s="6">
        <v>27061</v>
      </c>
      <c r="C203" s="6">
        <v>6332</v>
      </c>
      <c r="D203" s="6">
        <v>3760.0000000000005</v>
      </c>
      <c r="E203" s="6">
        <v>1621</v>
      </c>
      <c r="F203" s="2">
        <v>763.00000000000011</v>
      </c>
      <c r="G203" s="6">
        <v>179435.99999999997</v>
      </c>
      <c r="H203" s="6">
        <v>17303</v>
      </c>
      <c r="I203" s="6">
        <v>236275.99999999997</v>
      </c>
      <c r="J203" s="6">
        <v>14941.807233477482</v>
      </c>
      <c r="K203" s="6">
        <v>235260.51417355571</v>
      </c>
      <c r="M203" s="6">
        <v>606196.48599999992</v>
      </c>
      <c r="N203" s="6">
        <v>298040.99999999994</v>
      </c>
      <c r="P203" s="6">
        <v>162860</v>
      </c>
      <c r="Q203" s="6">
        <v>9856</v>
      </c>
      <c r="R203" s="6">
        <v>22575.000000000004</v>
      </c>
      <c r="S203" s="6">
        <v>46589.328000000001</v>
      </c>
      <c r="T203" s="6">
        <v>1099528.4860000003</v>
      </c>
      <c r="U203" s="15">
        <v>167.10538492317698</v>
      </c>
      <c r="V203" s="6">
        <v>895103.96380000003</v>
      </c>
      <c r="W203" s="209"/>
      <c r="X203" s="6">
        <v>9950946</v>
      </c>
      <c r="Z203" s="6">
        <v>7925</v>
      </c>
      <c r="AA203" s="6">
        <v>24711994</v>
      </c>
      <c r="AB203" s="34">
        <v>5840862</v>
      </c>
      <c r="AC203" s="6">
        <f t="shared" si="358"/>
        <v>40511727</v>
      </c>
      <c r="AD203" s="4">
        <v>38.047131071794198</v>
      </c>
      <c r="AE203" s="5">
        <v>26.827371695178851</v>
      </c>
      <c r="AG203" s="6">
        <v>3045369.6</v>
      </c>
      <c r="AI203" s="6">
        <v>7009184</v>
      </c>
      <c r="AJ203" s="6">
        <v>1288425.6000000001</v>
      </c>
      <c r="AK203" s="6">
        <v>11342979.199999999</v>
      </c>
      <c r="AL203" s="15">
        <v>175.98042358748023</v>
      </c>
      <c r="AN203" s="6">
        <v>101158724</v>
      </c>
      <c r="AO203" s="6">
        <v>97793100.000000015</v>
      </c>
      <c r="AQ203" s="6">
        <v>553000</v>
      </c>
      <c r="AR203" s="6">
        <v>2568000</v>
      </c>
      <c r="AS203" s="6">
        <v>5128500</v>
      </c>
      <c r="AT203" s="6">
        <v>207201324</v>
      </c>
      <c r="AU203" s="4">
        <v>55.772934536036971</v>
      </c>
      <c r="AW203" s="6">
        <v>49405632</v>
      </c>
      <c r="AZ203" s="15">
        <v>216.92208965589589</v>
      </c>
      <c r="BC203" s="2">
        <v>288</v>
      </c>
      <c r="BE203" s="15">
        <v>504.92208965589589</v>
      </c>
      <c r="BF203" s="6">
        <v>21049.534722222223</v>
      </c>
      <c r="BH203" s="6">
        <v>196271</v>
      </c>
      <c r="BI203" s="6">
        <v>37279</v>
      </c>
      <c r="BK203" s="6">
        <v>26237</v>
      </c>
      <c r="BL203" s="6">
        <v>55308</v>
      </c>
      <c r="BM203" s="6">
        <v>11423</v>
      </c>
      <c r="BO203" s="6">
        <v>327632.5</v>
      </c>
      <c r="BP203" s="6">
        <v>3013.4</v>
      </c>
      <c r="BQ203" s="6">
        <v>357173.95822545455</v>
      </c>
      <c r="BT203" s="6">
        <v>36918717</v>
      </c>
      <c r="BV203" s="6">
        <v>36918717</v>
      </c>
      <c r="BW203" s="4">
        <v>13.697623287754595</v>
      </c>
      <c r="BX203" s="6">
        <v>35959166</v>
      </c>
      <c r="BZ203" s="6">
        <f>5457+23686</f>
        <v>29143</v>
      </c>
      <c r="CA203" s="6">
        <v>11676</v>
      </c>
      <c r="CC203" s="6">
        <v>1363057</v>
      </c>
      <c r="CD203" s="6">
        <v>2141000</v>
      </c>
      <c r="CE203" s="6">
        <v>114167774.00000001</v>
      </c>
      <c r="CG203" s="6">
        <v>117712650.00000001</v>
      </c>
      <c r="CH203" s="4">
        <v>25.921999792213267</v>
      </c>
      <c r="CO203" s="6">
        <v>209640</v>
      </c>
      <c r="CP203" s="6">
        <v>1053356</v>
      </c>
      <c r="CR203" s="6">
        <v>1262996</v>
      </c>
      <c r="CS203" s="2">
        <v>400</v>
      </c>
      <c r="CT203" s="6">
        <v>1262996</v>
      </c>
      <c r="CV203" s="6">
        <v>8565.6826976113953</v>
      </c>
      <c r="CX203" s="6">
        <v>55612.730300000003</v>
      </c>
      <c r="CY203" s="6">
        <v>64178.412997611398</v>
      </c>
      <c r="CZ203" s="6">
        <v>3391.5870023886018</v>
      </c>
      <c r="DA203" s="6">
        <v>10996.711431387312</v>
      </c>
      <c r="DB203" s="6">
        <v>62535.682697611395</v>
      </c>
      <c r="DD203" s="6">
        <v>242971</v>
      </c>
      <c r="DE203" s="6">
        <v>223561</v>
      </c>
      <c r="DG203" s="6">
        <v>68193</v>
      </c>
      <c r="DH203" s="6">
        <v>12000</v>
      </c>
      <c r="DI203" s="6">
        <v>8031.0000000000009</v>
      </c>
      <c r="DJ203" s="6">
        <v>21665</v>
      </c>
      <c r="DK203" s="6">
        <v>576421</v>
      </c>
      <c r="DL203" s="15">
        <v>681.98401713345481</v>
      </c>
      <c r="DM203" s="6">
        <v>473168.49418400007</v>
      </c>
      <c r="DO203" s="6">
        <v>311727</v>
      </c>
      <c r="DP203" s="6">
        <v>348982.99999999994</v>
      </c>
      <c r="DR203" s="6">
        <v>196986</v>
      </c>
      <c r="DS203" s="6">
        <v>6955.2</v>
      </c>
      <c r="DT203" s="6">
        <v>100263</v>
      </c>
      <c r="DU203" s="6">
        <v>47406</v>
      </c>
      <c r="DV203" s="6">
        <v>1012320.2</v>
      </c>
      <c r="DW203" s="6">
        <v>1506.7505891538372</v>
      </c>
      <c r="DX203" s="6">
        <v>990136.49056799989</v>
      </c>
      <c r="DZ203" s="2">
        <v>56</v>
      </c>
      <c r="EC203" s="6">
        <v>5557</v>
      </c>
      <c r="ED203" s="15">
        <v>185</v>
      </c>
      <c r="EF203" s="6">
        <v>5798</v>
      </c>
      <c r="EG203" s="6">
        <v>7550.3507787557664</v>
      </c>
      <c r="EJ203" s="6">
        <v>1312.10926449408</v>
      </c>
      <c r="EL203" s="6">
        <v>3120.3508320000001</v>
      </c>
      <c r="EM203" s="6">
        <v>4432.4600964940801</v>
      </c>
      <c r="EN203" s="6">
        <v>60233.893170926509</v>
      </c>
      <c r="EO203" s="6">
        <v>4312.9539999999997</v>
      </c>
      <c r="EZ203" s="6">
        <v>1515.9780958931581</v>
      </c>
      <c r="FF203" s="6">
        <v>1515.9780958931581</v>
      </c>
      <c r="FG203" s="6">
        <v>2313.394683026585</v>
      </c>
      <c r="FI203" s="200"/>
      <c r="FJ203" s="200"/>
      <c r="FK203" s="200"/>
      <c r="FL203" s="200"/>
      <c r="FN203" s="6">
        <v>1150.3067484662577</v>
      </c>
      <c r="FS203" s="4">
        <v>6</v>
      </c>
      <c r="FV203" s="4">
        <v>6</v>
      </c>
      <c r="FW203" s="15">
        <f>3000/6</f>
        <v>500</v>
      </c>
      <c r="FZ203" s="6">
        <v>2596.86</v>
      </c>
      <c r="GB203" s="6">
        <v>2596.86</v>
      </c>
      <c r="GC203" s="6">
        <v>2934.0592099689625</v>
      </c>
      <c r="GQ203" s="6">
        <v>2434</v>
      </c>
      <c r="GS203" s="115">
        <v>250000</v>
      </c>
      <c r="GT203" s="6">
        <v>252434</v>
      </c>
      <c r="GU203" s="4">
        <v>4.3705834018077239</v>
      </c>
      <c r="HL203" s="15">
        <v>632.89800000000002</v>
      </c>
      <c r="HM203" s="15">
        <v>351.29300000000001</v>
      </c>
      <c r="HO203" s="15">
        <v>632.89800000000002</v>
      </c>
      <c r="HP203" s="15">
        <v>351.29300000000001</v>
      </c>
      <c r="HW203" s="5">
        <v>62.099999999999994</v>
      </c>
      <c r="HY203" s="6">
        <v>4303.8</v>
      </c>
      <c r="HZ203" s="6">
        <f t="shared" si="363"/>
        <v>4365.9000000000005</v>
      </c>
      <c r="IA203" s="15">
        <v>441.97624260913062</v>
      </c>
      <c r="IF203" s="15">
        <v>689.88470347701195</v>
      </c>
      <c r="IJ203" s="15">
        <v>689.88470347701195</v>
      </c>
      <c r="IK203" s="6">
        <v>12615.030674846626</v>
      </c>
      <c r="IN203" s="15">
        <v>471.4076</v>
      </c>
      <c r="IP203" s="15">
        <v>471.4076</v>
      </c>
      <c r="IQ203" s="6">
        <v>102740.16689645482</v>
      </c>
      <c r="IW203" s="2">
        <v>488</v>
      </c>
      <c r="IY203" s="2">
        <v>537</v>
      </c>
      <c r="IZ203" s="6">
        <v>1025</v>
      </c>
      <c r="JC203" s="6">
        <v>30732</v>
      </c>
      <c r="JD203" s="6">
        <v>30732</v>
      </c>
      <c r="JE203" s="5">
        <v>93.742841338019005</v>
      </c>
      <c r="JG203" s="6">
        <v>184191</v>
      </c>
      <c r="JI203" s="5">
        <v>84</v>
      </c>
      <c r="JJ203" s="6">
        <v>14404.5</v>
      </c>
      <c r="JK203" s="5">
        <v>45.694053941476625</v>
      </c>
      <c r="JL203" s="4">
        <v>22.594293449963555</v>
      </c>
      <c r="JR203" s="6">
        <v>936778</v>
      </c>
      <c r="JS203" s="4">
        <v>57.254801575186441</v>
      </c>
      <c r="JT203" s="5">
        <v>86.999923140808178</v>
      </c>
      <c r="JV203" s="6">
        <v>1135373.5</v>
      </c>
      <c r="JW203" s="5">
        <v>86.999923140808178</v>
      </c>
      <c r="JX203" s="6">
        <v>1466000</v>
      </c>
      <c r="JY203" s="5">
        <v>84</v>
      </c>
      <c r="KE203" s="6">
        <v>12944</v>
      </c>
      <c r="KF203" s="4">
        <v>91.192830655129796</v>
      </c>
      <c r="KG203" s="15">
        <v>623.04658529048208</v>
      </c>
      <c r="KI203" s="6">
        <v>12944</v>
      </c>
      <c r="KJ203" s="15">
        <v>623.04658529048208</v>
      </c>
      <c r="KL203" s="6">
        <v>73677</v>
      </c>
      <c r="KO203" s="6">
        <v>59265</v>
      </c>
      <c r="KP203" s="5">
        <v>95.593520627689188</v>
      </c>
      <c r="KQ203" s="15">
        <v>734.77352568969877</v>
      </c>
      <c r="KY203" s="6">
        <v>59134</v>
      </c>
      <c r="KZ203" s="4">
        <v>94.326445023167722</v>
      </c>
      <c r="LA203" s="15">
        <v>670.70347008489193</v>
      </c>
      <c r="LC203" s="6">
        <v>192076</v>
      </c>
      <c r="LD203" s="15">
        <v>670.70347008489193</v>
      </c>
      <c r="LE203" s="6">
        <v>192000</v>
      </c>
      <c r="LF203" s="2">
        <v>708.8</v>
      </c>
      <c r="LH203" s="6">
        <v>358478</v>
      </c>
      <c r="LI203" s="4">
        <v>92</v>
      </c>
      <c r="LJ203" s="15">
        <v>452.38444479159114</v>
      </c>
      <c r="LL203" s="6">
        <v>62427</v>
      </c>
      <c r="LO203" s="6">
        <v>50967.5</v>
      </c>
      <c r="LP203" s="5">
        <v>66.495405122488606</v>
      </c>
      <c r="LQ203" s="5">
        <v>431.71067837347329</v>
      </c>
      <c r="LY203" s="6">
        <v>204332</v>
      </c>
      <c r="LZ203" s="4">
        <v>65.310377229215206</v>
      </c>
      <c r="MA203" s="15">
        <v>387.39366814791612</v>
      </c>
      <c r="MC203" s="6">
        <v>317726.5</v>
      </c>
      <c r="MD203" s="6">
        <v>288000</v>
      </c>
      <c r="ME203" s="2">
        <v>419.4</v>
      </c>
      <c r="MG203" s="2">
        <v>331</v>
      </c>
      <c r="MJ203" s="6">
        <v>103.5</v>
      </c>
      <c r="MK203" s="5">
        <v>89.85507246376811</v>
      </c>
      <c r="ML203" s="15">
        <v>476.35748792270533</v>
      </c>
      <c r="MN203" s="6">
        <v>7173</v>
      </c>
      <c r="MO203" s="4">
        <v>6.8625400808587758</v>
      </c>
      <c r="MP203" s="15">
        <v>300.54384497420887</v>
      </c>
      <c r="MQ203" s="6">
        <v>7607.5</v>
      </c>
      <c r="MR203" s="15">
        <v>303.0445956160242</v>
      </c>
      <c r="MV203" s="6">
        <v>6600</v>
      </c>
      <c r="MW203" s="2">
        <v>383.2</v>
      </c>
    </row>
    <row r="204" spans="1:375" x14ac:dyDescent="0.25">
      <c r="A204" s="2">
        <v>1992</v>
      </c>
      <c r="B204" s="6">
        <v>32608.000000000004</v>
      </c>
      <c r="C204" s="6">
        <v>5650</v>
      </c>
      <c r="D204" s="6">
        <v>3352.9999999999995</v>
      </c>
      <c r="E204" s="6">
        <v>1145</v>
      </c>
      <c r="F204" s="6">
        <v>1053</v>
      </c>
      <c r="G204" s="6">
        <v>181287</v>
      </c>
      <c r="H204" s="6">
        <v>18640</v>
      </c>
      <c r="I204" s="6">
        <v>243736</v>
      </c>
      <c r="J204" s="6">
        <v>15081.144439772228</v>
      </c>
      <c r="K204" s="6">
        <v>236524.83068330228</v>
      </c>
      <c r="M204" s="6">
        <v>597721.25600000005</v>
      </c>
      <c r="N204" s="6">
        <v>265452</v>
      </c>
      <c r="P204" s="6">
        <v>134223.86000000002</v>
      </c>
      <c r="Q204" s="6">
        <v>7679</v>
      </c>
      <c r="R204" s="6">
        <v>18497.999999999996</v>
      </c>
      <c r="S204" s="6">
        <v>31167.138999999999</v>
      </c>
      <c r="T204" s="6">
        <v>1024182.1159999999</v>
      </c>
      <c r="U204" s="15">
        <v>172.40876362492281</v>
      </c>
      <c r="V204" s="6">
        <v>927928.12803500006</v>
      </c>
      <c r="W204" s="209"/>
      <c r="X204" s="6">
        <v>8620605</v>
      </c>
      <c r="Z204" s="6">
        <v>5021</v>
      </c>
      <c r="AA204" s="6">
        <v>25441164.999999996</v>
      </c>
      <c r="AB204" s="34">
        <v>5679358</v>
      </c>
      <c r="AC204" s="6">
        <f t="shared" ref="AC204:AC233" si="368">SUM(X204:AB204)</f>
        <v>39746149</v>
      </c>
      <c r="AD204" s="4">
        <v>37.264206461376745</v>
      </c>
      <c r="AE204" s="5">
        <v>22.943617280937271</v>
      </c>
      <c r="AG204" s="6">
        <v>2327250.1199999996</v>
      </c>
      <c r="AI204" s="6">
        <v>7082757</v>
      </c>
      <c r="AJ204" s="6">
        <v>984605.82</v>
      </c>
      <c r="AK204" s="6">
        <v>10394612.939999999</v>
      </c>
      <c r="AL204" s="15">
        <v>162.68700716710649</v>
      </c>
      <c r="AN204" s="6">
        <v>112939364</v>
      </c>
      <c r="AO204" s="6">
        <v>102475800</v>
      </c>
      <c r="AQ204" s="6">
        <v>509000</v>
      </c>
      <c r="AR204" s="6">
        <v>2760500.0000000005</v>
      </c>
      <c r="AS204" s="6">
        <v>5436000</v>
      </c>
      <c r="AT204" s="6">
        <v>224120664</v>
      </c>
      <c r="AU204" s="4">
        <v>57.046150846546517</v>
      </c>
      <c r="AW204" s="6">
        <v>50736959</v>
      </c>
      <c r="AZ204" s="15">
        <v>114.50282045344136</v>
      </c>
      <c r="BC204" s="2">
        <v>557</v>
      </c>
      <c r="BE204" s="15">
        <v>671.50282045344136</v>
      </c>
      <c r="BF204" s="6">
        <v>54178.178644763859</v>
      </c>
      <c r="BH204" s="6">
        <v>170128</v>
      </c>
      <c r="BI204" s="6">
        <v>34959</v>
      </c>
      <c r="BK204" s="6">
        <v>20411.77</v>
      </c>
      <c r="BL204" s="6">
        <v>57730</v>
      </c>
      <c r="BM204" s="6">
        <v>7019</v>
      </c>
      <c r="BN204" s="6">
        <v>3000</v>
      </c>
      <c r="BO204" s="6">
        <v>298159.77</v>
      </c>
      <c r="BP204" s="6">
        <v>4078.5254281757011</v>
      </c>
      <c r="BQ204" s="6">
        <v>360842.24992921209</v>
      </c>
      <c r="BT204" s="6">
        <v>41092595</v>
      </c>
      <c r="BV204" s="6">
        <v>41092595</v>
      </c>
      <c r="BW204" s="4">
        <v>13.63130776418479</v>
      </c>
      <c r="BX204" s="6">
        <v>39999764</v>
      </c>
      <c r="BZ204" s="6">
        <f>10846+24051</f>
        <v>34897</v>
      </c>
      <c r="CA204" s="6">
        <v>12694</v>
      </c>
      <c r="CC204" s="6">
        <v>1436718.0000000002</v>
      </c>
      <c r="CD204" s="6">
        <v>2531000</v>
      </c>
      <c r="CE204" s="6">
        <v>108147133</v>
      </c>
      <c r="CG204" s="6">
        <v>112162442</v>
      </c>
      <c r="CH204" s="4">
        <v>27.184258635109689</v>
      </c>
      <c r="CO204" s="6">
        <v>402844</v>
      </c>
      <c r="CP204" s="6">
        <v>835747</v>
      </c>
      <c r="CR204" s="6">
        <v>1238591</v>
      </c>
      <c r="CS204" s="2">
        <v>377</v>
      </c>
      <c r="CT204" s="6">
        <v>1238591</v>
      </c>
      <c r="CV204" s="6">
        <v>5098.9931871503541</v>
      </c>
      <c r="CX204" s="6">
        <v>47850.384999999995</v>
      </c>
      <c r="CY204" s="6">
        <v>52949.378187150345</v>
      </c>
      <c r="CZ204" s="6">
        <v>4930.6218128496548</v>
      </c>
      <c r="DA204" s="6">
        <v>8943.8586602788873</v>
      </c>
      <c r="DB204" s="6">
        <v>53573.881187150357</v>
      </c>
      <c r="DD204" s="6">
        <v>238700.00000000003</v>
      </c>
      <c r="DE204" s="6">
        <v>220256.00000000003</v>
      </c>
      <c r="DG204" s="6">
        <v>66670.060000000012</v>
      </c>
      <c r="DH204" s="6">
        <v>19000</v>
      </c>
      <c r="DI204" s="6">
        <v>28210.71</v>
      </c>
      <c r="DJ204" s="6">
        <v>13129.8645</v>
      </c>
      <c r="DK204" s="6">
        <v>585966.63450000004</v>
      </c>
      <c r="DL204" s="15">
        <v>766.50256838333667</v>
      </c>
      <c r="DM204" s="6">
        <v>521069.63132000004</v>
      </c>
      <c r="DO204" s="6">
        <v>319865</v>
      </c>
      <c r="DP204" s="6">
        <v>330117</v>
      </c>
      <c r="DR204" s="6">
        <v>233074.11</v>
      </c>
      <c r="DS204" s="15">
        <v>171.6</v>
      </c>
      <c r="DT204" s="6">
        <v>141385.00000000003</v>
      </c>
      <c r="DU204" s="6">
        <v>40697.730600000003</v>
      </c>
      <c r="DV204" s="6">
        <v>1065310.4405999999</v>
      </c>
      <c r="DW204" s="6">
        <v>1773.3365278648077</v>
      </c>
      <c r="DX204" s="6">
        <v>952710.05856000003</v>
      </c>
      <c r="DZ204" s="2">
        <v>52</v>
      </c>
      <c r="EC204" s="6">
        <v>6117.1049999999996</v>
      </c>
      <c r="ED204" s="15">
        <v>198.00000000000003</v>
      </c>
      <c r="EF204" s="6">
        <v>6367.1049999999996</v>
      </c>
      <c r="EG204" s="6">
        <v>8899.2557417669523</v>
      </c>
      <c r="EJ204" s="6">
        <v>1382.1862154558398</v>
      </c>
      <c r="EL204" s="6">
        <v>1349.7192</v>
      </c>
      <c r="EM204" s="6">
        <v>2731.9054154558398</v>
      </c>
      <c r="EN204" s="6">
        <v>48710.092874029062</v>
      </c>
      <c r="EO204" s="6">
        <v>2727.1970000000001</v>
      </c>
      <c r="EZ204" s="6">
        <v>1700</v>
      </c>
      <c r="FF204" s="6">
        <v>1700</v>
      </c>
      <c r="FG204" s="6">
        <v>2270.35490605428</v>
      </c>
      <c r="FI204" s="200"/>
      <c r="FJ204" s="200"/>
      <c r="FK204" s="200"/>
      <c r="FL204" s="200"/>
      <c r="FN204" s="6">
        <v>1145.6158663883091</v>
      </c>
      <c r="FZ204" s="6">
        <v>2398.7999999999997</v>
      </c>
      <c r="GB204" s="6">
        <v>2398.7999999999997</v>
      </c>
      <c r="GC204" s="6">
        <v>3374.8011505752879</v>
      </c>
      <c r="GQ204" s="6">
        <v>1481</v>
      </c>
      <c r="GS204" s="115">
        <v>500000</v>
      </c>
      <c r="GT204" s="6">
        <v>501481</v>
      </c>
      <c r="GU204" s="4">
        <v>5.0364618501012828</v>
      </c>
      <c r="HL204" s="15">
        <v>142.87100000000001</v>
      </c>
      <c r="HM204" s="15">
        <v>538.81700000000001</v>
      </c>
      <c r="HO204" s="15">
        <v>142.87100000000001</v>
      </c>
      <c r="HP204" s="15">
        <v>538.81700000000001</v>
      </c>
      <c r="HW204" s="5">
        <v>23.099999999999998</v>
      </c>
      <c r="HY204" s="6">
        <v>3007.2</v>
      </c>
      <c r="HZ204" s="6">
        <f t="shared" si="363"/>
        <v>3030.2999999999997</v>
      </c>
      <c r="IA204" s="15">
        <v>426.24113891366596</v>
      </c>
      <c r="IF204" s="15">
        <v>181.59034148992612</v>
      </c>
      <c r="IJ204" s="15">
        <v>181.59034148992612</v>
      </c>
      <c r="IK204" s="6">
        <v>12160.751565762004</v>
      </c>
      <c r="IN204" s="15">
        <v>652.77250000000004</v>
      </c>
      <c r="IP204" s="15">
        <v>652.77250000000004</v>
      </c>
      <c r="IQ204" s="6">
        <v>112013.08049365088</v>
      </c>
      <c r="IW204" s="2">
        <v>493</v>
      </c>
      <c r="IY204" s="2">
        <v>539</v>
      </c>
      <c r="IZ204" s="6">
        <v>1032</v>
      </c>
      <c r="JC204" s="6">
        <v>38140</v>
      </c>
      <c r="JD204" s="6">
        <v>38140</v>
      </c>
      <c r="JE204" s="5">
        <v>94.684687991609863</v>
      </c>
      <c r="JG204" s="6">
        <v>130224</v>
      </c>
      <c r="JH204" s="4">
        <v>75.942831487578573</v>
      </c>
      <c r="JI204" s="2">
        <v>81.099999999999994</v>
      </c>
      <c r="JJ204" s="6">
        <v>10545</v>
      </c>
      <c r="JK204" s="5">
        <v>45.395922238027502</v>
      </c>
      <c r="JL204" s="4">
        <v>20.933143669985775</v>
      </c>
      <c r="JR204" s="6">
        <v>1044856</v>
      </c>
      <c r="JS204" s="4">
        <v>57.032103064919959</v>
      </c>
      <c r="JT204" s="5">
        <v>83.548364559326842</v>
      </c>
      <c r="JV204" s="6">
        <v>1185625</v>
      </c>
      <c r="JW204" s="5">
        <v>83.548364559326842</v>
      </c>
      <c r="JX204" s="6">
        <v>1787000</v>
      </c>
      <c r="JY204" s="2">
        <v>81.099999999999994</v>
      </c>
      <c r="KE204" s="6">
        <v>11463</v>
      </c>
      <c r="KF204" s="4">
        <v>91.119253249585626</v>
      </c>
      <c r="KG204" s="15">
        <v>453.98874640146556</v>
      </c>
      <c r="KI204" s="6">
        <v>11463</v>
      </c>
      <c r="KJ204" s="15">
        <v>453.98874640146556</v>
      </c>
      <c r="KL204" s="6">
        <v>62767</v>
      </c>
      <c r="KM204" s="4">
        <v>95.894339382159416</v>
      </c>
      <c r="KO204" s="6">
        <v>53039.5</v>
      </c>
      <c r="KP204" s="5">
        <v>95.644755323862398</v>
      </c>
      <c r="KQ204" s="15">
        <v>580.78186068873197</v>
      </c>
      <c r="KY204" s="6">
        <v>68964</v>
      </c>
      <c r="KZ204" s="4">
        <v>93.63000986021693</v>
      </c>
      <c r="LA204" s="15">
        <v>566.26418131198886</v>
      </c>
      <c r="LC204" s="6">
        <v>184770.5</v>
      </c>
      <c r="LD204" s="15">
        <v>566.26418131198886</v>
      </c>
      <c r="LE204" s="6">
        <v>183000</v>
      </c>
      <c r="LF204" s="2">
        <v>568.5</v>
      </c>
      <c r="LH204" s="6">
        <v>334480</v>
      </c>
      <c r="LI204" s="4">
        <v>92</v>
      </c>
      <c r="LJ204" s="15">
        <v>548.57619887586702</v>
      </c>
      <c r="LL204" s="6">
        <v>60190</v>
      </c>
      <c r="LM204" s="4">
        <v>58.290413689981726</v>
      </c>
      <c r="LO204" s="6">
        <v>49658.5</v>
      </c>
      <c r="LP204" s="5">
        <v>66.464136182909812</v>
      </c>
      <c r="LQ204" s="5">
        <v>294.964406899121</v>
      </c>
      <c r="LY204" s="6">
        <v>265166</v>
      </c>
      <c r="LZ204" s="4">
        <v>65.554407427799944</v>
      </c>
      <c r="MA204" s="15">
        <v>194.05213338059932</v>
      </c>
      <c r="MC204" s="6">
        <v>375014.5</v>
      </c>
      <c r="MD204" s="6">
        <v>355000</v>
      </c>
      <c r="ME204" s="2">
        <v>230.8</v>
      </c>
      <c r="MG204" s="2">
        <v>76</v>
      </c>
      <c r="MJ204" s="6">
        <v>38.5</v>
      </c>
      <c r="MK204" s="5">
        <v>89.610389610389603</v>
      </c>
      <c r="ML204" s="15">
        <v>246.19480519480518</v>
      </c>
      <c r="MN204" s="6">
        <v>5012</v>
      </c>
      <c r="MO204" s="4">
        <v>6.4956105347166799</v>
      </c>
      <c r="MP204" s="15">
        <v>289.84397446129287</v>
      </c>
      <c r="MQ204" s="6">
        <v>5126.5</v>
      </c>
      <c r="MR204" s="15">
        <v>289.51123651123646</v>
      </c>
      <c r="MV204" s="6">
        <v>5600</v>
      </c>
      <c r="MW204" s="5">
        <v>300</v>
      </c>
    </row>
    <row r="205" spans="1:375" x14ac:dyDescent="0.25">
      <c r="A205" s="2">
        <v>1993</v>
      </c>
      <c r="B205" s="6">
        <v>27404.957880000002</v>
      </c>
      <c r="C205" s="6">
        <v>8111.8169600000001</v>
      </c>
      <c r="D205" s="6">
        <v>4363.7240099999999</v>
      </c>
      <c r="E205" s="6">
        <v>1301.090829</v>
      </c>
      <c r="F205" s="6">
        <v>1675.9484589999997</v>
      </c>
      <c r="G205" s="6">
        <v>167363.47209999998</v>
      </c>
      <c r="H205" s="6">
        <v>17090.176729999999</v>
      </c>
      <c r="I205" s="6">
        <v>227311.18696799999</v>
      </c>
      <c r="J205" s="6">
        <v>17179.692449968003</v>
      </c>
      <c r="K205" s="6">
        <v>242259.90417931427</v>
      </c>
      <c r="M205" s="6">
        <v>547949</v>
      </c>
      <c r="N205" s="6">
        <v>248112.00000000003</v>
      </c>
      <c r="P205" s="6">
        <v>159294.81899999999</v>
      </c>
      <c r="Q205" s="6">
        <v>11640</v>
      </c>
      <c r="S205" s="6">
        <v>23264.056</v>
      </c>
      <c r="T205" s="6">
        <v>957839.8189999999</v>
      </c>
      <c r="U205" s="15">
        <v>205.73467181006055</v>
      </c>
      <c r="V205" s="6">
        <v>967046.99907000002</v>
      </c>
      <c r="W205" s="209"/>
      <c r="X205" s="6">
        <v>8377688</v>
      </c>
      <c r="AA205" s="6">
        <v>27095377.999999996</v>
      </c>
      <c r="AB205" s="34">
        <v>5846687.0000000009</v>
      </c>
      <c r="AC205" s="6">
        <f t="shared" si="368"/>
        <v>41319753</v>
      </c>
      <c r="AD205" s="4">
        <v>36.859786545674652</v>
      </c>
      <c r="AE205" s="5">
        <v>23.856858846918488</v>
      </c>
      <c r="AG205" s="6">
        <v>3275511.2</v>
      </c>
      <c r="AI205" s="6">
        <v>7801274</v>
      </c>
      <c r="AJ205" s="6">
        <v>1385793.2000000002</v>
      </c>
      <c r="AK205" s="6">
        <v>12462578.399999999</v>
      </c>
      <c r="AL205" s="15">
        <v>162.81523885524163</v>
      </c>
      <c r="AN205" s="6">
        <v>111135983.00000001</v>
      </c>
      <c r="AO205" s="6">
        <v>104496587</v>
      </c>
      <c r="AQ205" s="6">
        <v>523499.99999999994</v>
      </c>
      <c r="AR205" s="6">
        <v>2738500</v>
      </c>
      <c r="AS205" s="6">
        <v>5273999.9999999991</v>
      </c>
      <c r="AT205" s="6">
        <v>224168570</v>
      </c>
      <c r="AU205" s="4">
        <v>57.940105467327754</v>
      </c>
      <c r="AW205" s="6">
        <v>47915472</v>
      </c>
      <c r="AZ205" s="15">
        <v>176.92349869464283</v>
      </c>
      <c r="BC205" s="2">
        <v>297</v>
      </c>
      <c r="BE205" s="15">
        <v>473.92349869464283</v>
      </c>
      <c r="BF205" s="6">
        <v>36755.329966329969</v>
      </c>
      <c r="BH205" s="6">
        <v>218619</v>
      </c>
      <c r="BI205" s="6">
        <v>58750</v>
      </c>
      <c r="BK205" s="6">
        <v>30055.42</v>
      </c>
      <c r="BL205" s="6">
        <v>66574</v>
      </c>
      <c r="BM205" s="6">
        <v>25782</v>
      </c>
      <c r="BN205" s="6">
        <v>4040.2656000000002</v>
      </c>
      <c r="BO205" s="6">
        <v>421951.42</v>
      </c>
      <c r="BP205" s="6">
        <v>2805.5166863118729</v>
      </c>
      <c r="BQ205" s="6">
        <v>417918.68319866667</v>
      </c>
      <c r="BT205" s="6">
        <v>43070219</v>
      </c>
      <c r="BV205" s="6">
        <v>43070219</v>
      </c>
      <c r="BW205" s="4">
        <v>21.491468572075195</v>
      </c>
      <c r="BX205" s="6">
        <v>41907807</v>
      </c>
      <c r="BZ205" s="6">
        <v>21046</v>
      </c>
      <c r="CC205" s="6">
        <v>1590129</v>
      </c>
      <c r="CD205" s="6">
        <v>2828000</v>
      </c>
      <c r="CE205" s="6">
        <v>116273823</v>
      </c>
      <c r="CG205" s="6">
        <v>120712998</v>
      </c>
      <c r="CH205" s="4">
        <v>25.928267763513112</v>
      </c>
      <c r="CO205" s="6">
        <v>247858</v>
      </c>
      <c r="CP205" s="6">
        <v>1478503</v>
      </c>
      <c r="CR205" s="6">
        <v>1726361</v>
      </c>
      <c r="CS205" s="2">
        <v>267</v>
      </c>
      <c r="CT205" s="6">
        <v>1726361</v>
      </c>
      <c r="CV205" s="6">
        <v>5328.7300503122569</v>
      </c>
      <c r="CX205" s="6">
        <v>55462.794500000004</v>
      </c>
      <c r="CY205" s="6">
        <v>60791.524550312257</v>
      </c>
      <c r="CZ205" s="6">
        <v>45516.780549687741</v>
      </c>
      <c r="DA205" s="6">
        <v>7782.037283039449</v>
      </c>
      <c r="DB205" s="6">
        <v>69759.330050312259</v>
      </c>
      <c r="DD205" s="6">
        <v>219601</v>
      </c>
      <c r="DE205" s="6">
        <v>214623</v>
      </c>
      <c r="DG205" s="6">
        <v>66647.37</v>
      </c>
      <c r="DI205" s="6">
        <v>29109.593000000001</v>
      </c>
      <c r="DJ205" s="6">
        <v>10369.533000000001</v>
      </c>
      <c r="DK205" s="6">
        <v>540350.49600000004</v>
      </c>
      <c r="DL205" s="15">
        <v>603.44600008025884</v>
      </c>
      <c r="DM205" s="6">
        <v>509740.59489000001</v>
      </c>
      <c r="DO205" s="6">
        <v>339151</v>
      </c>
      <c r="DP205" s="6">
        <v>319746</v>
      </c>
      <c r="DR205" s="6">
        <v>192955.734</v>
      </c>
      <c r="DT205" s="6">
        <v>138418</v>
      </c>
      <c r="DU205" s="6">
        <v>31245.838999999996</v>
      </c>
      <c r="DV205" s="6">
        <v>1021516.573</v>
      </c>
      <c r="DW205" s="6">
        <v>1420.3983879222408</v>
      </c>
      <c r="DX205" s="6">
        <v>951362.84561200009</v>
      </c>
      <c r="DZ205" s="2">
        <v>13</v>
      </c>
      <c r="EA205" s="2">
        <v>13</v>
      </c>
      <c r="EC205" s="6">
        <v>7732</v>
      </c>
      <c r="ED205" s="15">
        <v>110</v>
      </c>
      <c r="EF205" s="6">
        <v>7868</v>
      </c>
      <c r="EG205" s="6">
        <v>7612.307940943705</v>
      </c>
      <c r="EJ205" s="6">
        <v>1306.5535803168</v>
      </c>
      <c r="EL205" s="6">
        <v>1334.7223200000001</v>
      </c>
      <c r="EM205" s="6">
        <v>2641.2759003168003</v>
      </c>
      <c r="EN205" s="6">
        <v>51131.560175054736</v>
      </c>
      <c r="EO205" s="6">
        <v>2765.8939999999998</v>
      </c>
      <c r="EZ205" s="6">
        <v>1854</v>
      </c>
      <c r="FF205" s="6">
        <v>1854</v>
      </c>
      <c r="FG205" s="6">
        <v>2439.7244546498277</v>
      </c>
      <c r="FI205" s="200"/>
      <c r="FJ205" s="200"/>
      <c r="FK205" s="200"/>
      <c r="FL205" s="200"/>
      <c r="FN205" s="6">
        <v>988.80597014925377</v>
      </c>
      <c r="FS205" s="2">
        <v>318</v>
      </c>
      <c r="FV205" s="2">
        <v>318</v>
      </c>
      <c r="FW205" s="15">
        <f>103082/238</f>
        <v>433.11764705882354</v>
      </c>
      <c r="FZ205" s="6">
        <v>2429.4</v>
      </c>
      <c r="GB205" s="6">
        <v>2429.4</v>
      </c>
      <c r="GC205" s="6">
        <v>3464.306001481847</v>
      </c>
      <c r="GQ205" s="6">
        <v>1681</v>
      </c>
      <c r="GS205" s="115">
        <v>500000</v>
      </c>
      <c r="GT205" s="6">
        <v>501681</v>
      </c>
      <c r="GU205" s="5">
        <v>24.325401546698394</v>
      </c>
      <c r="HL205" s="5">
        <v>79.164000000000001</v>
      </c>
      <c r="HM205" s="15">
        <v>404.87700000000001</v>
      </c>
      <c r="HO205" s="5">
        <v>79.164000000000001</v>
      </c>
      <c r="HP205" s="15">
        <v>404.87700000000001</v>
      </c>
      <c r="HY205" s="6">
        <v>3992.3999999999996</v>
      </c>
      <c r="HZ205" s="6">
        <f t="shared" si="363"/>
        <v>3992.3999999999996</v>
      </c>
      <c r="IA205" s="15">
        <v>423.22176841881924</v>
      </c>
      <c r="IF205" s="15">
        <v>121.22289956547057</v>
      </c>
      <c r="IJ205" s="15">
        <v>121.22289956547057</v>
      </c>
      <c r="IK205" s="6">
        <v>9787.6004592422505</v>
      </c>
      <c r="IN205" s="15">
        <v>237.82089999999999</v>
      </c>
      <c r="IP205" s="15">
        <v>237.82089999999999</v>
      </c>
      <c r="IQ205" s="6">
        <v>103900.10873347415</v>
      </c>
      <c r="IW205" s="2">
        <v>353</v>
      </c>
      <c r="IY205" s="2">
        <v>421</v>
      </c>
      <c r="IZ205" s="2">
        <v>774</v>
      </c>
      <c r="JC205" s="6">
        <v>48202</v>
      </c>
      <c r="JD205" s="6">
        <v>48202</v>
      </c>
      <c r="JE205" s="5">
        <v>95.071055142940125</v>
      </c>
      <c r="JG205" s="6">
        <v>157374</v>
      </c>
      <c r="JH205" s="4">
        <v>75.942831487578573</v>
      </c>
      <c r="JI205" s="2">
        <v>82.6</v>
      </c>
      <c r="JJ205" s="6">
        <v>7631.3333333333339</v>
      </c>
      <c r="JK205" s="5">
        <v>45.802917795055471</v>
      </c>
      <c r="JL205" s="4">
        <v>23.062282830210098</v>
      </c>
      <c r="JR205" s="6">
        <v>1008377</v>
      </c>
      <c r="JS205" s="4">
        <v>57.26022363659623</v>
      </c>
      <c r="JT205" s="5">
        <v>84.688565883593142</v>
      </c>
      <c r="JV205" s="6">
        <v>1173382.3333333333</v>
      </c>
      <c r="JW205" s="5">
        <v>84.688565883593142</v>
      </c>
      <c r="JX205" s="6">
        <v>1795000</v>
      </c>
      <c r="JY205" s="2">
        <v>82.6</v>
      </c>
      <c r="KE205" s="6">
        <v>12689</v>
      </c>
      <c r="KF205" s="4">
        <v>91.18133816691622</v>
      </c>
      <c r="KG205" s="15">
        <v>382.26266845299079</v>
      </c>
      <c r="KI205" s="6">
        <v>12689</v>
      </c>
      <c r="KJ205" s="15">
        <v>382.26266845299079</v>
      </c>
      <c r="KL205" s="6">
        <v>59181</v>
      </c>
      <c r="KM205" s="4">
        <v>95.500245011067747</v>
      </c>
      <c r="KO205" s="6">
        <v>47572.276210379656</v>
      </c>
      <c r="KP205" s="5">
        <v>95.689067161770865</v>
      </c>
      <c r="KQ205" s="15">
        <v>586.19919794523491</v>
      </c>
      <c r="KY205" s="6">
        <v>56596</v>
      </c>
      <c r="KZ205" s="4">
        <v>95.029684076613194</v>
      </c>
      <c r="LA205" s="15">
        <v>529.61640398614747</v>
      </c>
      <c r="LC205" s="6">
        <v>163349.27621037967</v>
      </c>
      <c r="LD205" s="15">
        <v>529.61640398614747</v>
      </c>
      <c r="LE205" s="6">
        <v>187000</v>
      </c>
      <c r="LF205" s="2">
        <v>543.29999999999995</v>
      </c>
      <c r="LH205" s="6">
        <v>308601</v>
      </c>
      <c r="LI205" s="4">
        <v>92</v>
      </c>
      <c r="LJ205" s="15">
        <v>465.11371965742171</v>
      </c>
      <c r="LL205" s="6">
        <v>52698</v>
      </c>
      <c r="LM205" s="4">
        <v>66.199855782003112</v>
      </c>
      <c r="LO205" s="6">
        <v>42543.013468013465</v>
      </c>
      <c r="LP205" s="5">
        <v>66.502317647381915</v>
      </c>
      <c r="LQ205" s="5">
        <v>310.26276741780492</v>
      </c>
      <c r="LY205" s="6">
        <v>299761</v>
      </c>
      <c r="LZ205" s="4">
        <v>65.532540924269668</v>
      </c>
      <c r="MA205" s="15">
        <v>154.31218203835724</v>
      </c>
      <c r="MC205" s="6">
        <v>395002.01346801349</v>
      </c>
      <c r="MD205" s="6">
        <v>413000</v>
      </c>
      <c r="ME205" s="2">
        <v>180.7</v>
      </c>
      <c r="MN205" s="6">
        <v>6654</v>
      </c>
      <c r="MO205" s="4">
        <v>6.3954012623985577</v>
      </c>
      <c r="MP205" s="15">
        <v>287.79080252479713</v>
      </c>
      <c r="MQ205" s="6">
        <v>6654</v>
      </c>
      <c r="MR205" s="15">
        <v>287.79080252479713</v>
      </c>
      <c r="MV205" s="6">
        <v>6500</v>
      </c>
      <c r="MW205" s="2">
        <v>296.5</v>
      </c>
    </row>
    <row r="206" spans="1:375" x14ac:dyDescent="0.25">
      <c r="A206" s="2">
        <v>1994</v>
      </c>
      <c r="B206" s="6">
        <v>29232.786150000004</v>
      </c>
      <c r="C206" s="6">
        <v>7601.8444199999994</v>
      </c>
      <c r="D206" s="6">
        <v>3819.8175689999994</v>
      </c>
      <c r="E206" s="6">
        <v>1322.022035</v>
      </c>
      <c r="F206" s="6">
        <v>1843.9694239999999</v>
      </c>
      <c r="G206" s="6">
        <v>175673.44440000001</v>
      </c>
      <c r="H206" s="6">
        <v>17422.672859999999</v>
      </c>
      <c r="I206" s="6">
        <v>236916.556858</v>
      </c>
      <c r="J206" s="6">
        <v>17029.679915390421</v>
      </c>
      <c r="K206" s="6">
        <v>249231.71311804999</v>
      </c>
      <c r="M206" s="6">
        <v>579722</v>
      </c>
      <c r="N206" s="6">
        <v>238185</v>
      </c>
      <c r="P206" s="6">
        <v>140938.27300000002</v>
      </c>
      <c r="Q206" s="6">
        <v>11472</v>
      </c>
      <c r="R206" s="2">
        <v>530</v>
      </c>
      <c r="S206" s="6">
        <v>11880</v>
      </c>
      <c r="T206" s="6">
        <v>961235.27300000004</v>
      </c>
      <c r="U206" s="15">
        <v>233.68599302741904</v>
      </c>
      <c r="V206" s="6">
        <v>875225.24916952744</v>
      </c>
      <c r="W206" s="209"/>
      <c r="X206" s="6">
        <v>9057040</v>
      </c>
      <c r="Z206" s="6">
        <v>1500</v>
      </c>
      <c r="AA206" s="6">
        <v>27088773</v>
      </c>
      <c r="AB206" s="34">
        <v>6013547.0000000009</v>
      </c>
      <c r="AC206" s="6">
        <f t="shared" si="368"/>
        <v>42160860</v>
      </c>
      <c r="AD206" s="4">
        <v>37.212515811435466</v>
      </c>
      <c r="AE206" s="5">
        <v>22.455500433402932</v>
      </c>
      <c r="AG206" s="6">
        <v>3333068.1799999997</v>
      </c>
      <c r="AI206" s="6">
        <v>7933321</v>
      </c>
      <c r="AJ206" s="6">
        <v>1410144.23</v>
      </c>
      <c r="AK206" s="6">
        <v>12676533.41</v>
      </c>
      <c r="AL206" s="15">
        <v>117.1638767296664</v>
      </c>
      <c r="AN206" s="6">
        <v>115003309</v>
      </c>
      <c r="AO206" s="6">
        <v>103900185.99999999</v>
      </c>
      <c r="AQ206" s="6">
        <v>592499.99999999988</v>
      </c>
      <c r="AR206" s="6">
        <v>2865500</v>
      </c>
      <c r="AS206" s="6">
        <v>5488500</v>
      </c>
      <c r="AT206" s="6">
        <v>227849995</v>
      </c>
      <c r="AU206" s="4">
        <v>51.046801787650672</v>
      </c>
      <c r="AW206" s="6">
        <v>48339182</v>
      </c>
      <c r="AZ206" s="15">
        <v>155.79041791918667</v>
      </c>
      <c r="BC206" s="2">
        <v>657</v>
      </c>
      <c r="BE206" s="15">
        <v>812.79041791918667</v>
      </c>
      <c r="BF206" s="6">
        <v>68574.84773662551</v>
      </c>
      <c r="BH206" s="6">
        <v>215446</v>
      </c>
      <c r="BI206" s="6">
        <v>66140</v>
      </c>
      <c r="BJ206" s="6">
        <v>8000</v>
      </c>
      <c r="BK206" s="6">
        <v>31650.526999999998</v>
      </c>
      <c r="BL206" s="6">
        <v>64071</v>
      </c>
      <c r="BM206" s="6">
        <v>23213.9208</v>
      </c>
      <c r="BN206" s="6">
        <v>5066.666666666667</v>
      </c>
      <c r="BO206" s="6">
        <v>418381.44780000002</v>
      </c>
      <c r="BP206" s="6">
        <v>3106.1713103501888</v>
      </c>
      <c r="BQ206" s="6">
        <v>439917.27821733337</v>
      </c>
      <c r="BT206" s="6">
        <v>44638683</v>
      </c>
      <c r="BV206" s="6">
        <v>44638683</v>
      </c>
      <c r="BW206" s="4">
        <v>16.969827253558119</v>
      </c>
      <c r="BX206" s="6">
        <v>43682643</v>
      </c>
      <c r="BZ206" s="6">
        <f>10785+26436</f>
        <v>37221</v>
      </c>
      <c r="CC206" s="6">
        <v>1573085</v>
      </c>
      <c r="CD206" s="6">
        <v>2931000</v>
      </c>
      <c r="CE206" s="6">
        <v>124262000</v>
      </c>
      <c r="CG206" s="6">
        <v>128803306</v>
      </c>
      <c r="CH206" s="4">
        <v>21.749298685047741</v>
      </c>
      <c r="CO206" s="6">
        <v>202523</v>
      </c>
      <c r="CP206" s="6">
        <v>1699825</v>
      </c>
      <c r="CR206" s="6">
        <v>1902348</v>
      </c>
      <c r="CS206" s="2">
        <v>212</v>
      </c>
      <c r="CT206" s="6">
        <v>1902348</v>
      </c>
      <c r="CV206" s="6">
        <v>3009.9313402147382</v>
      </c>
      <c r="CX206" s="6">
        <v>77735.922399999996</v>
      </c>
      <c r="CY206" s="6">
        <v>80745.853740214734</v>
      </c>
      <c r="CZ206" s="6">
        <v>112458.61435978526</v>
      </c>
      <c r="DA206" s="6">
        <v>8704.6629120251146</v>
      </c>
      <c r="DB206" s="6">
        <v>76100.931340214738</v>
      </c>
      <c r="DD206" s="6">
        <v>219591.99999999997</v>
      </c>
      <c r="DE206" s="6">
        <v>205639</v>
      </c>
      <c r="DG206" s="6">
        <v>57010.720999999998</v>
      </c>
      <c r="DI206" s="6">
        <v>22014</v>
      </c>
      <c r="DJ206" s="6">
        <v>7707</v>
      </c>
      <c r="DK206" s="6">
        <v>511962.72100000002</v>
      </c>
      <c r="DL206" s="15">
        <v>741.09228722676437</v>
      </c>
      <c r="DM206" s="6">
        <v>494938.87468000001</v>
      </c>
      <c r="DO206" s="6">
        <v>297382</v>
      </c>
      <c r="DP206" s="6">
        <v>331975</v>
      </c>
      <c r="DR206" s="6">
        <v>177245.62700000001</v>
      </c>
      <c r="DT206" s="6">
        <v>133996</v>
      </c>
      <c r="DU206" s="6">
        <v>24929.000000000004</v>
      </c>
      <c r="DV206" s="6">
        <v>965527.62699999998</v>
      </c>
      <c r="DW206" s="6">
        <v>1351.368841863311</v>
      </c>
      <c r="DX206" s="6">
        <v>978586.74938000005</v>
      </c>
      <c r="DZ206" s="2">
        <v>21</v>
      </c>
      <c r="EC206" s="6">
        <v>7525</v>
      </c>
      <c r="ED206" s="15">
        <v>209</v>
      </c>
      <c r="EF206" s="6">
        <v>7755</v>
      </c>
      <c r="EG206" s="6">
        <v>7454.3966765869782</v>
      </c>
      <c r="EJ206" s="6">
        <v>1128.3606521568001</v>
      </c>
      <c r="EL206" s="6">
        <v>1461.6959040000002</v>
      </c>
      <c r="EM206" s="6">
        <v>2590.0565561568001</v>
      </c>
      <c r="EN206" s="6">
        <v>44997.891956464038</v>
      </c>
      <c r="EO206" s="6">
        <v>2681.4</v>
      </c>
      <c r="EZ206" s="15">
        <v>528.61199999999997</v>
      </c>
      <c r="FF206" s="15">
        <v>528.61199999999997</v>
      </c>
      <c r="FG206" s="6">
        <v>5690.2308027289882</v>
      </c>
      <c r="FI206" s="200"/>
      <c r="FJ206" s="200"/>
      <c r="FK206" s="200"/>
      <c r="FL206" s="200"/>
      <c r="FN206" s="6">
        <v>1007.4031064015097</v>
      </c>
      <c r="FS206" s="2">
        <v>413</v>
      </c>
      <c r="FV206" s="2">
        <v>413</v>
      </c>
      <c r="FW206" s="15">
        <f>133179/413</f>
        <v>322.46731234866826</v>
      </c>
      <c r="FZ206" s="6">
        <v>3977.8799999999997</v>
      </c>
      <c r="GB206" s="6">
        <v>3977.8799999999997</v>
      </c>
      <c r="GC206" s="6">
        <v>2827.2881534887933</v>
      </c>
      <c r="GQ206" s="6">
        <v>3401</v>
      </c>
      <c r="GS206" s="115">
        <v>500000</v>
      </c>
      <c r="GT206" s="6">
        <v>503401</v>
      </c>
      <c r="GU206" s="4">
        <v>4</v>
      </c>
      <c r="HL206" s="2">
        <v>113</v>
      </c>
      <c r="HM206" s="2">
        <v>450</v>
      </c>
      <c r="HO206" s="15">
        <v>113</v>
      </c>
      <c r="HP206" s="15">
        <v>450</v>
      </c>
      <c r="HY206" s="6">
        <v>1855.8</v>
      </c>
      <c r="HZ206" s="6">
        <f t="shared" si="363"/>
        <v>1855.8</v>
      </c>
      <c r="IA206" s="15">
        <v>416.93006979707496</v>
      </c>
      <c r="IF206" s="5">
        <v>63.279079698236266</v>
      </c>
      <c r="IJ206" s="5">
        <v>63.279079698236266</v>
      </c>
      <c r="IK206" s="6">
        <v>13732.036580055161</v>
      </c>
      <c r="IN206" s="15">
        <v>184.89339999999999</v>
      </c>
      <c r="IP206" s="15">
        <v>184.89339999999999</v>
      </c>
      <c r="IQ206" s="6">
        <v>95968.789983792783</v>
      </c>
      <c r="IW206" s="2">
        <v>354</v>
      </c>
      <c r="IY206" s="2">
        <v>408</v>
      </c>
      <c r="IZ206" s="2">
        <v>762</v>
      </c>
      <c r="JC206" s="6">
        <v>60382</v>
      </c>
      <c r="JD206" s="6">
        <v>60382</v>
      </c>
      <c r="JE206" s="5">
        <v>95.032029412738893</v>
      </c>
      <c r="JG206" s="6">
        <v>146075</v>
      </c>
      <c r="JI206" s="2">
        <v>82.8</v>
      </c>
      <c r="JJ206" s="6">
        <v>8398</v>
      </c>
      <c r="JK206" s="5">
        <v>46</v>
      </c>
      <c r="JL206" s="4">
        <v>23.996916179632457</v>
      </c>
      <c r="JR206" s="6">
        <v>1079227</v>
      </c>
      <c r="JS206" s="4">
        <v>56.701834377753705</v>
      </c>
      <c r="JT206" s="5">
        <v>86.655186536289406</v>
      </c>
      <c r="JV206" s="6">
        <v>1233700</v>
      </c>
      <c r="JW206" s="5">
        <v>86.655186536289406</v>
      </c>
      <c r="JX206" s="6">
        <v>1777000</v>
      </c>
      <c r="JY206" s="2">
        <v>82.8</v>
      </c>
      <c r="KE206" s="6">
        <v>21677</v>
      </c>
      <c r="KF206" s="4">
        <v>91.816210730267102</v>
      </c>
      <c r="KG206" s="15">
        <v>375.93666097707245</v>
      </c>
      <c r="KI206" s="6">
        <v>21677</v>
      </c>
      <c r="KJ206" s="15">
        <v>375.93666097707245</v>
      </c>
      <c r="KL206" s="6">
        <v>58306</v>
      </c>
      <c r="KO206" s="6">
        <v>41944.828631138982</v>
      </c>
      <c r="KP206" s="5">
        <v>95.7</v>
      </c>
      <c r="KQ206" s="15">
        <v>697.26434554704633</v>
      </c>
      <c r="KY206" s="6">
        <v>87161</v>
      </c>
      <c r="KZ206" s="4">
        <v>95.343100698706991</v>
      </c>
      <c r="LA206" s="15">
        <v>510.13339681738393</v>
      </c>
      <c r="LC206" s="6">
        <v>187411.82863113898</v>
      </c>
      <c r="LD206" s="15">
        <v>510.13339681738393</v>
      </c>
      <c r="LE206" s="6">
        <v>233000</v>
      </c>
      <c r="LF206" s="2">
        <v>541.29999999999995</v>
      </c>
      <c r="LH206" s="6">
        <v>357528</v>
      </c>
      <c r="LI206" s="4">
        <v>92</v>
      </c>
      <c r="LJ206" s="15">
        <v>460.19920397842964</v>
      </c>
      <c r="LL206" s="6">
        <v>50920</v>
      </c>
      <c r="LO206" s="6">
        <v>38609.04040404041</v>
      </c>
      <c r="LP206" s="5">
        <v>66.547269652501228</v>
      </c>
      <c r="LQ206" s="5">
        <v>449.12795909002392</v>
      </c>
      <c r="LY206" s="6">
        <v>444264</v>
      </c>
      <c r="LZ206" s="4">
        <v>65.262996776691338</v>
      </c>
      <c r="MA206" s="15">
        <v>222.84154016530712</v>
      </c>
      <c r="MC206" s="6">
        <v>533793.04040404037</v>
      </c>
      <c r="MD206" s="6">
        <v>511000</v>
      </c>
      <c r="ME206" s="2">
        <v>246.2</v>
      </c>
      <c r="MN206" s="6">
        <v>3093</v>
      </c>
      <c r="MO206" s="4">
        <v>16.046556741028127</v>
      </c>
      <c r="MP206" s="15">
        <v>283.51244746201098</v>
      </c>
      <c r="MQ206" s="6">
        <v>3093</v>
      </c>
      <c r="MR206" s="15">
        <v>283.51244746201098</v>
      </c>
      <c r="MV206" s="6">
        <v>2300</v>
      </c>
      <c r="MW206" s="2">
        <v>290.3</v>
      </c>
    </row>
    <row r="207" spans="1:375" x14ac:dyDescent="0.25">
      <c r="A207" s="2">
        <v>1995</v>
      </c>
      <c r="B207" s="6">
        <v>27841.776600000001</v>
      </c>
      <c r="C207" s="6">
        <v>9743.6607000000004</v>
      </c>
      <c r="D207" s="6">
        <v>4301.3304399999997</v>
      </c>
      <c r="E207" s="15">
        <v>622.41160600000001</v>
      </c>
      <c r="F207" s="6">
        <v>1716.414078</v>
      </c>
      <c r="G207" s="6">
        <v>173724.71849999999</v>
      </c>
      <c r="H207" s="6">
        <v>18447.93665</v>
      </c>
      <c r="I207" s="6">
        <v>236398.24857399997</v>
      </c>
      <c r="J207" s="6">
        <v>16756.189137748701</v>
      </c>
      <c r="K207" s="6">
        <v>251069.65017942886</v>
      </c>
      <c r="M207" s="6">
        <v>421954.00000000006</v>
      </c>
      <c r="N207" s="6">
        <v>231178</v>
      </c>
      <c r="P207" s="6">
        <v>161443.92799999999</v>
      </c>
      <c r="Q207" s="6">
        <v>8180</v>
      </c>
      <c r="R207" s="6">
        <v>41791</v>
      </c>
      <c r="S207" s="6">
        <v>14800</v>
      </c>
      <c r="T207" s="6">
        <v>882006.92800000007</v>
      </c>
      <c r="U207" s="15">
        <v>227.28858732805503</v>
      </c>
      <c r="V207" s="6">
        <v>688899.68964847724</v>
      </c>
      <c r="W207" s="209"/>
      <c r="X207" s="6">
        <v>9040421</v>
      </c>
      <c r="Z207" s="6">
        <v>2302</v>
      </c>
      <c r="AA207" s="6">
        <v>27865409</v>
      </c>
      <c r="AB207" s="34">
        <v>5749537</v>
      </c>
      <c r="AC207" s="6">
        <f t="shared" si="368"/>
        <v>42657669</v>
      </c>
      <c r="AD207" s="4">
        <v>36.995742373990126</v>
      </c>
      <c r="AE207" s="5">
        <v>28.246874989892305</v>
      </c>
      <c r="AG207" s="6">
        <v>3421875.86</v>
      </c>
      <c r="AI207" s="6">
        <v>8067380</v>
      </c>
      <c r="AJ207" s="6">
        <v>1447716.7100000002</v>
      </c>
      <c r="AK207" s="6">
        <v>12936972.57</v>
      </c>
      <c r="AL207" s="15">
        <v>244.8303548816252</v>
      </c>
      <c r="AN207" s="6">
        <v>119983948.00000001</v>
      </c>
      <c r="AO207" s="6">
        <v>110508619.00000001</v>
      </c>
      <c r="AQ207" s="6">
        <v>598000</v>
      </c>
      <c r="AR207" s="6">
        <v>2743000.0000000005</v>
      </c>
      <c r="AS207" s="6">
        <v>5897500</v>
      </c>
      <c r="AT207" s="6">
        <v>239731067.00000003</v>
      </c>
      <c r="AU207" s="4">
        <v>54.081915853732418</v>
      </c>
      <c r="AW207" s="6">
        <v>49793616</v>
      </c>
      <c r="AZ207" s="15">
        <v>251.77204486409141</v>
      </c>
      <c r="BC207" s="2">
        <v>824</v>
      </c>
      <c r="BE207" s="6">
        <v>1075.7720448640914</v>
      </c>
      <c r="BF207" s="6">
        <v>68415.712378640776</v>
      </c>
      <c r="BH207" s="6">
        <v>168901.8</v>
      </c>
      <c r="BI207" s="6">
        <v>66423</v>
      </c>
      <c r="BJ207" s="6">
        <v>6000</v>
      </c>
      <c r="BK207" s="6">
        <v>3532.16</v>
      </c>
      <c r="BL207" s="6">
        <v>78284</v>
      </c>
      <c r="BM207" s="6">
        <v>21549.984</v>
      </c>
      <c r="BN207" s="6">
        <v>7600</v>
      </c>
      <c r="BO207" s="6">
        <v>350758.94400000002</v>
      </c>
      <c r="BP207" s="6">
        <v>3990.0789249171903</v>
      </c>
      <c r="BQ207" s="6">
        <v>408108.25189400004</v>
      </c>
      <c r="BT207" s="6">
        <v>41581422</v>
      </c>
      <c r="BV207" s="6">
        <v>41581422</v>
      </c>
      <c r="BW207" s="4">
        <v>20.473952007845895</v>
      </c>
      <c r="BX207" s="6">
        <v>40695449</v>
      </c>
      <c r="BZ207" s="6">
        <v>24551</v>
      </c>
      <c r="CC207" s="6">
        <v>1703541</v>
      </c>
      <c r="CD207" s="6">
        <v>2558000</v>
      </c>
      <c r="CE207" s="6">
        <v>138702217</v>
      </c>
      <c r="CG207" s="6">
        <v>142988309</v>
      </c>
      <c r="CH207" s="4">
        <v>22.493319955717329</v>
      </c>
      <c r="CO207" s="6">
        <v>227900</v>
      </c>
      <c r="CP207" s="6">
        <v>1794723</v>
      </c>
      <c r="CR207" s="6">
        <v>2022623</v>
      </c>
      <c r="CS207" s="2">
        <v>204</v>
      </c>
      <c r="CT207" s="6">
        <v>2022623</v>
      </c>
      <c r="CV207" s="6">
        <v>4989.704158373781</v>
      </c>
      <c r="CX207" s="6">
        <v>101340.83099999999</v>
      </c>
      <c r="CY207" s="6">
        <v>106330.53515837376</v>
      </c>
      <c r="CZ207" s="6">
        <v>85786.338541626232</v>
      </c>
      <c r="DA207" s="6">
        <v>11134.854603259022</v>
      </c>
      <c r="DB207" s="6">
        <v>101455.70415837379</v>
      </c>
      <c r="DD207" s="6">
        <v>166983.99999999997</v>
      </c>
      <c r="DE207" s="6">
        <v>206758</v>
      </c>
      <c r="DG207" s="6">
        <v>61387.1</v>
      </c>
      <c r="DI207" s="6">
        <v>14913.406000000003</v>
      </c>
      <c r="DJ207" s="6">
        <v>14961.142800000001</v>
      </c>
      <c r="DK207" s="6">
        <v>465003.64879999997</v>
      </c>
      <c r="DL207" s="15">
        <v>861.84692085326139</v>
      </c>
      <c r="DM207" s="6">
        <v>428408.30353328574</v>
      </c>
      <c r="DO207" s="6">
        <v>235792.00000000003</v>
      </c>
      <c r="DP207" s="6">
        <v>312644</v>
      </c>
      <c r="DQ207" s="6">
        <v>5947</v>
      </c>
      <c r="DR207" s="6">
        <v>206904.41999999998</v>
      </c>
      <c r="DT207" s="6">
        <v>123122.75700000001</v>
      </c>
      <c r="DU207" s="6">
        <v>55087.284999999996</v>
      </c>
      <c r="DV207" s="6">
        <v>939497.46199999994</v>
      </c>
      <c r="DW207" s="6">
        <v>1404.7224840644753</v>
      </c>
      <c r="DX207" s="6">
        <v>898084.35938000004</v>
      </c>
      <c r="DZ207" s="2">
        <v>79</v>
      </c>
      <c r="EC207" s="6">
        <v>7320.3850000000002</v>
      </c>
      <c r="ED207" s="15">
        <v>428.83099999999996</v>
      </c>
      <c r="EE207" s="5">
        <v>17.448071216617212</v>
      </c>
      <c r="EF207" s="6">
        <v>7845.6640712166172</v>
      </c>
      <c r="EG207" s="6">
        <v>8545.9871081691654</v>
      </c>
      <c r="EJ207" s="6">
        <v>1356.2095997160002</v>
      </c>
      <c r="EL207" s="6">
        <v>3006.2945606400003</v>
      </c>
      <c r="EM207" s="6">
        <v>4362.5041603560003</v>
      </c>
      <c r="EN207" s="6">
        <v>47275.541331186258</v>
      </c>
      <c r="EO207" s="6">
        <v>4809.7000000000007</v>
      </c>
      <c r="EZ207" s="15">
        <v>666.88</v>
      </c>
      <c r="FF207" s="15">
        <v>666.88</v>
      </c>
      <c r="FG207" s="6">
        <v>6806.4952638700952</v>
      </c>
      <c r="FI207" s="200"/>
      <c r="FJ207" s="200"/>
      <c r="FK207" s="200"/>
      <c r="FL207" s="200"/>
      <c r="FN207" s="6">
        <v>1637.3477672530446</v>
      </c>
      <c r="FZ207" s="6">
        <v>4808.0999999999995</v>
      </c>
      <c r="GB207" s="6">
        <v>4808.0999999999995</v>
      </c>
      <c r="GC207" s="6">
        <v>2499.8157276262978</v>
      </c>
      <c r="GQ207" s="6">
        <v>4631</v>
      </c>
      <c r="GS207" s="115">
        <v>500000</v>
      </c>
      <c r="GT207" s="6">
        <v>504631</v>
      </c>
      <c r="GU207" s="4">
        <v>3.6242712157201469</v>
      </c>
      <c r="HL207" s="5">
        <v>74</v>
      </c>
      <c r="HM207" s="2">
        <v>528</v>
      </c>
      <c r="HO207" s="5">
        <v>74</v>
      </c>
      <c r="HP207" s="15">
        <v>528</v>
      </c>
      <c r="IF207" s="5">
        <v>63.279079698236266</v>
      </c>
      <c r="IJ207" s="5">
        <v>63.279079698236266</v>
      </c>
      <c r="IK207" s="6">
        <v>16779.431664411368</v>
      </c>
      <c r="IN207" s="15">
        <v>257.58049999999997</v>
      </c>
      <c r="IP207" s="15">
        <v>257.58049999999997</v>
      </c>
      <c r="IQ207" s="6">
        <v>101968.46235189844</v>
      </c>
      <c r="IW207" s="2">
        <v>316</v>
      </c>
      <c r="IY207" s="2">
        <v>538</v>
      </c>
      <c r="IZ207" s="2">
        <v>854</v>
      </c>
      <c r="JC207" s="6">
        <v>84909</v>
      </c>
      <c r="JD207" s="6">
        <v>84909</v>
      </c>
      <c r="JE207" s="5">
        <v>95.016452908407828</v>
      </c>
      <c r="JG207" s="6">
        <v>170503</v>
      </c>
      <c r="JH207" s="4">
        <v>50.999714454090899</v>
      </c>
      <c r="JI207" s="2">
        <v>91.1</v>
      </c>
      <c r="JJ207" s="6">
        <v>9164.6666666666679</v>
      </c>
      <c r="JL207" s="4">
        <v>24.931908893388737</v>
      </c>
      <c r="JR207" s="6">
        <v>998152</v>
      </c>
      <c r="JS207" s="4">
        <v>57.084349247409207</v>
      </c>
      <c r="JT207" s="5">
        <v>96.443739029726942</v>
      </c>
      <c r="JV207" s="6">
        <v>1177819.6666666667</v>
      </c>
      <c r="JW207" s="5">
        <v>96.443739029726942</v>
      </c>
      <c r="JX207" s="6">
        <v>1980000</v>
      </c>
      <c r="JY207" s="2">
        <v>91.1</v>
      </c>
      <c r="KE207" s="6">
        <v>20283</v>
      </c>
      <c r="KF207" s="4">
        <v>91.879899423162257</v>
      </c>
      <c r="KG207" s="15">
        <v>395.00202139722921</v>
      </c>
      <c r="KI207" s="6">
        <v>20283</v>
      </c>
      <c r="KJ207" s="15">
        <v>395.00202139722921</v>
      </c>
      <c r="KL207" s="6">
        <v>75729</v>
      </c>
      <c r="KM207" s="4">
        <v>95.499742502872081</v>
      </c>
      <c r="KO207" s="6">
        <v>36317.381051898294</v>
      </c>
      <c r="KP207" s="5">
        <v>95.700000000000017</v>
      </c>
      <c r="KQ207" s="15">
        <v>808.192385449727</v>
      </c>
      <c r="KY207" s="6">
        <v>124870</v>
      </c>
      <c r="KZ207" s="4">
        <v>94.80179386562024</v>
      </c>
      <c r="LA207" s="15">
        <v>545.69983983342672</v>
      </c>
      <c r="LC207" s="6">
        <v>236916.38105189829</v>
      </c>
      <c r="LD207" s="15">
        <v>545.69983983342672</v>
      </c>
      <c r="LE207" s="6">
        <v>204000</v>
      </c>
      <c r="LF207" s="5">
        <v>598</v>
      </c>
      <c r="LH207" s="6">
        <v>452736</v>
      </c>
      <c r="LI207" s="4">
        <v>92</v>
      </c>
      <c r="LJ207" s="15">
        <v>475.84898263005374</v>
      </c>
      <c r="LL207" s="6">
        <v>66945</v>
      </c>
      <c r="LM207" s="4">
        <v>66.200612443050261</v>
      </c>
      <c r="LO207" s="6">
        <v>34675.06734006734</v>
      </c>
      <c r="LP207" s="5">
        <v>66.547269652501242</v>
      </c>
      <c r="LQ207" s="5">
        <v>587.91875517587812</v>
      </c>
      <c r="LY207" s="6">
        <v>458444</v>
      </c>
      <c r="LZ207" s="4">
        <v>65.40035424173945</v>
      </c>
      <c r="MA207" s="15">
        <v>332.72638970081408</v>
      </c>
      <c r="MC207" s="6">
        <v>560064.06734006735</v>
      </c>
      <c r="MD207" s="6">
        <v>505000</v>
      </c>
      <c r="ME207" s="2">
        <v>370.2</v>
      </c>
      <c r="MV207" s="2">
        <v>200</v>
      </c>
    </row>
    <row r="208" spans="1:375" x14ac:dyDescent="0.25">
      <c r="A208" s="2">
        <v>1996</v>
      </c>
      <c r="B208" s="6">
        <v>28201.560028217627</v>
      </c>
      <c r="C208" s="6">
        <v>11102.31263760167</v>
      </c>
      <c r="D208" s="6">
        <v>4516.1160710910699</v>
      </c>
      <c r="E208" s="6">
        <v>1634.771081414088</v>
      </c>
      <c r="F208" s="6">
        <v>1810.799402897374</v>
      </c>
      <c r="G208" s="6">
        <v>208139.07577779519</v>
      </c>
      <c r="H208" s="6">
        <v>21325.034593356846</v>
      </c>
      <c r="I208" s="6">
        <v>276729.66959237389</v>
      </c>
      <c r="J208" s="6">
        <v>16051.058274627398</v>
      </c>
      <c r="K208" s="6">
        <v>283359.91974313208</v>
      </c>
      <c r="M208" s="6">
        <v>493158</v>
      </c>
      <c r="N208" s="6">
        <v>195960</v>
      </c>
      <c r="P208" s="6">
        <v>172760</v>
      </c>
      <c r="Q208" s="6">
        <v>14510</v>
      </c>
      <c r="R208" s="6">
        <v>81740.000000000015</v>
      </c>
      <c r="S208" s="6">
        <v>53570</v>
      </c>
      <c r="T208" s="6">
        <v>1012498</v>
      </c>
      <c r="U208" s="15">
        <v>213.83683714597797</v>
      </c>
      <c r="V208" s="6">
        <v>723315.28232512029</v>
      </c>
      <c r="W208" s="209"/>
      <c r="X208" s="6">
        <v>9453686</v>
      </c>
      <c r="Z208" s="6">
        <v>1090</v>
      </c>
      <c r="AA208" s="6">
        <v>27370797.000000004</v>
      </c>
      <c r="AB208" s="34">
        <v>6238760</v>
      </c>
      <c r="AC208" s="6">
        <f t="shared" si="368"/>
        <v>43064333</v>
      </c>
      <c r="AD208" s="4">
        <v>37.391429667756327</v>
      </c>
      <c r="AE208" s="5">
        <v>21.874904957552484</v>
      </c>
      <c r="AG208" s="6">
        <v>3470585.3000000003</v>
      </c>
      <c r="AI208" s="6">
        <v>8249660</v>
      </c>
      <c r="AJ208" s="6">
        <v>1468324.5499999998</v>
      </c>
      <c r="AK208" s="6">
        <v>13188569.850000001</v>
      </c>
      <c r="AL208" s="15">
        <v>180.7044722680449</v>
      </c>
      <c r="AN208" s="6">
        <v>123923528</v>
      </c>
      <c r="AO208" s="6">
        <v>117382355</v>
      </c>
      <c r="AQ208" s="6">
        <v>569000</v>
      </c>
      <c r="AR208" s="6">
        <v>2520499.9999999995</v>
      </c>
      <c r="AS208" s="6">
        <v>5782000</v>
      </c>
      <c r="AT208" s="6">
        <v>250177383</v>
      </c>
      <c r="AU208" s="4">
        <v>55.09928941239373</v>
      </c>
      <c r="AW208" s="6">
        <v>61916848</v>
      </c>
      <c r="AX208" s="4">
        <v>8</v>
      </c>
      <c r="BC208" s="15">
        <v>942.28099999999995</v>
      </c>
      <c r="BD208" s="15"/>
      <c r="BE208" s="15">
        <v>942.28099999999995</v>
      </c>
      <c r="BF208" s="6">
        <v>67412.041630893553</v>
      </c>
      <c r="BH208" s="6">
        <v>294707.6666</v>
      </c>
      <c r="BI208" s="6">
        <v>94359</v>
      </c>
      <c r="BJ208" s="6">
        <v>1000</v>
      </c>
      <c r="BK208" s="6">
        <v>21995</v>
      </c>
      <c r="BL208" s="6">
        <v>84947</v>
      </c>
      <c r="BM208" s="6">
        <v>20143.666659999999</v>
      </c>
      <c r="BN208" s="6">
        <v>13842.333333333334</v>
      </c>
      <c r="BO208" s="6">
        <v>532656.33325999998</v>
      </c>
      <c r="BP208" s="6">
        <v>2900.8480200291046</v>
      </c>
      <c r="BQ208" s="6">
        <v>496598.01752433321</v>
      </c>
      <c r="BT208" s="6">
        <v>42376831</v>
      </c>
      <c r="BV208" s="6">
        <v>42376831</v>
      </c>
      <c r="BW208" s="4">
        <v>9.3199939981784521</v>
      </c>
      <c r="BX208" s="6">
        <v>42376831</v>
      </c>
      <c r="BZ208" s="6">
        <f>3099+25557</f>
        <v>28656</v>
      </c>
      <c r="CC208" s="6">
        <v>1717134</v>
      </c>
      <c r="CD208" s="6">
        <v>2515000</v>
      </c>
      <c r="CE208" s="6">
        <v>147905471.90000001</v>
      </c>
      <c r="CG208" s="6">
        <v>152166261.90000001</v>
      </c>
      <c r="CH208" s="4">
        <v>22.676448225706473</v>
      </c>
      <c r="CO208" s="6">
        <v>296807</v>
      </c>
      <c r="CP208" s="6">
        <v>1776109</v>
      </c>
      <c r="CR208" s="6">
        <v>2072916</v>
      </c>
      <c r="CS208" s="2">
        <v>212</v>
      </c>
      <c r="CT208" s="6">
        <v>2072916</v>
      </c>
      <c r="CX208" s="6">
        <v>112124.9252</v>
      </c>
      <c r="CY208" s="6">
        <v>112124.9252</v>
      </c>
      <c r="CZ208" s="6">
        <v>71041.332200000033</v>
      </c>
      <c r="DA208" s="6">
        <v>9607.338669493698</v>
      </c>
      <c r="DB208" s="6">
        <v>112426</v>
      </c>
      <c r="DD208" s="6">
        <v>193852.00000000003</v>
      </c>
      <c r="DE208" s="6">
        <v>200738.99999999997</v>
      </c>
      <c r="DG208" s="6">
        <v>69323.000000000015</v>
      </c>
      <c r="DI208" s="6">
        <v>23535.073</v>
      </c>
      <c r="DJ208" s="6">
        <v>39603.142600000006</v>
      </c>
      <c r="DK208" s="6">
        <v>527052.2156</v>
      </c>
      <c r="DL208" s="15">
        <v>999.97202831135905</v>
      </c>
      <c r="DM208" s="6">
        <v>498040.00191714277</v>
      </c>
      <c r="DO208" s="6">
        <v>243140</v>
      </c>
      <c r="DP208" s="6">
        <v>299767</v>
      </c>
      <c r="DQ208" s="6">
        <v>13575</v>
      </c>
      <c r="DR208" s="6">
        <v>191531</v>
      </c>
      <c r="DT208" s="6">
        <v>128465</v>
      </c>
      <c r="DU208" s="6">
        <v>151073.99999999997</v>
      </c>
      <c r="DV208" s="6">
        <v>1027552</v>
      </c>
      <c r="DW208" s="6">
        <v>1323.4376643500113</v>
      </c>
      <c r="DX208" s="6">
        <v>1042683.3761428572</v>
      </c>
      <c r="DZ208" s="2">
        <v>70</v>
      </c>
      <c r="EC208" s="6">
        <v>8459.9415000000008</v>
      </c>
      <c r="ED208" s="15">
        <v>370</v>
      </c>
      <c r="EE208" s="5">
        <v>35.311572700296736</v>
      </c>
      <c r="EF208" s="6">
        <v>8935.2530727002977</v>
      </c>
      <c r="EG208" s="6">
        <v>7943.7211308484702</v>
      </c>
      <c r="EJ208" s="6">
        <v>1708.993705356</v>
      </c>
      <c r="EL208" s="6">
        <v>4137.389244</v>
      </c>
      <c r="EM208" s="6">
        <v>5846.3829493559997</v>
      </c>
      <c r="EN208" s="6">
        <v>45747.902304147465</v>
      </c>
      <c r="EO208" s="6">
        <v>5956.5</v>
      </c>
      <c r="EQ208" s="5">
        <v>24.834768</v>
      </c>
      <c r="ER208" s="5">
        <v>24.834768</v>
      </c>
      <c r="ES208" s="6">
        <v>396288.13927313517</v>
      </c>
      <c r="EZ208" s="6">
        <v>1015.164</v>
      </c>
      <c r="FF208" s="6">
        <v>1015.164</v>
      </c>
      <c r="FG208" s="6">
        <v>4289.6862173970612</v>
      </c>
      <c r="FI208" s="200"/>
      <c r="FJ208" s="200"/>
      <c r="FK208" s="200"/>
      <c r="FL208" s="6">
        <v>6000</v>
      </c>
      <c r="FM208" s="6">
        <f t="shared" si="366"/>
        <v>6000</v>
      </c>
      <c r="FN208" s="6">
        <v>1236.5947305706343</v>
      </c>
      <c r="FZ208" s="6">
        <v>7915.92</v>
      </c>
      <c r="GB208" s="6">
        <v>7915.92</v>
      </c>
      <c r="GC208" s="6">
        <v>2165.2245095958524</v>
      </c>
      <c r="GQ208" s="2">
        <v>585</v>
      </c>
      <c r="GS208" s="115">
        <v>500000</v>
      </c>
      <c r="GT208" s="6">
        <v>500585</v>
      </c>
      <c r="GU208" s="4">
        <v>4</v>
      </c>
      <c r="HL208" s="15">
        <v>119.31399999999999</v>
      </c>
      <c r="HM208" s="15">
        <v>558.78599999999994</v>
      </c>
      <c r="HO208" s="15">
        <v>119.31399999999999</v>
      </c>
      <c r="HP208" s="15">
        <v>558.78599999999994</v>
      </c>
      <c r="IF208" s="5">
        <v>22.606808059110495</v>
      </c>
      <c r="IJ208" s="5">
        <v>22.606808059110495</v>
      </c>
      <c r="IK208" s="6">
        <v>13769.36316695353</v>
      </c>
      <c r="IN208" s="15">
        <v>393.07490000000001</v>
      </c>
      <c r="IP208" s="15">
        <v>393.07490000000001</v>
      </c>
      <c r="IQ208" s="6">
        <v>96481.835278163999</v>
      </c>
      <c r="IW208" s="2">
        <v>319</v>
      </c>
      <c r="IY208" s="2">
        <v>514</v>
      </c>
      <c r="IZ208" s="2">
        <v>833</v>
      </c>
      <c r="JC208" s="6">
        <v>88493</v>
      </c>
      <c r="JD208" s="6">
        <v>88493</v>
      </c>
      <c r="JE208" s="15">
        <v>106.39331924559005</v>
      </c>
      <c r="JG208" s="6">
        <v>190991</v>
      </c>
      <c r="JH208" s="4">
        <v>50.999806593028751</v>
      </c>
      <c r="JI208" s="2">
        <v>97.4</v>
      </c>
      <c r="JJ208" s="6">
        <v>8523.5</v>
      </c>
      <c r="JL208" s="4">
        <v>25.354959816976596</v>
      </c>
      <c r="JR208" s="6">
        <v>1077028</v>
      </c>
      <c r="JS208" s="4">
        <v>56.94488454339163</v>
      </c>
      <c r="JT208" s="15">
        <v>106.11537025964041</v>
      </c>
      <c r="JV208" s="6">
        <v>1276542.5</v>
      </c>
      <c r="JW208" s="15">
        <v>106.11537025964041</v>
      </c>
      <c r="JX208" s="6">
        <v>2030000</v>
      </c>
      <c r="JY208" s="2">
        <v>97.4</v>
      </c>
      <c r="KE208" s="6">
        <v>33170</v>
      </c>
      <c r="KF208" s="4">
        <v>82.927343985529092</v>
      </c>
      <c r="KG208" s="15">
        <v>477.83530298462466</v>
      </c>
      <c r="KI208" s="6">
        <v>33170</v>
      </c>
      <c r="KJ208" s="15">
        <v>477.83530298462466</v>
      </c>
      <c r="KL208" s="6">
        <v>61333</v>
      </c>
      <c r="KM208" s="4">
        <v>95.499975543345343</v>
      </c>
      <c r="KO208" s="6">
        <v>37751.828631138982</v>
      </c>
      <c r="KP208" s="5">
        <v>95.699999999999989</v>
      </c>
      <c r="KQ208" s="15">
        <v>792.93022577743318</v>
      </c>
      <c r="KY208" s="6">
        <v>110651</v>
      </c>
      <c r="KZ208" s="4">
        <v>90.437501694516996</v>
      </c>
      <c r="LA208" s="15">
        <v>715.46799396300082</v>
      </c>
      <c r="LC208" s="6">
        <v>209735.82863113898</v>
      </c>
      <c r="LD208" s="15">
        <v>715.46799396300082</v>
      </c>
      <c r="LE208" s="6">
        <v>192000</v>
      </c>
      <c r="LF208" s="2">
        <v>761.3</v>
      </c>
      <c r="LH208" s="6">
        <v>367525</v>
      </c>
      <c r="LI208" s="4">
        <v>92</v>
      </c>
      <c r="LJ208" s="15">
        <v>494.6867015849262</v>
      </c>
      <c r="LL208" s="6">
        <v>56406</v>
      </c>
      <c r="LM208" s="4">
        <v>66.198631351274685</v>
      </c>
      <c r="LO208" s="6">
        <v>30668.181818181816</v>
      </c>
      <c r="LP208" s="5">
        <v>66.547269652501228</v>
      </c>
      <c r="LQ208" s="5">
        <v>635.92495034830301</v>
      </c>
      <c r="LY208" s="6">
        <v>372704</v>
      </c>
      <c r="LZ208" s="4">
        <v>80.122027131450153</v>
      </c>
      <c r="MA208" s="15">
        <v>530.01914119515754</v>
      </c>
      <c r="MC208" s="6">
        <v>459778.18181818182</v>
      </c>
      <c r="MD208" s="6">
        <v>460000</v>
      </c>
      <c r="ME208" s="2">
        <v>585.79999999999995</v>
      </c>
    </row>
    <row r="209" spans="1:343" x14ac:dyDescent="0.25">
      <c r="A209" s="2">
        <v>1997</v>
      </c>
      <c r="B209" s="6">
        <v>28829.367622103335</v>
      </c>
      <c r="C209" s="6">
        <v>11715.367041841699</v>
      </c>
      <c r="D209" s="6">
        <v>4824.5734036898602</v>
      </c>
      <c r="E209" s="6">
        <v>4147.529499873257</v>
      </c>
      <c r="F209" s="6">
        <v>1641.6281759924659</v>
      </c>
      <c r="G209" s="6">
        <v>228492.13782413842</v>
      </c>
      <c r="H209" s="6">
        <v>24331.561825081139</v>
      </c>
      <c r="I209" s="6">
        <v>303982.16539272014</v>
      </c>
      <c r="J209" s="6">
        <v>14337.562996496652</v>
      </c>
      <c r="K209" s="6">
        <v>304590.58916368987</v>
      </c>
      <c r="M209" s="6">
        <v>572586</v>
      </c>
      <c r="N209" s="6">
        <v>200620</v>
      </c>
      <c r="P209" s="6">
        <v>168170.00000000003</v>
      </c>
      <c r="Q209" s="6">
        <v>14440</v>
      </c>
      <c r="R209" s="6">
        <v>82920</v>
      </c>
      <c r="S209" s="6">
        <v>67480</v>
      </c>
      <c r="T209" s="6">
        <v>1106216</v>
      </c>
      <c r="U209" s="15">
        <v>217.9436325061771</v>
      </c>
      <c r="V209" s="6">
        <v>738857.96309999994</v>
      </c>
      <c r="W209" s="209"/>
      <c r="X209" s="6">
        <v>9810875</v>
      </c>
      <c r="Z209" s="6">
        <v>2600</v>
      </c>
      <c r="AA209" s="6">
        <v>28051074</v>
      </c>
      <c r="AB209" s="34">
        <v>6601668</v>
      </c>
      <c r="AC209" s="6">
        <f t="shared" si="368"/>
        <v>44466217</v>
      </c>
      <c r="AD209" s="4">
        <v>37.540249399863264</v>
      </c>
      <c r="AE209" s="5">
        <v>22.666663486503758</v>
      </c>
      <c r="AG209" s="6">
        <v>3479834.0199999996</v>
      </c>
      <c r="AI209" s="6">
        <v>8481895</v>
      </c>
      <c r="AJ209" s="6">
        <v>1472237.4699999997</v>
      </c>
      <c r="AK209" s="6">
        <v>13433966.489999998</v>
      </c>
      <c r="AL209" s="15">
        <v>203.88946303004877</v>
      </c>
      <c r="AN209" s="6">
        <v>132734575</v>
      </c>
      <c r="AO209" s="6">
        <v>128337899.99999999</v>
      </c>
      <c r="AQ209" s="6">
        <v>567000</v>
      </c>
      <c r="AR209" s="6">
        <v>2645500</v>
      </c>
      <c r="AS209" s="6">
        <v>5695500.0000000009</v>
      </c>
      <c r="AT209" s="6">
        <v>269980475</v>
      </c>
      <c r="AU209" s="4">
        <v>55.660736645149051</v>
      </c>
      <c r="AW209" s="6">
        <v>62230621</v>
      </c>
      <c r="AX209" s="4">
        <v>8</v>
      </c>
      <c r="BC209" s="6">
        <v>1219.008</v>
      </c>
      <c r="BD209" s="6"/>
      <c r="BE209" s="6">
        <v>1219.008</v>
      </c>
      <c r="BF209" s="6">
        <v>48213.060705496311</v>
      </c>
      <c r="BH209" s="6">
        <v>276547</v>
      </c>
      <c r="BI209" s="6">
        <v>122712.9</v>
      </c>
      <c r="BK209" s="6">
        <v>25883</v>
      </c>
      <c r="BL209" s="6">
        <v>81267</v>
      </c>
      <c r="BM209" s="6">
        <v>26236</v>
      </c>
      <c r="BN209" s="6">
        <v>17000</v>
      </c>
      <c r="BO209" s="6">
        <v>549072.9</v>
      </c>
      <c r="BP209" s="6">
        <v>3080.5381279002145</v>
      </c>
      <c r="BQ209" s="6">
        <v>575494.39518500003</v>
      </c>
      <c r="BT209" s="6">
        <v>40200000</v>
      </c>
      <c r="BV209" s="6">
        <v>40200000</v>
      </c>
      <c r="BW209" s="4">
        <v>10.419947147942542</v>
      </c>
      <c r="BX209" s="6">
        <v>40200000</v>
      </c>
      <c r="BZ209" s="6">
        <f>5899+19010</f>
        <v>24909</v>
      </c>
      <c r="CA209" s="6">
        <v>14053</v>
      </c>
      <c r="CC209" s="6">
        <v>184314.00000000003</v>
      </c>
      <c r="CD209" s="6">
        <v>2579000</v>
      </c>
      <c r="CE209" s="6">
        <v>153523141.5</v>
      </c>
      <c r="CG209" s="6">
        <v>156325417.5</v>
      </c>
      <c r="CH209" s="4">
        <v>24.289829302805455</v>
      </c>
      <c r="CO209" s="6">
        <v>176990</v>
      </c>
      <c r="CP209" s="6">
        <v>2006996</v>
      </c>
      <c r="CR209" s="6">
        <v>2183986</v>
      </c>
      <c r="CS209" s="2">
        <v>206</v>
      </c>
      <c r="CT209" s="6">
        <v>2183986</v>
      </c>
      <c r="CX209" s="6">
        <v>122991.11697999999</v>
      </c>
      <c r="CY209" s="6">
        <v>122991.11697999999</v>
      </c>
      <c r="CZ209" s="6">
        <v>62325.108219999995</v>
      </c>
      <c r="DA209" s="6">
        <v>9318.7085503457038</v>
      </c>
      <c r="DB209" s="6">
        <v>123093</v>
      </c>
      <c r="DD209" s="6">
        <v>198716.99999999997</v>
      </c>
      <c r="DE209" s="6">
        <v>184684.00000000003</v>
      </c>
      <c r="DG209" s="6">
        <v>68458</v>
      </c>
      <c r="DI209" s="6">
        <v>26533.710999999996</v>
      </c>
      <c r="DJ209" s="6">
        <v>51499.999000000003</v>
      </c>
      <c r="DK209" s="6">
        <v>529892.71</v>
      </c>
      <c r="DL209" s="15">
        <v>839.19640516421362</v>
      </c>
      <c r="DM209" s="6">
        <v>480853.64289457141</v>
      </c>
      <c r="DO209" s="6">
        <v>183248</v>
      </c>
      <c r="DP209" s="6">
        <v>272596</v>
      </c>
      <c r="DR209" s="6">
        <v>191057.00000000003</v>
      </c>
      <c r="DT209" s="6">
        <v>131792</v>
      </c>
      <c r="DU209" s="6">
        <v>178743</v>
      </c>
      <c r="DV209" s="6">
        <v>957436</v>
      </c>
      <c r="DW209" s="6">
        <v>1769.887906773532</v>
      </c>
      <c r="DX209" s="6">
        <v>984683.73028571438</v>
      </c>
      <c r="DZ209" s="2">
        <v>40</v>
      </c>
      <c r="EC209" s="6">
        <v>8750.0499999999993</v>
      </c>
      <c r="ED209" s="15">
        <v>523</v>
      </c>
      <c r="EE209" s="5">
        <v>67.299703264094688</v>
      </c>
      <c r="EF209" s="6">
        <v>9380.3497032640935</v>
      </c>
      <c r="EG209" s="6">
        <v>7638.2600928817301</v>
      </c>
      <c r="EJ209" s="6">
        <v>1665.6176194588802</v>
      </c>
      <c r="EL209" s="6">
        <v>4791.8030975999991</v>
      </c>
      <c r="EM209" s="6">
        <v>6457.4207170588797</v>
      </c>
      <c r="EN209" s="6">
        <v>41496.127819548885</v>
      </c>
      <c r="EO209" s="6">
        <v>5843</v>
      </c>
      <c r="EQ209" s="4">
        <v>7.2991380000000001</v>
      </c>
      <c r="ER209" s="4">
        <v>7.2991380000000001</v>
      </c>
      <c r="ES209" s="6">
        <v>319999.97807960334</v>
      </c>
      <c r="EZ209" s="6">
        <v>1811.422</v>
      </c>
      <c r="FF209" s="6">
        <v>1811.422</v>
      </c>
      <c r="FG209" s="6">
        <v>1910.0115369824382</v>
      </c>
      <c r="FI209" s="200"/>
      <c r="FJ209" s="200"/>
      <c r="FK209" s="200"/>
      <c r="FL209" s="6">
        <v>18756</v>
      </c>
      <c r="FM209" s="6">
        <f t="shared" si="366"/>
        <v>18756</v>
      </c>
      <c r="FN209" s="6">
        <v>1307.5246763235482</v>
      </c>
      <c r="FZ209" s="6">
        <v>2800.0000000000005</v>
      </c>
      <c r="GB209" s="6">
        <v>2800.0000000000005</v>
      </c>
      <c r="GC209" s="6">
        <v>3821.9885714285706</v>
      </c>
      <c r="GQ209" s="2">
        <v>419</v>
      </c>
      <c r="GS209" s="115">
        <v>500000</v>
      </c>
      <c r="GT209" s="6">
        <v>500419</v>
      </c>
      <c r="GU209" s="4">
        <v>9</v>
      </c>
      <c r="HL209" s="15">
        <v>314.654</v>
      </c>
      <c r="HM209" s="15">
        <v>429.30700000000002</v>
      </c>
      <c r="HO209" s="15">
        <v>314.654</v>
      </c>
      <c r="HP209" s="15">
        <v>429.30700000000002</v>
      </c>
      <c r="IF209" s="4">
        <v>3.9172763622717692</v>
      </c>
      <c r="IJ209" s="4">
        <v>3.9172763622717692</v>
      </c>
      <c r="IK209" s="6">
        <v>12383.027816946545</v>
      </c>
      <c r="IM209" s="5">
        <f>0.7057*1</f>
        <v>0.70569999999999999</v>
      </c>
      <c r="IN209" s="15">
        <v>211.0043</v>
      </c>
      <c r="IP209" s="15">
        <v>211.71</v>
      </c>
      <c r="IQ209" s="6">
        <v>120398.09806508888</v>
      </c>
      <c r="IW209" s="2">
        <v>244</v>
      </c>
      <c r="IY209" s="2">
        <v>201</v>
      </c>
      <c r="IZ209" s="2">
        <v>445</v>
      </c>
      <c r="JC209" s="6">
        <v>97109</v>
      </c>
      <c r="JD209" s="6">
        <v>97109</v>
      </c>
      <c r="JE209" s="15">
        <v>115.00934001997756</v>
      </c>
      <c r="JG209" s="6">
        <v>70335</v>
      </c>
      <c r="JI209" s="15">
        <v>101.6</v>
      </c>
      <c r="JJ209" s="6">
        <v>54546</v>
      </c>
      <c r="JL209" s="4">
        <v>10.541817915154182</v>
      </c>
      <c r="JR209" s="6">
        <v>1233849</v>
      </c>
      <c r="JS209" s="4">
        <v>55.611650367265369</v>
      </c>
      <c r="JT209" s="15">
        <v>108.27279756274876</v>
      </c>
      <c r="JV209" s="6">
        <v>1358730</v>
      </c>
      <c r="JW209" s="15">
        <v>108.27279756274876</v>
      </c>
      <c r="JX209" s="6">
        <v>2233000</v>
      </c>
      <c r="JY209" s="2">
        <v>101.6</v>
      </c>
      <c r="KE209" s="6">
        <v>22482</v>
      </c>
      <c r="KF209" s="4">
        <v>40.236633751445602</v>
      </c>
      <c r="KG209" s="15">
        <v>519.8505471043502</v>
      </c>
      <c r="KI209" s="6">
        <v>22482</v>
      </c>
      <c r="KJ209" s="15">
        <v>519.8505471043502</v>
      </c>
      <c r="KL209" s="6">
        <v>50827</v>
      </c>
      <c r="KO209" s="6">
        <v>35759.143155694881</v>
      </c>
      <c r="KP209" s="5">
        <v>95.7</v>
      </c>
      <c r="KQ209" s="15">
        <v>724.22276415411363</v>
      </c>
      <c r="KY209" s="6">
        <v>111779</v>
      </c>
      <c r="KZ209" s="4">
        <v>94.033763050304614</v>
      </c>
      <c r="LA209" s="15">
        <v>702.56343320301664</v>
      </c>
      <c r="LC209" s="6">
        <v>198365.14315569488</v>
      </c>
      <c r="LD209" s="15">
        <v>702.56343320301664</v>
      </c>
      <c r="LE209" s="6">
        <v>245000</v>
      </c>
      <c r="LF209" s="2">
        <v>724.1</v>
      </c>
      <c r="LH209" s="6">
        <v>471866</v>
      </c>
      <c r="LI209" s="4">
        <v>92.572260285759072</v>
      </c>
      <c r="LJ209" s="15">
        <v>504.06444414304059</v>
      </c>
      <c r="LL209" s="6">
        <v>37130</v>
      </c>
      <c r="LO209" s="6">
        <v>23921.21212121212</v>
      </c>
      <c r="LP209" s="5">
        <v>66.547269652501228</v>
      </c>
      <c r="LQ209" s="5">
        <v>552.32096655687872</v>
      </c>
      <c r="LY209" s="6">
        <v>292791</v>
      </c>
      <c r="LZ209" s="4">
        <v>59.519930598959668</v>
      </c>
      <c r="MA209" s="15">
        <v>547.61766242814838</v>
      </c>
      <c r="MC209" s="6">
        <v>353842.2121212121</v>
      </c>
      <c r="MD209" s="6">
        <v>416000</v>
      </c>
      <c r="ME209" s="2">
        <v>599.4</v>
      </c>
    </row>
    <row r="210" spans="1:343" x14ac:dyDescent="0.25">
      <c r="A210" s="2">
        <v>1998</v>
      </c>
      <c r="B210" s="6">
        <v>32326.293970372306</v>
      </c>
      <c r="C210" s="6">
        <v>14767.955246803909</v>
      </c>
      <c r="D210" s="6">
        <v>4896.0066053894698</v>
      </c>
      <c r="E210" s="6">
        <v>4178.9803093564078</v>
      </c>
      <c r="F210" s="6">
        <v>1743.9252985938419</v>
      </c>
      <c r="G210" s="6">
        <v>221315.96725599581</v>
      </c>
      <c r="H210" s="6">
        <v>20390.929663604609</v>
      </c>
      <c r="I210" s="6">
        <v>299620.05835011636</v>
      </c>
      <c r="J210" s="6">
        <v>15119.874052253484</v>
      </c>
      <c r="K210" s="6">
        <v>305265.88060233567</v>
      </c>
      <c r="M210" s="6">
        <v>986000</v>
      </c>
      <c r="N210" s="6">
        <v>151000</v>
      </c>
      <c r="P210" s="6">
        <v>146000</v>
      </c>
      <c r="Q210" s="6">
        <v>16000</v>
      </c>
      <c r="R210" s="6">
        <v>99000</v>
      </c>
      <c r="S210" s="6">
        <v>76000</v>
      </c>
      <c r="T210" s="6">
        <v>1474000</v>
      </c>
      <c r="U210" s="15">
        <v>283.04069168499615</v>
      </c>
      <c r="V210" s="6">
        <v>1227502.3338857142</v>
      </c>
      <c r="W210" s="209"/>
      <c r="X210" s="6">
        <v>9440874</v>
      </c>
      <c r="AA210" s="6">
        <v>28756057.999999996</v>
      </c>
      <c r="AB210" s="34">
        <v>6455898</v>
      </c>
      <c r="AC210" s="6">
        <f t="shared" si="368"/>
        <v>44652830</v>
      </c>
      <c r="AD210" s="4">
        <v>37.21349379647382</v>
      </c>
      <c r="AE210" s="5">
        <v>25.000000000000004</v>
      </c>
      <c r="AG210" s="6">
        <v>3633663.3663366339</v>
      </c>
      <c r="AI210" s="6">
        <v>8748182</v>
      </c>
      <c r="AJ210" s="6">
        <v>1523792.5999999999</v>
      </c>
      <c r="AK210" s="6">
        <v>13905637.966336634</v>
      </c>
      <c r="AL210" s="15">
        <v>180.85639074528899</v>
      </c>
      <c r="AN210" s="6">
        <v>139494399.99999997</v>
      </c>
      <c r="AO210" s="6">
        <v>135817720</v>
      </c>
      <c r="AQ210" s="6">
        <v>576000</v>
      </c>
      <c r="AR210" s="6">
        <v>2747900</v>
      </c>
      <c r="AS210" s="6">
        <v>5769500</v>
      </c>
      <c r="AT210" s="6">
        <v>284405520</v>
      </c>
      <c r="AU210" s="4">
        <v>58.782571071103504</v>
      </c>
      <c r="AW210" s="6">
        <v>66026730</v>
      </c>
      <c r="AX210" s="4">
        <v>8</v>
      </c>
      <c r="BC210" s="6">
        <v>1269</v>
      </c>
      <c r="BD210" s="6"/>
      <c r="BE210" s="6">
        <v>1269</v>
      </c>
      <c r="BF210" s="6">
        <v>66650.388494877858</v>
      </c>
      <c r="BH210" s="6">
        <v>360988.99</v>
      </c>
      <c r="BI210" s="6">
        <v>111765</v>
      </c>
      <c r="BK210" s="6">
        <v>26676</v>
      </c>
      <c r="BL210" s="6">
        <v>73645</v>
      </c>
      <c r="BM210" s="6">
        <v>25003</v>
      </c>
      <c r="BN210" s="6">
        <v>20135</v>
      </c>
      <c r="BO210" s="6">
        <v>617927.99</v>
      </c>
      <c r="BP210" s="6">
        <v>2647.3788368255023</v>
      </c>
      <c r="BQ210" s="6">
        <v>632027.37377433153</v>
      </c>
      <c r="BT210" s="6">
        <v>40800000</v>
      </c>
      <c r="BV210" s="6">
        <v>40800000</v>
      </c>
      <c r="BW210" s="4">
        <v>12.288877376968019</v>
      </c>
      <c r="BX210" s="6">
        <v>40800000</v>
      </c>
      <c r="BZ210" s="6">
        <v>23116</v>
      </c>
      <c r="CA210" s="6">
        <v>11791</v>
      </c>
      <c r="CC210" s="6">
        <v>3878222.9999999995</v>
      </c>
      <c r="CD210" s="6">
        <v>2931000</v>
      </c>
      <c r="CE210" s="6">
        <v>153921489.40000001</v>
      </c>
      <c r="CG210" s="6">
        <v>160765619.40000001</v>
      </c>
      <c r="CH210" s="4">
        <v>29.227307295372942</v>
      </c>
      <c r="CO210" s="6">
        <v>79430</v>
      </c>
      <c r="CP210" s="6">
        <v>1622235</v>
      </c>
      <c r="CR210" s="6">
        <v>1701665</v>
      </c>
      <c r="CS210" s="2">
        <v>204</v>
      </c>
      <c r="CT210" s="6">
        <v>1701665</v>
      </c>
      <c r="CX210" s="6">
        <v>140559.16990000001</v>
      </c>
      <c r="CY210" s="6">
        <v>140559.16990000001</v>
      </c>
      <c r="CZ210" s="6">
        <v>51517.163299999986</v>
      </c>
      <c r="DA210" s="6">
        <v>7344.550338823884</v>
      </c>
      <c r="DB210" s="6">
        <v>144067.10579999999</v>
      </c>
      <c r="DD210" s="6">
        <v>285972</v>
      </c>
      <c r="DE210" s="6">
        <v>155403</v>
      </c>
      <c r="DG210" s="6">
        <v>65820.000000000015</v>
      </c>
      <c r="DI210" s="6">
        <v>51027</v>
      </c>
      <c r="DJ210" s="6">
        <v>61464.285599999996</v>
      </c>
      <c r="DK210" s="6">
        <v>619686.28559999994</v>
      </c>
      <c r="DL210" s="15">
        <v>847.17268733928597</v>
      </c>
      <c r="DM210" s="6">
        <v>563025.26666799991</v>
      </c>
      <c r="DO210" s="6">
        <v>200706.00000000003</v>
      </c>
      <c r="DP210" s="6">
        <v>250773</v>
      </c>
      <c r="DR210" s="6">
        <v>185927.00000000003</v>
      </c>
      <c r="DT210" s="6">
        <v>183560</v>
      </c>
      <c r="DU210" s="6">
        <v>198392</v>
      </c>
      <c r="DV210" s="6">
        <v>1019358</v>
      </c>
      <c r="DW210" s="6">
        <v>1637.2803786154418</v>
      </c>
      <c r="DX210" s="6">
        <v>1008670.0518428572</v>
      </c>
      <c r="DZ210" s="2">
        <v>40</v>
      </c>
      <c r="EC210" s="6">
        <v>8261.5789999999997</v>
      </c>
      <c r="ED210" s="15">
        <v>588</v>
      </c>
      <c r="EE210" s="5">
        <v>44.866468842729965</v>
      </c>
      <c r="EF210" s="6">
        <v>8934.4454688427304</v>
      </c>
      <c r="EG210" s="6">
        <v>8916.8925970332621</v>
      </c>
      <c r="EJ210" s="6">
        <v>1722.4576542719999</v>
      </c>
      <c r="EL210" s="6">
        <v>4048.7576831999995</v>
      </c>
      <c r="EM210" s="6">
        <v>5771.2153374719992</v>
      </c>
      <c r="EN210" s="6">
        <v>48576.285071132741</v>
      </c>
      <c r="EO210" s="6">
        <v>6158.0700000000006</v>
      </c>
      <c r="EZ210" s="6">
        <v>1005.6700000000001</v>
      </c>
      <c r="FF210" s="6">
        <v>1005.6700000000001</v>
      </c>
      <c r="FG210" s="6">
        <v>2324.5549507135502</v>
      </c>
      <c r="FI210" s="200"/>
      <c r="FJ210" s="200"/>
      <c r="FK210" s="200"/>
      <c r="FL210" s="6">
        <v>72496</v>
      </c>
      <c r="FM210" s="6">
        <f t="shared" si="366"/>
        <v>72496</v>
      </c>
      <c r="FN210" s="6">
        <v>1337.3547153155805</v>
      </c>
      <c r="FZ210" s="6">
        <v>2100</v>
      </c>
      <c r="GB210" s="6">
        <v>2100</v>
      </c>
      <c r="GC210" s="6">
        <v>4878.0361904761903</v>
      </c>
      <c r="GQ210" s="2">
        <v>813</v>
      </c>
      <c r="GS210" s="6">
        <v>587000</v>
      </c>
      <c r="GT210" s="6">
        <v>587813</v>
      </c>
      <c r="GU210" s="4">
        <v>4</v>
      </c>
      <c r="HL210" s="2">
        <v>155</v>
      </c>
      <c r="HM210" s="2">
        <v>827</v>
      </c>
      <c r="HO210" s="15">
        <v>155</v>
      </c>
      <c r="HP210" s="15">
        <v>827</v>
      </c>
      <c r="IF210" s="5">
        <v>13.733399987059874</v>
      </c>
      <c r="IJ210" s="5">
        <v>13.733399987059874</v>
      </c>
      <c r="IK210" s="6">
        <v>12211.26967779903</v>
      </c>
      <c r="IM210" s="5">
        <f>0.7057*1</f>
        <v>0.70569999999999999</v>
      </c>
      <c r="IN210" s="15">
        <v>282.27999999999997</v>
      </c>
      <c r="IP210" s="15">
        <v>282.98569999999995</v>
      </c>
      <c r="IQ210" s="6">
        <v>146592.32081362995</v>
      </c>
      <c r="IW210" s="2">
        <v>368</v>
      </c>
      <c r="IY210" s="2">
        <v>350</v>
      </c>
      <c r="IZ210" s="2">
        <v>718</v>
      </c>
      <c r="JC210" s="6">
        <v>117397</v>
      </c>
      <c r="JD210" s="6">
        <v>117397</v>
      </c>
      <c r="JE210" s="15">
        <v>123.0617392267264</v>
      </c>
      <c r="JG210" s="6">
        <v>152914</v>
      </c>
      <c r="JI210" s="15">
        <v>110</v>
      </c>
      <c r="JJ210" s="6">
        <v>53052.5</v>
      </c>
      <c r="JL210" s="4">
        <v>10.012930587625466</v>
      </c>
      <c r="JR210" s="6">
        <v>1287196</v>
      </c>
      <c r="JS210" s="4">
        <v>56.116371516070579</v>
      </c>
      <c r="JT210" s="15">
        <v>117.19176489050619</v>
      </c>
      <c r="JV210" s="6">
        <v>1493162.5</v>
      </c>
      <c r="JW210" s="15">
        <v>117.19176489050619</v>
      </c>
      <c r="JX210" s="6">
        <v>2352000</v>
      </c>
      <c r="JY210" s="5">
        <v>110</v>
      </c>
      <c r="KE210" s="6">
        <v>28971</v>
      </c>
      <c r="KF210" s="4">
        <v>50.779054916985949</v>
      </c>
      <c r="KG210" s="15">
        <v>403.17866142004073</v>
      </c>
      <c r="KI210" s="6">
        <v>28971</v>
      </c>
      <c r="KJ210" s="15">
        <v>403.17866142004073</v>
      </c>
      <c r="KL210" s="6">
        <v>84153</v>
      </c>
      <c r="KO210" s="6">
        <v>20046.499477533962</v>
      </c>
      <c r="KP210" s="5">
        <v>95.7</v>
      </c>
      <c r="KQ210" s="15">
        <v>720.18828106023091</v>
      </c>
      <c r="KY210" s="6">
        <v>96928</v>
      </c>
      <c r="KZ210" s="4">
        <v>87.424495501815784</v>
      </c>
      <c r="LA210" s="15">
        <v>788.72191729943881</v>
      </c>
      <c r="LC210" s="6">
        <v>201127.49947753397</v>
      </c>
      <c r="LD210" s="15">
        <v>788.72191729943881</v>
      </c>
      <c r="LE210" s="6">
        <v>233000</v>
      </c>
      <c r="LF210" s="2">
        <v>807.9</v>
      </c>
      <c r="LH210" s="6">
        <v>529484</v>
      </c>
      <c r="LI210" s="4">
        <v>92.474804456471304</v>
      </c>
      <c r="LJ210" s="15">
        <v>547.30144631376959</v>
      </c>
      <c r="LL210" s="6">
        <v>62035</v>
      </c>
      <c r="LO210" s="6">
        <v>11677.777777777777</v>
      </c>
      <c r="LP210" s="5">
        <v>66.547269652501228</v>
      </c>
      <c r="LQ210" s="5">
        <v>478.2714747859182</v>
      </c>
      <c r="LY210" s="6">
        <v>300467</v>
      </c>
      <c r="LZ210" s="4">
        <v>53.644689433448598</v>
      </c>
      <c r="MA210" s="15">
        <v>513.78266831299277</v>
      </c>
      <c r="MC210" s="6">
        <v>374179.77777777775</v>
      </c>
      <c r="MD210" s="6">
        <v>401000</v>
      </c>
      <c r="ME210" s="2">
        <v>566.6</v>
      </c>
    </row>
    <row r="211" spans="1:343" x14ac:dyDescent="0.25">
      <c r="A211" s="2">
        <v>1999</v>
      </c>
      <c r="B211" s="6">
        <v>33647.59803636343</v>
      </c>
      <c r="C211" s="6">
        <v>21042.49911209878</v>
      </c>
      <c r="D211" s="6">
        <v>4633.0112218027698</v>
      </c>
      <c r="E211" s="6">
        <v>4950.2981157595204</v>
      </c>
      <c r="F211" s="6">
        <v>1773.3296166307989</v>
      </c>
      <c r="G211" s="6">
        <v>201122.4524111058</v>
      </c>
      <c r="H211" s="6">
        <v>22296.491571462488</v>
      </c>
      <c r="I211" s="6">
        <v>289465.68008522358</v>
      </c>
      <c r="J211" s="6">
        <v>13866.392232655671</v>
      </c>
      <c r="K211" s="6">
        <v>298738.26082532707</v>
      </c>
      <c r="M211" s="6">
        <v>1186870</v>
      </c>
      <c r="N211" s="6">
        <v>147470</v>
      </c>
      <c r="P211" s="6">
        <v>170690</v>
      </c>
      <c r="Q211" s="6">
        <v>24480.000000000004</v>
      </c>
      <c r="R211" s="6">
        <v>132430</v>
      </c>
      <c r="S211" s="6">
        <v>53780</v>
      </c>
      <c r="T211" s="6">
        <v>1715720</v>
      </c>
      <c r="U211" s="15">
        <v>260.26926446210405</v>
      </c>
      <c r="V211" s="6">
        <v>1511588.6923000002</v>
      </c>
      <c r="W211" s="209"/>
      <c r="X211" s="6">
        <v>11500000</v>
      </c>
      <c r="AA211" s="6">
        <v>30466723</v>
      </c>
      <c r="AB211" s="34">
        <v>6449450</v>
      </c>
      <c r="AC211" s="6">
        <f t="shared" si="368"/>
        <v>48416173</v>
      </c>
      <c r="AD211" s="4">
        <v>37.625272028419104</v>
      </c>
      <c r="AE211" s="5">
        <v>25.000000048053845</v>
      </c>
      <c r="AG211" s="6">
        <v>3765676.5676567657</v>
      </c>
      <c r="AI211" s="6">
        <v>8930010</v>
      </c>
      <c r="AJ211" s="6">
        <v>1598496.2400000002</v>
      </c>
      <c r="AK211" s="6">
        <v>14294182.807656767</v>
      </c>
      <c r="AL211" s="15">
        <v>206.23957765323968</v>
      </c>
      <c r="AN211" s="6">
        <v>152703464</v>
      </c>
      <c r="AO211" s="6">
        <v>130947606.00000001</v>
      </c>
      <c r="AQ211" s="6">
        <v>561500</v>
      </c>
      <c r="AR211" s="6">
        <v>2836400.0000000005</v>
      </c>
      <c r="AS211" s="6">
        <v>6184500</v>
      </c>
      <c r="AT211" s="6">
        <v>293233470</v>
      </c>
      <c r="AU211" s="4">
        <v>48.939255053764597</v>
      </c>
      <c r="AW211" s="6">
        <v>67849956</v>
      </c>
      <c r="AX211" s="4">
        <v>8</v>
      </c>
      <c r="BC211" s="6">
        <v>1010.34484</v>
      </c>
      <c r="BD211" s="6"/>
      <c r="BE211" s="6">
        <v>1010.34484</v>
      </c>
      <c r="BF211" s="6">
        <v>37308.021782178221</v>
      </c>
      <c r="BH211" s="6">
        <v>428273.6</v>
      </c>
      <c r="BI211" s="6">
        <v>109506.7</v>
      </c>
      <c r="BK211" s="6">
        <v>28801</v>
      </c>
      <c r="BL211" s="6">
        <v>138272</v>
      </c>
      <c r="BM211" s="6">
        <v>21330</v>
      </c>
      <c r="BN211" s="6">
        <v>11800</v>
      </c>
      <c r="BO211" s="6">
        <v>737847.3</v>
      </c>
      <c r="BP211" s="6">
        <v>2474.7345098840083</v>
      </c>
      <c r="BQ211" s="6">
        <v>755645.56887770758</v>
      </c>
      <c r="BT211" s="6">
        <v>29700000</v>
      </c>
      <c r="BU211" s="6">
        <v>83745</v>
      </c>
      <c r="BV211" s="6">
        <v>29783745</v>
      </c>
      <c r="BW211" s="4">
        <v>12.394152728332331</v>
      </c>
      <c r="BX211" s="6">
        <v>29783745</v>
      </c>
      <c r="BZ211" s="6">
        <v>20840</v>
      </c>
      <c r="CA211" s="6">
        <v>14073</v>
      </c>
      <c r="CC211" s="6">
        <v>2454162.9999999995</v>
      </c>
      <c r="CD211" s="6">
        <v>3005333.3329999996</v>
      </c>
      <c r="CE211" s="6">
        <v>146098943.60000002</v>
      </c>
      <c r="CG211" s="6">
        <v>151593352.93300003</v>
      </c>
      <c r="CH211" s="4">
        <v>25.626349619560244</v>
      </c>
      <c r="CO211" s="6">
        <v>108155</v>
      </c>
      <c r="CP211" s="6">
        <v>1734000</v>
      </c>
      <c r="CR211" s="6">
        <v>1842155</v>
      </c>
      <c r="CS211" s="2">
        <v>191</v>
      </c>
      <c r="CT211" s="6">
        <v>1728719</v>
      </c>
      <c r="CX211" s="6">
        <v>117685.59540000001</v>
      </c>
      <c r="CY211" s="6">
        <v>117685.59540000001</v>
      </c>
      <c r="CZ211" s="6">
        <v>65756.504399999991</v>
      </c>
      <c r="DA211" s="6">
        <v>9567.4658513010072</v>
      </c>
      <c r="DB211" s="6">
        <v>117208.8461</v>
      </c>
      <c r="DD211" s="6">
        <v>324404</v>
      </c>
      <c r="DE211" s="6">
        <v>153178</v>
      </c>
      <c r="DG211" s="6">
        <v>79167</v>
      </c>
      <c r="DI211" s="6">
        <v>71520</v>
      </c>
      <c r="DJ211" s="6">
        <v>48580.000000000007</v>
      </c>
      <c r="DK211" s="6">
        <v>676849</v>
      </c>
      <c r="DL211" s="15">
        <v>776.07828614429025</v>
      </c>
      <c r="DM211" s="6">
        <v>657284.88106028573</v>
      </c>
      <c r="DO211" s="6">
        <v>214512.99999999997</v>
      </c>
      <c r="DP211" s="6">
        <v>258295.00000000003</v>
      </c>
      <c r="DR211" s="6">
        <v>200279.49999999997</v>
      </c>
      <c r="DT211" s="6">
        <v>278458.99999999994</v>
      </c>
      <c r="DU211" s="6">
        <v>168119.69999999998</v>
      </c>
      <c r="DV211" s="6">
        <v>1119666.2</v>
      </c>
      <c r="DW211" s="6">
        <v>1659.9647868700795</v>
      </c>
      <c r="DX211" s="6">
        <v>1087023.452857143</v>
      </c>
      <c r="DZ211" s="2">
        <v>40</v>
      </c>
      <c r="EA211" s="2">
        <v>40</v>
      </c>
      <c r="EC211" s="6">
        <v>9236</v>
      </c>
      <c r="ED211" s="15">
        <v>465.99999999999994</v>
      </c>
      <c r="EE211" s="5">
        <v>8.3086053412462899</v>
      </c>
      <c r="EF211" s="6">
        <v>9790.3086053412462</v>
      </c>
      <c r="EG211" s="6">
        <v>8386.996103344929</v>
      </c>
      <c r="EJ211" s="6">
        <v>3208.3568529393601</v>
      </c>
      <c r="EL211" s="6">
        <v>3856.6976400000003</v>
      </c>
      <c r="EM211" s="6">
        <v>7065.05449293936</v>
      </c>
      <c r="EN211" s="6">
        <v>46063.828054895755</v>
      </c>
      <c r="EO211" s="6">
        <v>7351.8</v>
      </c>
      <c r="EZ211" s="6">
        <v>1784.133</v>
      </c>
      <c r="FF211" s="6">
        <v>1784.133</v>
      </c>
      <c r="FG211" s="6">
        <v>2205.5298066165892</v>
      </c>
      <c r="FI211" s="200"/>
      <c r="FJ211" s="200"/>
      <c r="FK211" s="200"/>
      <c r="FL211" s="6">
        <v>71886</v>
      </c>
      <c r="FM211" s="6">
        <f t="shared" si="366"/>
        <v>71886</v>
      </c>
      <c r="FN211" s="6">
        <v>1133.1308933993926</v>
      </c>
      <c r="FZ211" s="6">
        <v>2200</v>
      </c>
      <c r="GB211" s="6">
        <v>2200</v>
      </c>
      <c r="GC211" s="6">
        <v>5206.0263636363634</v>
      </c>
      <c r="GQ211" s="6">
        <v>1250</v>
      </c>
      <c r="GS211" s="6">
        <v>700000</v>
      </c>
      <c r="GT211" s="6">
        <v>701250</v>
      </c>
      <c r="GU211" s="4">
        <v>2.92</v>
      </c>
      <c r="HL211" s="5">
        <v>90.426869773498154</v>
      </c>
      <c r="HM211" s="15">
        <v>815.52119984889157</v>
      </c>
      <c r="HO211" s="5">
        <v>90.426869773498154</v>
      </c>
      <c r="HP211" s="15">
        <v>815.52119984889157</v>
      </c>
      <c r="IF211" s="5">
        <v>18.463138498168973</v>
      </c>
      <c r="IJ211" s="5">
        <v>18.463138498168973</v>
      </c>
      <c r="IK211" s="6">
        <v>11299.344733898033</v>
      </c>
      <c r="IN211" s="15">
        <v>285.80849999999998</v>
      </c>
      <c r="IP211" s="15">
        <v>285.80849999999998</v>
      </c>
      <c r="IQ211" s="6">
        <v>141556.41559149156</v>
      </c>
      <c r="IW211" s="2">
        <v>303</v>
      </c>
      <c r="IY211" s="2">
        <v>202</v>
      </c>
      <c r="IZ211" s="2">
        <v>505</v>
      </c>
      <c r="JC211" s="6">
        <v>95623.375</v>
      </c>
      <c r="JD211" s="6">
        <v>95623.375</v>
      </c>
      <c r="JE211" s="15">
        <v>128.01278202113238</v>
      </c>
      <c r="JG211" s="6">
        <v>94947</v>
      </c>
      <c r="JI211" s="15">
        <v>128.4</v>
      </c>
      <c r="JJ211" s="6">
        <v>3917.5</v>
      </c>
      <c r="JL211" s="4">
        <v>22.02999361837907</v>
      </c>
      <c r="JR211" s="6">
        <v>1237484.76</v>
      </c>
      <c r="JS211" s="4">
        <v>54.957636147214828</v>
      </c>
      <c r="JT211" s="15">
        <v>123.595417086187</v>
      </c>
      <c r="JV211" s="6">
        <v>1336349.26</v>
      </c>
      <c r="JW211" s="15">
        <v>123.595417086187</v>
      </c>
      <c r="JX211" s="6">
        <v>1969000</v>
      </c>
      <c r="JY211" s="2">
        <v>128.4</v>
      </c>
      <c r="KE211" s="6">
        <v>31527.75</v>
      </c>
      <c r="KF211" s="4">
        <v>58.941725939846641</v>
      </c>
      <c r="KG211" s="15">
        <v>440.49543338804705</v>
      </c>
      <c r="KI211" s="6">
        <v>31527.75</v>
      </c>
      <c r="KJ211" s="15">
        <v>440.49543338804705</v>
      </c>
      <c r="KL211" s="6">
        <v>79865</v>
      </c>
      <c r="KO211" s="6">
        <v>9125.3918495297803</v>
      </c>
      <c r="KP211" s="5">
        <v>95.7</v>
      </c>
      <c r="KQ211" s="15">
        <v>798.62674613534875</v>
      </c>
      <c r="KY211" s="6">
        <v>113400.715</v>
      </c>
      <c r="KZ211" s="4">
        <v>68.00221674087328</v>
      </c>
      <c r="LA211" s="15">
        <v>725.40204556911306</v>
      </c>
      <c r="LC211" s="6">
        <v>202391.10684952978</v>
      </c>
      <c r="LD211" s="15">
        <v>725.40204556911306</v>
      </c>
      <c r="LE211" s="6">
        <v>182000</v>
      </c>
      <c r="LF211" s="2">
        <v>747.2</v>
      </c>
      <c r="LH211" s="6">
        <v>522933</v>
      </c>
      <c r="LI211" s="4">
        <v>92</v>
      </c>
      <c r="LJ211" s="15">
        <v>550.76480091809697</v>
      </c>
      <c r="LL211" s="6">
        <v>57579</v>
      </c>
      <c r="LO211" s="6">
        <v>4207.0707070707067</v>
      </c>
      <c r="LP211" s="5">
        <v>66.547269652501242</v>
      </c>
      <c r="LQ211" s="5">
        <v>618.2709255702282</v>
      </c>
      <c r="LY211" s="6">
        <v>322939.83</v>
      </c>
      <c r="LZ211" s="4">
        <v>22.904886027839922</v>
      </c>
      <c r="MA211" s="15">
        <v>430.85089897396671</v>
      </c>
      <c r="MC211" s="6">
        <v>384725.90070707072</v>
      </c>
      <c r="MD211" s="6">
        <v>359000</v>
      </c>
      <c r="ME211" s="2">
        <v>471.6</v>
      </c>
    </row>
    <row r="212" spans="1:343" x14ac:dyDescent="0.25">
      <c r="A212" s="2">
        <v>2000</v>
      </c>
      <c r="B212" s="6">
        <v>37099.07076064992</v>
      </c>
      <c r="C212" s="6">
        <v>18582.22619678573</v>
      </c>
      <c r="D212" s="6">
        <v>4230.3921888231989</v>
      </c>
      <c r="E212" s="6">
        <v>6679.5114318897204</v>
      </c>
      <c r="F212" s="6">
        <v>2948.3774242455429</v>
      </c>
      <c r="G212" s="6">
        <v>198227.39427518522</v>
      </c>
      <c r="H212" s="6">
        <v>23146.512291209892</v>
      </c>
      <c r="I212" s="6">
        <v>290913.48456878925</v>
      </c>
      <c r="J212" s="6">
        <v>15399.495955924196</v>
      </c>
      <c r="K212" s="6">
        <v>287323.43031471799</v>
      </c>
      <c r="M212" s="6">
        <v>1576120</v>
      </c>
      <c r="N212" s="6">
        <v>146030</v>
      </c>
      <c r="P212" s="6">
        <v>118009.99999999999</v>
      </c>
      <c r="Q212" s="6">
        <v>34350</v>
      </c>
      <c r="R212" s="6">
        <v>137160</v>
      </c>
      <c r="S212" s="6">
        <v>47190</v>
      </c>
      <c r="T212" s="6">
        <v>2058860.0000000002</v>
      </c>
      <c r="U212" s="15">
        <v>274.45664892409394</v>
      </c>
      <c r="V212" s="6">
        <v>1772702.0523228573</v>
      </c>
      <c r="W212" s="209"/>
      <c r="X212" s="6">
        <v>11896000</v>
      </c>
      <c r="AA212" s="6">
        <v>34962996.000000007</v>
      </c>
      <c r="AB212" s="34">
        <v>6943236</v>
      </c>
      <c r="AC212" s="6">
        <f t="shared" si="368"/>
        <v>53802232.000000007</v>
      </c>
      <c r="AD212" s="4">
        <v>37.014834852948113</v>
      </c>
      <c r="AE212" s="5">
        <v>27.463704525377082</v>
      </c>
      <c r="AG212" s="6">
        <v>3762000</v>
      </c>
      <c r="AI212" s="6">
        <v>10003058</v>
      </c>
      <c r="AJ212" s="6">
        <v>1724822.88</v>
      </c>
      <c r="AK212" s="6">
        <v>15489880.879999999</v>
      </c>
      <c r="AL212" s="15">
        <v>302.85132119635898</v>
      </c>
      <c r="AN212" s="6">
        <v>159178418</v>
      </c>
      <c r="AO212" s="6">
        <v>134996279.00000003</v>
      </c>
      <c r="AQ212" s="6">
        <v>508500.00000000006</v>
      </c>
      <c r="AR212" s="6">
        <v>3139000.0000000005</v>
      </c>
      <c r="AS212" s="6">
        <v>6410499.9999999991</v>
      </c>
      <c r="AT212" s="6">
        <v>304232697</v>
      </c>
      <c r="AU212" s="4">
        <v>49.948783346152439</v>
      </c>
      <c r="AW212" s="6">
        <v>66645316</v>
      </c>
      <c r="AX212" s="4">
        <v>8</v>
      </c>
      <c r="BC212" s="6">
        <v>3599.3900000000003</v>
      </c>
      <c r="BD212" s="6"/>
      <c r="BE212" s="6">
        <v>3599.3900000000003</v>
      </c>
      <c r="BF212" s="6">
        <v>39959.768191587347</v>
      </c>
      <c r="BH212" s="6">
        <v>460081.91</v>
      </c>
      <c r="BI212" s="6">
        <v>129333.556</v>
      </c>
      <c r="BK212" s="6">
        <v>25414</v>
      </c>
      <c r="BL212" s="6">
        <v>200423</v>
      </c>
      <c r="BM212" s="6">
        <v>23596.85</v>
      </c>
      <c r="BO212" s="6">
        <v>838849.31599999988</v>
      </c>
      <c r="BP212" s="6">
        <v>3142.4632493269137</v>
      </c>
      <c r="BQ212" s="6">
        <v>832631.79482574353</v>
      </c>
      <c r="BT212" s="6">
        <v>26475000</v>
      </c>
      <c r="BU212" s="6">
        <v>190005</v>
      </c>
      <c r="BV212" s="6">
        <v>26665005</v>
      </c>
      <c r="BW212" s="4">
        <v>16.871927827719063</v>
      </c>
      <c r="BX212" s="6">
        <v>26665005</v>
      </c>
      <c r="CA212" s="6">
        <v>5470</v>
      </c>
      <c r="CC212" s="6">
        <v>2245872.5671414598</v>
      </c>
      <c r="CD212" s="6">
        <v>2763000</v>
      </c>
      <c r="CE212" s="6">
        <v>164803646.8999857</v>
      </c>
      <c r="CG212" s="6">
        <v>169817989.46712717</v>
      </c>
      <c r="CH212" s="4">
        <v>28.136086147088228</v>
      </c>
      <c r="CO212" s="6">
        <v>259536</v>
      </c>
      <c r="CP212" s="6">
        <v>2178000</v>
      </c>
      <c r="CR212" s="6">
        <v>2437536</v>
      </c>
      <c r="CS212" s="2">
        <v>186</v>
      </c>
      <c r="CT212" s="6">
        <v>1743808</v>
      </c>
      <c r="CX212" s="6">
        <v>145552.21090000001</v>
      </c>
      <c r="CY212" s="6">
        <v>145552.21090000001</v>
      </c>
      <c r="CZ212" s="6">
        <v>23606.102991111082</v>
      </c>
      <c r="DA212" s="6">
        <v>14811.621321925659</v>
      </c>
      <c r="DB212" s="6">
        <v>156020.07519999999</v>
      </c>
      <c r="DD212" s="6">
        <v>390299.99999999994</v>
      </c>
      <c r="DE212" s="6">
        <v>141022</v>
      </c>
      <c r="DG212" s="6">
        <v>43101</v>
      </c>
      <c r="DI212" s="6">
        <v>85479.3</v>
      </c>
      <c r="DJ212" s="6">
        <v>39450</v>
      </c>
      <c r="DK212" s="6">
        <v>699352.3</v>
      </c>
      <c r="DL212" s="15">
        <v>780.84098243935614</v>
      </c>
      <c r="DM212" s="6">
        <v>635819.32251428568</v>
      </c>
      <c r="DO212" s="6">
        <v>563439.99999999988</v>
      </c>
      <c r="DP212" s="6">
        <v>253032.00000000003</v>
      </c>
      <c r="DR212" s="6">
        <v>101261.70000000001</v>
      </c>
      <c r="DT212" s="6">
        <v>295275.99999999994</v>
      </c>
      <c r="DU212" s="6">
        <v>166665.00000000003</v>
      </c>
      <c r="DV212" s="6">
        <v>1379674.7</v>
      </c>
      <c r="DW212" s="6">
        <v>1942.6202073373449</v>
      </c>
      <c r="DX212" s="6">
        <v>1291460.885</v>
      </c>
      <c r="EC212" s="6">
        <v>9194</v>
      </c>
      <c r="ED212" s="6">
        <v>712.5</v>
      </c>
      <c r="EE212" s="5">
        <v>7.5</v>
      </c>
      <c r="EF212" s="6">
        <v>9914</v>
      </c>
      <c r="EG212" s="6">
        <v>9382.1579625586764</v>
      </c>
      <c r="EJ212" s="6">
        <v>4508.9565319252797</v>
      </c>
      <c r="EL212" s="6">
        <v>4436.077104</v>
      </c>
      <c r="EM212" s="6">
        <v>8945.0336359252797</v>
      </c>
      <c r="EN212" s="6">
        <v>48593.407893236013</v>
      </c>
      <c r="EO212" s="6">
        <v>9121.7999999999993</v>
      </c>
      <c r="EU212" s="6">
        <v>2695</v>
      </c>
      <c r="EV212" s="6">
        <v>2695</v>
      </c>
      <c r="EW212" s="6">
        <v>12373.935390285595</v>
      </c>
      <c r="EZ212" s="6">
        <v>1558.42</v>
      </c>
      <c r="FF212" s="6">
        <v>1558.42</v>
      </c>
      <c r="FG212" s="6">
        <v>2287.5297855440826</v>
      </c>
      <c r="FI212" s="200"/>
      <c r="FJ212" s="200"/>
      <c r="FK212" s="200"/>
      <c r="FL212" s="6">
        <v>74260</v>
      </c>
      <c r="FM212" s="6">
        <f t="shared" si="366"/>
        <v>74260</v>
      </c>
      <c r="FN212" s="6">
        <v>1208.8959491660048</v>
      </c>
      <c r="FZ212" s="6">
        <v>2400</v>
      </c>
      <c r="GB212" s="6">
        <v>2400</v>
      </c>
      <c r="GC212" s="6">
        <v>6857.5625</v>
      </c>
      <c r="GN212" s="6">
        <v>806000</v>
      </c>
      <c r="GQ212" s="6">
        <v>2108</v>
      </c>
      <c r="GS212" s="6">
        <v>612000</v>
      </c>
      <c r="GT212" s="6">
        <v>1420108</v>
      </c>
      <c r="GU212" s="5">
        <v>44.069183303391434</v>
      </c>
      <c r="HL212" s="15">
        <v>170.58199999999999</v>
      </c>
      <c r="HM212" s="15">
        <v>812.19299999999998</v>
      </c>
      <c r="HO212" s="15">
        <v>170.58199999999999</v>
      </c>
      <c r="HP212" s="15">
        <v>812.19299999999998</v>
      </c>
      <c r="IF212" s="5">
        <v>16.311411897151881</v>
      </c>
      <c r="IJ212" s="5">
        <v>16.311411897151881</v>
      </c>
      <c r="IK212" s="6">
        <v>13169.181890389198</v>
      </c>
      <c r="IN212" s="15">
        <v>431.38029599999999</v>
      </c>
      <c r="IP212" s="15">
        <v>431.38029599999999</v>
      </c>
      <c r="IQ212" s="6">
        <v>1021368.1306786014</v>
      </c>
      <c r="IW212" s="2">
        <v>332</v>
      </c>
      <c r="IY212" s="2">
        <v>61</v>
      </c>
      <c r="IZ212" s="2">
        <v>393</v>
      </c>
      <c r="JC212" s="6">
        <v>97442.97</v>
      </c>
      <c r="JD212" s="6">
        <v>97442.97</v>
      </c>
      <c r="JE212" s="15">
        <v>110.0458144902603</v>
      </c>
      <c r="JG212" s="6">
        <v>64236</v>
      </c>
      <c r="JI212" s="15">
        <v>160.54835148722245</v>
      </c>
      <c r="JJ212" s="6">
        <v>3323</v>
      </c>
      <c r="JL212" s="4">
        <v>21.161600962985254</v>
      </c>
      <c r="JR212" s="6">
        <v>1296485</v>
      </c>
      <c r="JS212" s="4">
        <v>56.13313884316451</v>
      </c>
      <c r="JT212" s="15">
        <v>143.05304496388311</v>
      </c>
      <c r="JV212" s="6">
        <v>1364044</v>
      </c>
      <c r="JW212" s="15">
        <v>143.05304496388311</v>
      </c>
      <c r="JX212" s="6">
        <v>2151000</v>
      </c>
      <c r="JY212" s="2">
        <v>139.19999999999999</v>
      </c>
      <c r="KE212" s="6">
        <v>37849</v>
      </c>
      <c r="KF212" s="4">
        <v>37.028719384924301</v>
      </c>
      <c r="KG212" s="15">
        <v>437.28037728869981</v>
      </c>
      <c r="KI212" s="6">
        <v>37849</v>
      </c>
      <c r="KJ212" s="15">
        <v>437.28037728869981</v>
      </c>
      <c r="KL212" s="6">
        <v>50402</v>
      </c>
      <c r="KO212" s="6">
        <v>7676.0710553814006</v>
      </c>
      <c r="KP212" s="5">
        <v>95.699999999999989</v>
      </c>
      <c r="KQ212" s="15">
        <v>875.07957541519193</v>
      </c>
      <c r="KY212" s="6">
        <v>122147</v>
      </c>
      <c r="KZ212" s="4">
        <v>90.139749645918442</v>
      </c>
      <c r="LA212" s="15">
        <v>823.39546611869309</v>
      </c>
      <c r="LC212" s="6">
        <v>180225.07105538138</v>
      </c>
      <c r="LD212" s="15">
        <v>865.00112244897969</v>
      </c>
      <c r="LE212" s="6">
        <v>203000</v>
      </c>
      <c r="LF212" s="2">
        <v>776.4</v>
      </c>
      <c r="LH212" s="6">
        <v>617533.93939393933</v>
      </c>
      <c r="LI212" s="4">
        <v>92</v>
      </c>
      <c r="LJ212" s="15">
        <v>611.30968878005933</v>
      </c>
      <c r="LL212" s="6">
        <v>32455</v>
      </c>
      <c r="LO212" s="6">
        <v>4272.727272727273</v>
      </c>
      <c r="LP212" s="5">
        <v>66.547269652501228</v>
      </c>
      <c r="LQ212" s="5">
        <v>722.29417021276595</v>
      </c>
      <c r="LY212" s="6">
        <v>347933</v>
      </c>
      <c r="LZ212" s="4">
        <v>16.938605995981984</v>
      </c>
      <c r="MA212" s="15">
        <v>494.65670402060169</v>
      </c>
      <c r="MC212" s="6">
        <v>384660.72727272729</v>
      </c>
      <c r="MD212" s="6">
        <v>374000</v>
      </c>
      <c r="ME212" s="2">
        <v>532.20000000000005</v>
      </c>
    </row>
    <row r="213" spans="1:343" x14ac:dyDescent="0.25">
      <c r="A213" s="2">
        <v>2001</v>
      </c>
      <c r="B213" s="6">
        <v>31890.234202593369</v>
      </c>
      <c r="C213" s="6">
        <v>17103.435929011659</v>
      </c>
      <c r="D213" s="6">
        <v>3498.2568413061272</v>
      </c>
      <c r="E213" s="6">
        <v>6181.1126510506301</v>
      </c>
      <c r="F213" s="6">
        <v>4313.3407745268705</v>
      </c>
      <c r="G213" s="6">
        <v>196588.97597140819</v>
      </c>
      <c r="H213" s="6">
        <v>20508.085353857612</v>
      </c>
      <c r="I213" s="6">
        <v>280083.44172375445</v>
      </c>
      <c r="J213" s="6">
        <v>16809.251217769957</v>
      </c>
      <c r="K213" s="6">
        <v>275675.69261841883</v>
      </c>
      <c r="M213" s="6">
        <v>1544787</v>
      </c>
      <c r="N213" s="6">
        <v>132757.99999999997</v>
      </c>
      <c r="P213" s="6">
        <v>103900</v>
      </c>
      <c r="Q213" s="6">
        <v>33664</v>
      </c>
      <c r="R213" s="6">
        <v>107359</v>
      </c>
      <c r="S213" s="6">
        <v>47854</v>
      </c>
      <c r="T213" s="6">
        <v>1970322</v>
      </c>
      <c r="U213" s="15">
        <v>272.24172693357565</v>
      </c>
      <c r="V213" s="6">
        <v>1757508.6897880952</v>
      </c>
      <c r="W213" s="209"/>
      <c r="X213" s="6">
        <v>11472000</v>
      </c>
      <c r="AA213" s="6">
        <v>36002388</v>
      </c>
      <c r="AB213" s="34">
        <v>6325105</v>
      </c>
      <c r="AC213" s="6">
        <f t="shared" si="368"/>
        <v>53799493</v>
      </c>
      <c r="AD213" s="4">
        <v>36.641015382802948</v>
      </c>
      <c r="AE213" s="5">
        <v>26.582429556379395</v>
      </c>
      <c r="AG213" s="6">
        <v>3624000</v>
      </c>
      <c r="AI213" s="6">
        <v>10748039</v>
      </c>
      <c r="AJ213" s="6">
        <v>1794461.79</v>
      </c>
      <c r="AK213" s="6">
        <v>16166500.789999999</v>
      </c>
      <c r="AL213" s="15">
        <v>151.8184913338969</v>
      </c>
      <c r="AN213" s="6">
        <v>181006155.99999997</v>
      </c>
      <c r="AO213" s="6">
        <v>143292568</v>
      </c>
      <c r="AQ213" s="6">
        <v>504000</v>
      </c>
      <c r="AR213" s="6">
        <v>2989000</v>
      </c>
      <c r="AS213" s="6">
        <v>6219000</v>
      </c>
      <c r="AT213" s="6">
        <v>334010724</v>
      </c>
      <c r="AU213" s="4">
        <v>64.367581653514151</v>
      </c>
      <c r="AW213" s="6">
        <v>65656408</v>
      </c>
      <c r="AX213" s="4">
        <v>8</v>
      </c>
      <c r="BC213" s="6">
        <v>4264.8999999999996</v>
      </c>
      <c r="BD213" s="6"/>
      <c r="BE213" s="6">
        <v>4264.8999999999996</v>
      </c>
      <c r="BF213" s="6">
        <v>38766.731075697215</v>
      </c>
      <c r="BH213" s="6">
        <v>490753.51</v>
      </c>
      <c r="BI213" s="6">
        <v>127570</v>
      </c>
      <c r="BK213" s="6">
        <v>32200</v>
      </c>
      <c r="BL213" s="6">
        <v>200523</v>
      </c>
      <c r="BM213" s="6">
        <v>47295.459999999992</v>
      </c>
      <c r="BO213" s="6">
        <v>898341.97000000009</v>
      </c>
      <c r="BP213" s="6">
        <v>3040.5576730889388</v>
      </c>
      <c r="BQ213" s="6">
        <v>865669.45319609821</v>
      </c>
      <c r="BT213" s="6">
        <v>26098055.57</v>
      </c>
      <c r="BU213" s="6">
        <v>55000</v>
      </c>
      <c r="BV213" s="6">
        <v>26153055.57</v>
      </c>
      <c r="BW213" s="4">
        <v>23.04131789170906</v>
      </c>
      <c r="BX213" s="6">
        <v>26153055.57</v>
      </c>
      <c r="CA213" s="6">
        <v>9329</v>
      </c>
      <c r="CC213" s="6">
        <v>2201027.508970316</v>
      </c>
      <c r="CD213" s="6">
        <v>3009780.804</v>
      </c>
      <c r="CE213" s="6">
        <v>175422899.70292258</v>
      </c>
      <c r="CG213" s="6">
        <v>180643037.01589289</v>
      </c>
      <c r="CH213" s="4">
        <v>33.381764091093125</v>
      </c>
      <c r="CO213" s="6">
        <v>498603</v>
      </c>
      <c r="CP213" s="6">
        <v>1717000</v>
      </c>
      <c r="CR213" s="6">
        <v>2215603</v>
      </c>
      <c r="CS213" s="2">
        <v>199</v>
      </c>
      <c r="CT213" s="6">
        <v>2082672</v>
      </c>
      <c r="CX213" s="6">
        <v>185089.89059999998</v>
      </c>
      <c r="CY213" s="6">
        <v>185089.89059999998</v>
      </c>
      <c r="CZ213" s="6">
        <v>18535.438687095506</v>
      </c>
      <c r="DA213" s="6">
        <v>11465.298130568804</v>
      </c>
      <c r="DB213" s="6">
        <v>171317.15359999999</v>
      </c>
      <c r="DD213" s="6">
        <v>472631</v>
      </c>
      <c r="DE213" s="6">
        <v>132523</v>
      </c>
      <c r="DG213" s="6">
        <v>31261</v>
      </c>
      <c r="DI213" s="6">
        <v>84908.65</v>
      </c>
      <c r="DJ213" s="6">
        <v>37780.700000000004</v>
      </c>
      <c r="DK213" s="6">
        <v>759104.35</v>
      </c>
      <c r="DL213" s="15">
        <v>921.06849563788057</v>
      </c>
      <c r="DM213" s="6">
        <v>718470.71062228561</v>
      </c>
      <c r="DO213" s="6">
        <v>718624</v>
      </c>
      <c r="DP213" s="6">
        <v>262200</v>
      </c>
      <c r="DR213" s="6">
        <v>81957.000000000015</v>
      </c>
      <c r="DT213" s="6">
        <v>250781.859</v>
      </c>
      <c r="DU213" s="6">
        <v>163025.99999999997</v>
      </c>
      <c r="DV213" s="6">
        <v>1476588.8589999999</v>
      </c>
      <c r="DW213" s="6">
        <v>1711.514944486277</v>
      </c>
      <c r="DX213" s="6">
        <v>1487164.22</v>
      </c>
      <c r="EC213" s="6">
        <v>8977</v>
      </c>
      <c r="ED213" s="6">
        <v>976</v>
      </c>
      <c r="EF213" s="6">
        <v>9953</v>
      </c>
      <c r="EG213" s="6">
        <v>8799.6505806575624</v>
      </c>
      <c r="EJ213" s="6">
        <v>4852.9903680000007</v>
      </c>
      <c r="EL213" s="6">
        <v>4167.1330559999997</v>
      </c>
      <c r="EM213" s="6">
        <v>9020.1234240000013</v>
      </c>
      <c r="EN213" s="6">
        <v>50087.577272727249</v>
      </c>
      <c r="EO213" s="6">
        <v>6853</v>
      </c>
      <c r="EU213" s="6">
        <v>4450.3985303456411</v>
      </c>
      <c r="EV213" s="6">
        <v>4450.3985303456411</v>
      </c>
      <c r="EW213" s="6">
        <v>10458.16916590758</v>
      </c>
      <c r="EY213" s="2">
        <v>301</v>
      </c>
      <c r="EZ213" s="6">
        <v>1398.21</v>
      </c>
      <c r="FF213" s="6">
        <v>1699.21</v>
      </c>
      <c r="FG213" s="6">
        <v>2652.5690966425523</v>
      </c>
      <c r="FI213" s="200"/>
      <c r="FJ213" s="200"/>
      <c r="FK213" s="200"/>
      <c r="FL213" s="6">
        <v>15750</v>
      </c>
      <c r="FM213" s="6">
        <f t="shared" si="366"/>
        <v>15750</v>
      </c>
      <c r="FN213" s="6">
        <v>1584.1216842886292</v>
      </c>
      <c r="FZ213" s="6">
        <v>2000</v>
      </c>
      <c r="GB213" s="6">
        <v>2000</v>
      </c>
      <c r="GC213" s="6">
        <v>9702.8685000000005</v>
      </c>
      <c r="GN213" s="6">
        <v>1261521</v>
      </c>
      <c r="GQ213" s="6">
        <v>1917</v>
      </c>
      <c r="GS213" s="6">
        <v>570000</v>
      </c>
      <c r="GT213" s="6">
        <v>1833438</v>
      </c>
      <c r="GU213" s="15">
        <v>140.5615134428995</v>
      </c>
      <c r="HL213" s="15">
        <v>173.685</v>
      </c>
      <c r="HM213" s="15">
        <v>827.71299999999997</v>
      </c>
      <c r="HO213" s="15">
        <v>173.685</v>
      </c>
      <c r="HP213" s="15">
        <v>827.71299999999997</v>
      </c>
      <c r="IF213" s="5">
        <v>19.626030357535683</v>
      </c>
      <c r="IJ213" s="5">
        <v>19.626030357535683</v>
      </c>
      <c r="IK213" s="6">
        <v>23186.792802819513</v>
      </c>
      <c r="IN213" s="15">
        <v>568.94945400000006</v>
      </c>
      <c r="IP213" s="15">
        <v>568.94945400000006</v>
      </c>
      <c r="IQ213" s="6">
        <v>193058.96697732917</v>
      </c>
      <c r="IW213" s="2">
        <v>258</v>
      </c>
      <c r="IY213" s="2">
        <v>156</v>
      </c>
      <c r="IZ213" s="2">
        <v>414</v>
      </c>
      <c r="JC213" s="6">
        <v>108698</v>
      </c>
      <c r="JD213" s="6">
        <v>108698</v>
      </c>
      <c r="JE213" s="15">
        <v>108.96322839426668</v>
      </c>
      <c r="JG213" s="6">
        <v>82479</v>
      </c>
      <c r="JI213" s="15">
        <v>158.80840000000001</v>
      </c>
      <c r="JJ213" s="6">
        <v>2585.5</v>
      </c>
      <c r="JL213" s="4">
        <v>22.576290852833107</v>
      </c>
      <c r="JR213" s="6">
        <v>836225</v>
      </c>
      <c r="JS213" s="4">
        <v>56.051348871416188</v>
      </c>
      <c r="JT213" s="15">
        <v>164.20886723070944</v>
      </c>
      <c r="JV213" s="6">
        <v>921289.5</v>
      </c>
      <c r="JW213" s="15">
        <v>164.20886723070944</v>
      </c>
      <c r="JX213" s="6">
        <v>2022000</v>
      </c>
      <c r="JY213" s="2">
        <v>157.6</v>
      </c>
      <c r="KE213" s="6">
        <v>24792</v>
      </c>
      <c r="KF213" s="4">
        <v>73.116327847692801</v>
      </c>
      <c r="KG213" s="15">
        <v>490.0677234591804</v>
      </c>
      <c r="KI213" s="6">
        <v>24792</v>
      </c>
      <c r="KJ213" s="15">
        <v>490.0677234591804</v>
      </c>
      <c r="KL213" s="6">
        <v>64856</v>
      </c>
      <c r="KO213" s="6">
        <v>6393.4169278996869</v>
      </c>
      <c r="KP213" s="5">
        <v>95.699999999999989</v>
      </c>
      <c r="KQ213" s="15">
        <v>875.55051752880604</v>
      </c>
      <c r="KR213" s="6">
        <v>5921</v>
      </c>
      <c r="KY213" s="6">
        <v>112926.62</v>
      </c>
      <c r="KZ213" s="4">
        <v>94.193911054807103</v>
      </c>
      <c r="LA213" s="15">
        <v>877.43434630382103</v>
      </c>
      <c r="LC213" s="6">
        <v>190097.0369278997</v>
      </c>
      <c r="LD213" s="15">
        <v>959.70241935483875</v>
      </c>
      <c r="LE213" s="6">
        <v>203000</v>
      </c>
      <c r="LF213" s="2">
        <v>880.2</v>
      </c>
      <c r="LH213" s="6">
        <v>646458.78787878784</v>
      </c>
      <c r="LI213" s="4">
        <v>92</v>
      </c>
      <c r="LJ213" s="15">
        <v>647.62064109633263</v>
      </c>
      <c r="LL213" s="6">
        <v>43240</v>
      </c>
      <c r="LO213" s="6">
        <v>4874.7474747474753</v>
      </c>
      <c r="LP213" s="5">
        <v>66.547269652501228</v>
      </c>
      <c r="LQ213" s="5">
        <v>716.73835785329459</v>
      </c>
      <c r="LR213" s="6">
        <v>1307</v>
      </c>
      <c r="LY213" s="6">
        <v>353169</v>
      </c>
      <c r="LZ213" s="4">
        <v>65.000042472583942</v>
      </c>
      <c r="MA213" s="15">
        <v>651.24437875351464</v>
      </c>
      <c r="MC213" s="6">
        <v>402590.74747474748</v>
      </c>
      <c r="MD213" s="6">
        <v>393000</v>
      </c>
      <c r="ME213" s="2">
        <v>671.2</v>
      </c>
    </row>
    <row r="214" spans="1:343" x14ac:dyDescent="0.25">
      <c r="A214" s="2">
        <v>2002</v>
      </c>
      <c r="B214" s="6">
        <v>25063.980812380116</v>
      </c>
      <c r="C214" s="6">
        <v>23483.154970238051</v>
      </c>
      <c r="D214" s="6">
        <v>3243.3907523279649</v>
      </c>
      <c r="E214" s="6">
        <v>6053.3743255817099</v>
      </c>
      <c r="F214" s="6">
        <v>3136.2225662184987</v>
      </c>
      <c r="G214" s="6">
        <v>187204.11671490307</v>
      </c>
      <c r="H214" s="6">
        <v>18026.927995952308</v>
      </c>
      <c r="I214" s="6">
        <v>266211.16813760169</v>
      </c>
      <c r="J214" s="6">
        <v>18348.872280569078</v>
      </c>
      <c r="K214" s="6">
        <v>272856.22870214848</v>
      </c>
      <c r="M214" s="6">
        <v>1760379.9999999998</v>
      </c>
      <c r="N214" s="6">
        <v>88628</v>
      </c>
      <c r="P214" s="6">
        <v>77617</v>
      </c>
      <c r="Q214" s="6">
        <v>25849.420220000004</v>
      </c>
      <c r="R214" s="6">
        <v>68085.000000000015</v>
      </c>
      <c r="S214" s="6">
        <v>50348</v>
      </c>
      <c r="T214" s="6">
        <v>2070907.42022</v>
      </c>
      <c r="U214" s="15">
        <v>272.83228051182124</v>
      </c>
      <c r="V214" s="6">
        <v>1964295.7587333333</v>
      </c>
      <c r="W214" s="209"/>
      <c r="X214" s="6">
        <v>11384000</v>
      </c>
      <c r="AA214" s="6">
        <v>36681223</v>
      </c>
      <c r="AB214" s="34">
        <v>6069610.0000000009</v>
      </c>
      <c r="AC214" s="6">
        <f t="shared" si="368"/>
        <v>54134833</v>
      </c>
      <c r="AD214" s="4">
        <v>36.440687597576961</v>
      </c>
      <c r="AE214" s="5">
        <v>23.346365374354392</v>
      </c>
      <c r="AG214" s="6">
        <v>3574000</v>
      </c>
      <c r="AI214" s="6">
        <v>11000041</v>
      </c>
      <c r="AJ214" s="6">
        <v>1802013.95</v>
      </c>
      <c r="AK214" s="6">
        <v>16376054.949999999</v>
      </c>
      <c r="AL214" s="15">
        <v>140.22088727361981</v>
      </c>
      <c r="AN214" s="6">
        <v>192534125</v>
      </c>
      <c r="AO214" s="6">
        <v>143579894</v>
      </c>
      <c r="AQ214" s="6">
        <v>519736.11111111206</v>
      </c>
      <c r="AR214" s="6">
        <v>3556000</v>
      </c>
      <c r="AS214" s="6">
        <v>6978107.9268292598</v>
      </c>
      <c r="AT214" s="6">
        <v>347167863.03794038</v>
      </c>
      <c r="AU214" s="4">
        <v>62.965569718282154</v>
      </c>
      <c r="AW214" s="6">
        <v>66581104</v>
      </c>
      <c r="AX214" s="4">
        <v>7.9999849987248917</v>
      </c>
      <c r="BC214" s="6">
        <v>4854.6190000000006</v>
      </c>
      <c r="BD214" s="6"/>
      <c r="BE214" s="6">
        <v>4854.6190000000006</v>
      </c>
      <c r="BF214" s="6">
        <v>25708.360491579428</v>
      </c>
      <c r="BH214" s="6">
        <v>475253.43</v>
      </c>
      <c r="BI214" s="6">
        <v>134595</v>
      </c>
      <c r="BK214" s="6">
        <v>32593</v>
      </c>
      <c r="BL214" s="6">
        <v>178120</v>
      </c>
      <c r="BM214" s="6">
        <v>51720</v>
      </c>
      <c r="BO214" s="6">
        <v>872281.42999999993</v>
      </c>
      <c r="BP214" s="6">
        <v>2876.4584570804445</v>
      </c>
      <c r="BQ214" s="6">
        <v>846418.05368047068</v>
      </c>
      <c r="BT214" s="6">
        <v>33661732.07</v>
      </c>
      <c r="BU214" s="6">
        <v>117000</v>
      </c>
      <c r="BV214" s="6">
        <v>33778732.07</v>
      </c>
      <c r="BW214" s="4">
        <v>18.921033480915913</v>
      </c>
      <c r="BX214" s="6">
        <v>33778732.07</v>
      </c>
      <c r="CA214" s="6">
        <v>3934</v>
      </c>
      <c r="CC214" s="6">
        <v>2325960.6393389157</v>
      </c>
      <c r="CD214" s="6">
        <v>3290216.9610000001</v>
      </c>
      <c r="CE214" s="6">
        <v>180972411.00000012</v>
      </c>
      <c r="CG214" s="6">
        <v>186592522.60033903</v>
      </c>
      <c r="CH214" s="4">
        <v>31.325568439610159</v>
      </c>
      <c r="CO214" s="6">
        <v>578388</v>
      </c>
      <c r="CP214" s="6">
        <v>1789000</v>
      </c>
      <c r="CR214" s="6">
        <v>2367388</v>
      </c>
      <c r="CS214" s="2">
        <v>199</v>
      </c>
      <c r="CT214" s="6">
        <v>2018189</v>
      </c>
      <c r="CX214" s="6">
        <v>179766</v>
      </c>
      <c r="CY214" s="6">
        <v>179766</v>
      </c>
      <c r="CZ214" s="6">
        <v>30058.480442056782</v>
      </c>
      <c r="DA214" s="6">
        <v>12474.441263117256</v>
      </c>
      <c r="DB214" s="6">
        <v>171269.15085742055</v>
      </c>
      <c r="DD214" s="6">
        <v>451865</v>
      </c>
      <c r="DE214" s="6">
        <v>96360</v>
      </c>
      <c r="DG214" s="6">
        <v>29329</v>
      </c>
      <c r="DI214" s="6">
        <v>76439</v>
      </c>
      <c r="DJ214" s="6">
        <v>39858.999999999993</v>
      </c>
      <c r="DK214" s="6">
        <v>693852</v>
      </c>
      <c r="DL214" s="15">
        <v>836.24538215652535</v>
      </c>
      <c r="DM214" s="6">
        <v>665868.692224</v>
      </c>
      <c r="DO214" s="6">
        <v>742953</v>
      </c>
      <c r="DP214" s="6">
        <v>197576.00000000003</v>
      </c>
      <c r="DR214" s="6">
        <v>77702</v>
      </c>
      <c r="DT214" s="6">
        <v>250317</v>
      </c>
      <c r="DU214" s="6">
        <v>171383</v>
      </c>
      <c r="DV214" s="6">
        <v>1439931</v>
      </c>
      <c r="DW214" s="6">
        <v>1437.5826560014978</v>
      </c>
      <c r="DX214" s="6">
        <v>1429663.5319047619</v>
      </c>
      <c r="DZ214" s="2">
        <v>1</v>
      </c>
      <c r="EA214" s="15">
        <v>749.6</v>
      </c>
      <c r="EC214" s="6">
        <v>7355.9849999999997</v>
      </c>
      <c r="ED214" s="6">
        <v>763</v>
      </c>
      <c r="EF214" s="6">
        <v>8869.5849999999991</v>
      </c>
      <c r="EG214" s="6">
        <v>7465.2245046973312</v>
      </c>
      <c r="EJ214" s="6">
        <v>3732.5399701679999</v>
      </c>
      <c r="EL214" s="6">
        <v>4469.07024</v>
      </c>
      <c r="EM214" s="6">
        <v>8201.6102101680008</v>
      </c>
      <c r="EN214" s="6">
        <v>47572.995547990024</v>
      </c>
      <c r="EO214" s="6">
        <v>8097.3140000000003</v>
      </c>
      <c r="EU214" s="6">
        <v>5613.6061761770843</v>
      </c>
      <c r="EV214" s="6">
        <v>5613.6061761770843</v>
      </c>
      <c r="EW214" s="6">
        <v>9726.8550970046199</v>
      </c>
      <c r="EY214" s="2">
        <v>234</v>
      </c>
      <c r="EZ214" s="15">
        <v>953.95499999999993</v>
      </c>
      <c r="FF214" s="6">
        <v>1187.9549999999999</v>
      </c>
      <c r="FG214" s="6">
        <v>3722.7949599083618</v>
      </c>
      <c r="FI214" s="200"/>
      <c r="FJ214" s="200"/>
      <c r="FK214" s="200"/>
      <c r="FL214" s="6">
        <v>126031.75</v>
      </c>
      <c r="FM214" s="6">
        <f t="shared" si="366"/>
        <v>126031.75</v>
      </c>
      <c r="FN214" s="6">
        <v>1519.6639938907979</v>
      </c>
      <c r="FZ214" s="6">
        <v>3140</v>
      </c>
      <c r="GB214" s="6">
        <v>3140</v>
      </c>
      <c r="GC214" s="6">
        <v>5918.7818471337578</v>
      </c>
      <c r="GN214" s="6">
        <v>1711105</v>
      </c>
      <c r="GQ214" s="6">
        <v>1971</v>
      </c>
      <c r="GS214" s="6">
        <v>540000</v>
      </c>
      <c r="GT214" s="6">
        <v>2253076</v>
      </c>
      <c r="GU214" s="15">
        <v>140.56000011688354</v>
      </c>
      <c r="HL214" s="15">
        <v>122.00200000000001</v>
      </c>
      <c r="HM214" s="15">
        <v>810.452</v>
      </c>
      <c r="HO214" s="15">
        <v>122.00200000000001</v>
      </c>
      <c r="HP214" s="15">
        <v>810.452</v>
      </c>
      <c r="HW214" s="6">
        <v>1088</v>
      </c>
      <c r="HZ214" s="6">
        <f t="shared" ref="HZ214" si="369">SUM(HV214:HY214)</f>
        <v>1088</v>
      </c>
      <c r="IA214" s="15">
        <v>249.8</v>
      </c>
      <c r="IF214" s="5">
        <v>22.599671320798667</v>
      </c>
      <c r="IJ214" s="5">
        <v>22.599671320798667</v>
      </c>
      <c r="IK214" s="6">
        <v>17334.860633829703</v>
      </c>
      <c r="IN214" s="15">
        <v>694.88867599999992</v>
      </c>
      <c r="IP214" s="15">
        <v>694.88867599999992</v>
      </c>
      <c r="IQ214" s="6">
        <v>148579.09588403642</v>
      </c>
      <c r="IW214" s="2">
        <v>315</v>
      </c>
      <c r="IY214" s="2">
        <v>125</v>
      </c>
      <c r="IZ214" s="2">
        <v>440</v>
      </c>
      <c r="JC214" s="6">
        <v>101845</v>
      </c>
      <c r="JD214" s="6">
        <v>101845</v>
      </c>
      <c r="JE214" s="15">
        <v>557.40232244694403</v>
      </c>
      <c r="JG214" s="6">
        <v>93882</v>
      </c>
      <c r="JI214" s="15">
        <v>142.88242105263157</v>
      </c>
      <c r="JJ214" s="2">
        <v>924</v>
      </c>
      <c r="JL214" s="4">
        <v>25.120129870129869</v>
      </c>
      <c r="JM214" s="6">
        <v>28123</v>
      </c>
      <c r="JR214" s="6">
        <v>852550</v>
      </c>
      <c r="JS214" s="4">
        <v>54.825775230590132</v>
      </c>
      <c r="JT214" s="15">
        <v>153.96127851738902</v>
      </c>
      <c r="JV214" s="6">
        <v>975479</v>
      </c>
      <c r="JW214" s="15">
        <v>153.96127851738902</v>
      </c>
      <c r="JX214" s="6">
        <v>1957000</v>
      </c>
      <c r="JY214" s="2">
        <v>143.1</v>
      </c>
      <c r="KE214" s="6">
        <v>43750</v>
      </c>
      <c r="KF214" s="4">
        <v>82.066285714285712</v>
      </c>
      <c r="KG214" s="15">
        <v>484.69723428571427</v>
      </c>
      <c r="KI214" s="6">
        <v>43750</v>
      </c>
      <c r="KJ214" s="15">
        <v>484.69723428571427</v>
      </c>
      <c r="KL214" s="6">
        <v>60765</v>
      </c>
      <c r="KO214" s="6">
        <v>2555.3814002089866</v>
      </c>
      <c r="KP214" s="5">
        <v>95.7</v>
      </c>
      <c r="KQ214" s="15">
        <v>876.2578454303823</v>
      </c>
      <c r="KR214" s="6">
        <v>16805</v>
      </c>
      <c r="KY214" s="6">
        <v>125411</v>
      </c>
      <c r="KZ214" s="4">
        <v>94.545932972386794</v>
      </c>
      <c r="LA214" s="15">
        <v>818.61404501997436</v>
      </c>
      <c r="LC214" s="6">
        <v>205536.38140020898</v>
      </c>
      <c r="LD214" s="15">
        <v>924.47749999999996</v>
      </c>
      <c r="LE214" s="6">
        <v>217000</v>
      </c>
      <c r="LF214" s="2">
        <v>840.4</v>
      </c>
      <c r="LH214" s="6">
        <v>586993.33333333337</v>
      </c>
      <c r="LI214" s="4">
        <v>92</v>
      </c>
      <c r="LJ214" s="15">
        <v>602.51496553055676</v>
      </c>
      <c r="LL214" s="6">
        <v>42664</v>
      </c>
      <c r="LO214" s="6">
        <v>2738.3838383838383</v>
      </c>
      <c r="LP214" s="5">
        <v>66.547269652501228</v>
      </c>
      <c r="LQ214" s="5">
        <v>712.40396348210993</v>
      </c>
      <c r="LR214" s="6">
        <v>4043</v>
      </c>
      <c r="LY214" s="6">
        <v>369920</v>
      </c>
      <c r="LZ214" s="4">
        <v>64.390408737024217</v>
      </c>
      <c r="MA214" s="15">
        <v>667.01311634948092</v>
      </c>
      <c r="MC214" s="6">
        <v>419365.38383838383</v>
      </c>
      <c r="MD214" s="6">
        <v>413000</v>
      </c>
      <c r="ME214" s="2">
        <v>687.6</v>
      </c>
    </row>
    <row r="215" spans="1:343" x14ac:dyDescent="0.25">
      <c r="A215" s="2">
        <v>2003</v>
      </c>
      <c r="B215" s="6">
        <v>26240.209798921784</v>
      </c>
      <c r="C215" s="6">
        <v>27491.545686028989</v>
      </c>
      <c r="D215" s="6">
        <v>3110.5947091203348</v>
      </c>
      <c r="E215" s="6">
        <v>9315.0889048655481</v>
      </c>
      <c r="F215" s="6">
        <v>5327.0000949756795</v>
      </c>
      <c r="G215" s="6">
        <v>186881.6304793125</v>
      </c>
      <c r="H215" s="6">
        <v>22846.916683016509</v>
      </c>
      <c r="I215" s="6">
        <v>281212.98635624134</v>
      </c>
      <c r="J215" s="6">
        <v>18010.354007456706</v>
      </c>
      <c r="K215" s="6">
        <v>289719.56013775128</v>
      </c>
      <c r="M215" s="6">
        <v>1582830</v>
      </c>
      <c r="N215" s="6">
        <v>81505</v>
      </c>
      <c r="P215" s="6">
        <v>67093</v>
      </c>
      <c r="Q215" s="6">
        <v>20152.001730000004</v>
      </c>
      <c r="R215" s="6">
        <v>69902</v>
      </c>
      <c r="S215" s="6">
        <v>46671.000000000007</v>
      </c>
      <c r="T215" s="6">
        <v>1868153.0017299999</v>
      </c>
      <c r="U215" s="15">
        <v>241.27563157836136</v>
      </c>
      <c r="V215" s="6">
        <v>1833537.26</v>
      </c>
      <c r="W215" s="209"/>
      <c r="X215" s="6">
        <v>12059000</v>
      </c>
      <c r="AA215" s="6">
        <v>37390791</v>
      </c>
      <c r="AB215" s="34">
        <v>6152059.9999999991</v>
      </c>
      <c r="AC215" s="6">
        <f t="shared" si="368"/>
        <v>55601851</v>
      </c>
      <c r="AD215" s="4">
        <v>36.504985120009763</v>
      </c>
      <c r="AE215" s="5">
        <v>19.795509359450428</v>
      </c>
      <c r="AG215" s="6">
        <v>3731000</v>
      </c>
      <c r="AI215" s="6">
        <v>11228615</v>
      </c>
      <c r="AJ215" s="6">
        <v>1818228.4999999998</v>
      </c>
      <c r="AK215" s="6">
        <v>16777843.5</v>
      </c>
      <c r="AL215" s="15">
        <v>267.0271056216834</v>
      </c>
      <c r="AN215" s="6">
        <v>202998681.18672341</v>
      </c>
      <c r="AO215" s="6">
        <v>144551600</v>
      </c>
      <c r="AQ215" s="6">
        <v>482748.611111112</v>
      </c>
      <c r="AR215" s="6">
        <v>4029999.9999999995</v>
      </c>
      <c r="AS215" s="6">
        <v>7501949.3902439</v>
      </c>
      <c r="AT215" s="6">
        <v>359564979.1880784</v>
      </c>
      <c r="AU215" s="4">
        <v>50.30977395755334</v>
      </c>
      <c r="AW215" s="6">
        <v>66414816</v>
      </c>
      <c r="AX215" s="4">
        <v>8</v>
      </c>
      <c r="BC215" s="6">
        <v>5165</v>
      </c>
      <c r="BD215" s="6"/>
      <c r="BE215" s="6">
        <v>5165</v>
      </c>
      <c r="BF215" s="6">
        <v>29655.42383361439</v>
      </c>
      <c r="BH215" s="6">
        <v>435055</v>
      </c>
      <c r="BI215" s="6">
        <v>156329</v>
      </c>
      <c r="BK215" s="6">
        <v>29723.48</v>
      </c>
      <c r="BL215" s="6">
        <v>160079</v>
      </c>
      <c r="BM215" s="6">
        <v>49201.27</v>
      </c>
      <c r="BO215" s="6">
        <v>830387.75</v>
      </c>
      <c r="BP215" s="6">
        <v>2727.8712089683199</v>
      </c>
      <c r="BQ215" s="6">
        <v>827637.52449999994</v>
      </c>
      <c r="BT215" s="6">
        <v>30967767.697999999</v>
      </c>
      <c r="BU215" s="6">
        <v>62000</v>
      </c>
      <c r="BV215" s="6">
        <v>31029767.697999999</v>
      </c>
      <c r="BW215" s="4">
        <v>18.654922191818304</v>
      </c>
      <c r="BX215" s="6">
        <v>31029767.697999999</v>
      </c>
      <c r="CC215" s="6">
        <v>2452906.3825160363</v>
      </c>
      <c r="CD215" s="6">
        <v>2689088.9120000005</v>
      </c>
      <c r="CE215" s="6">
        <v>207144423.52941167</v>
      </c>
      <c r="CG215" s="6">
        <v>212286418.8239277</v>
      </c>
      <c r="CH215" s="4">
        <v>27.147955830546518</v>
      </c>
      <c r="CO215" s="6">
        <v>587836</v>
      </c>
      <c r="CP215" s="6">
        <v>1941000</v>
      </c>
      <c r="CR215" s="6">
        <v>2528836</v>
      </c>
      <c r="CS215" s="2">
        <v>199</v>
      </c>
      <c r="CT215" s="6">
        <v>2440166</v>
      </c>
      <c r="CX215" s="6">
        <v>187737</v>
      </c>
      <c r="CY215" s="6">
        <v>187737</v>
      </c>
      <c r="CZ215" s="6">
        <v>29342.407853457262</v>
      </c>
      <c r="DA215" s="6">
        <v>14806.976832232018</v>
      </c>
      <c r="DB215" s="6">
        <v>176327.65939562616</v>
      </c>
      <c r="DD215" s="6">
        <v>450875</v>
      </c>
      <c r="DE215" s="6">
        <v>116093</v>
      </c>
      <c r="DG215" s="6">
        <v>30223</v>
      </c>
      <c r="DI215" s="6">
        <v>52318</v>
      </c>
      <c r="DJ215" s="6">
        <v>38227.000000000007</v>
      </c>
      <c r="DK215" s="6">
        <v>687736</v>
      </c>
      <c r="DL215" s="15">
        <v>795.13134650710822</v>
      </c>
      <c r="DM215" s="6">
        <v>669509.5</v>
      </c>
      <c r="DO215" s="6">
        <v>751746.00000000012</v>
      </c>
      <c r="DP215" s="6">
        <v>253990</v>
      </c>
      <c r="DR215" s="6">
        <v>79023</v>
      </c>
      <c r="DT215" s="6">
        <v>184590.00000000003</v>
      </c>
      <c r="DU215" s="6">
        <v>172786</v>
      </c>
      <c r="DV215" s="6">
        <v>1442135</v>
      </c>
      <c r="DW215" s="6">
        <v>1274.9980998456449</v>
      </c>
      <c r="DX215" s="6">
        <v>1449257.4807142855</v>
      </c>
      <c r="DZ215" s="2">
        <v>2</v>
      </c>
      <c r="EA215" s="6">
        <v>1031</v>
      </c>
      <c r="EC215" s="6">
        <v>4645</v>
      </c>
      <c r="ED215" s="15">
        <v>653</v>
      </c>
      <c r="EF215" s="6">
        <v>6331</v>
      </c>
      <c r="EG215" s="6">
        <v>7079.1926526192965</v>
      </c>
      <c r="EJ215" s="6">
        <v>3891.3904224000003</v>
      </c>
      <c r="EL215" s="6">
        <v>5063.9464800000005</v>
      </c>
      <c r="EM215" s="6">
        <v>8955.3369024000003</v>
      </c>
      <c r="EN215" s="6">
        <v>41405.01622802452</v>
      </c>
      <c r="EO215" s="6">
        <v>8958</v>
      </c>
      <c r="EU215" s="15">
        <v>693.51170000000002</v>
      </c>
      <c r="EV215" s="15">
        <v>693.51170000000002</v>
      </c>
      <c r="EW215" s="6">
        <v>13389.45314126592</v>
      </c>
      <c r="EY215" s="2">
        <v>206</v>
      </c>
      <c r="FF215" s="2">
        <v>206</v>
      </c>
      <c r="FG215" s="6">
        <v>4059.6094552929085</v>
      </c>
      <c r="FI215" s="200"/>
      <c r="FJ215" s="200"/>
      <c r="FK215" s="200"/>
      <c r="FL215" s="6">
        <v>138771</v>
      </c>
      <c r="FM215" s="6">
        <f t="shared" si="366"/>
        <v>138771</v>
      </c>
      <c r="FN215" s="6">
        <v>1527.9205207262762</v>
      </c>
      <c r="FZ215" s="6">
        <v>3450.0000000000005</v>
      </c>
      <c r="GB215" s="6">
        <v>3450.0000000000005</v>
      </c>
      <c r="GC215" s="6">
        <v>8185.8173913043465</v>
      </c>
      <c r="GN215" s="6">
        <v>1908700</v>
      </c>
      <c r="GQ215" s="6">
        <v>1247</v>
      </c>
      <c r="GS215" s="6">
        <v>585737</v>
      </c>
      <c r="GT215" s="6">
        <v>2495684</v>
      </c>
      <c r="GU215" s="5">
        <v>68.411151045214027</v>
      </c>
      <c r="HL215" s="15">
        <v>133.346</v>
      </c>
      <c r="HM215" s="15">
        <v>477.05799999999999</v>
      </c>
      <c r="HO215" s="15">
        <v>133.346</v>
      </c>
      <c r="HP215" s="15">
        <v>477.05799999999999</v>
      </c>
      <c r="IF215" s="4">
        <v>8.9209228897889474</v>
      </c>
      <c r="IJ215" s="4">
        <v>8.9209228897889474</v>
      </c>
      <c r="IK215" s="6">
        <v>14919.492977046933</v>
      </c>
      <c r="IN215" s="15">
        <v>686.75477779999994</v>
      </c>
      <c r="IP215" s="15">
        <v>686.75477779999994</v>
      </c>
      <c r="IQ215" s="6">
        <v>123429.21171603756</v>
      </c>
      <c r="IW215" s="2">
        <v>347</v>
      </c>
      <c r="IY215" s="2">
        <v>159</v>
      </c>
      <c r="IZ215" s="2">
        <v>506</v>
      </c>
      <c r="JC215" s="6">
        <v>127975</v>
      </c>
      <c r="JD215" s="6">
        <v>127975</v>
      </c>
      <c r="JE215" s="15">
        <v>572.51454810930147</v>
      </c>
      <c r="JG215" s="6">
        <v>120392</v>
      </c>
      <c r="JI215" s="15">
        <v>119.66434426229509</v>
      </c>
      <c r="JM215" s="6">
        <v>50984</v>
      </c>
      <c r="JR215" s="6">
        <v>862391</v>
      </c>
      <c r="JS215" s="4">
        <v>55.271216884220728</v>
      </c>
      <c r="JT215" s="15">
        <v>128.08987222733074</v>
      </c>
      <c r="JV215" s="6">
        <v>1033767</v>
      </c>
      <c r="JW215" s="15">
        <v>128.08987222733074</v>
      </c>
      <c r="JX215" s="6">
        <v>2007000</v>
      </c>
      <c r="JY215" s="2">
        <v>120.4</v>
      </c>
      <c r="KE215" s="6">
        <v>46673</v>
      </c>
      <c r="KF215" s="4">
        <v>86.084031452874257</v>
      </c>
      <c r="KG215" s="15">
        <v>370.23926038609045</v>
      </c>
      <c r="KI215" s="6">
        <v>46673</v>
      </c>
      <c r="KJ215" s="15">
        <v>370.23926038609045</v>
      </c>
      <c r="KL215" s="6">
        <v>44808</v>
      </c>
      <c r="KO215" s="6">
        <v>3000</v>
      </c>
      <c r="KR215" s="6">
        <v>28329</v>
      </c>
      <c r="KY215" s="6">
        <v>123633</v>
      </c>
      <c r="KZ215" s="4">
        <v>94.452128477024743</v>
      </c>
      <c r="LA215" s="15">
        <v>649.33734520718576</v>
      </c>
      <c r="LC215" s="6">
        <v>199770</v>
      </c>
      <c r="LD215" s="15">
        <v>746.3417391304348</v>
      </c>
      <c r="LE215" s="6">
        <v>171000</v>
      </c>
      <c r="LF215" s="2">
        <v>685.9</v>
      </c>
      <c r="LH215" s="6">
        <v>556253.33333333337</v>
      </c>
      <c r="LI215" s="4">
        <v>91.999988015053091</v>
      </c>
      <c r="LJ215" s="15">
        <v>557.928095711786</v>
      </c>
      <c r="LL215" s="6">
        <v>44808</v>
      </c>
      <c r="LO215" s="6">
        <v>2000</v>
      </c>
      <c r="LR215" s="6">
        <v>10841</v>
      </c>
      <c r="LY215" s="6">
        <v>420545</v>
      </c>
      <c r="LZ215" s="4">
        <v>61.330416483372765</v>
      </c>
      <c r="MA215" s="15">
        <v>575.67436065105994</v>
      </c>
      <c r="MC215" s="6">
        <v>478194</v>
      </c>
      <c r="MD215" s="6">
        <v>462000</v>
      </c>
      <c r="ME215" s="2">
        <v>578.1</v>
      </c>
    </row>
    <row r="216" spans="1:343" x14ac:dyDescent="0.25">
      <c r="A216" s="2">
        <v>2004</v>
      </c>
      <c r="B216" s="6">
        <v>23164.596761493955</v>
      </c>
      <c r="C216" s="6">
        <v>29143.792181283403</v>
      </c>
      <c r="D216" s="6">
        <v>3455.5480011080153</v>
      </c>
      <c r="E216" s="6">
        <v>10597.96383604533</v>
      </c>
      <c r="F216" s="6">
        <v>5116.4051793106901</v>
      </c>
      <c r="G216" s="6">
        <v>164220.63115144498</v>
      </c>
      <c r="H216" s="6">
        <v>22271.324762948021</v>
      </c>
      <c r="I216" s="6">
        <v>257970.26187363442</v>
      </c>
      <c r="J216" s="6">
        <v>17920.030064191884</v>
      </c>
      <c r="K216" s="6">
        <v>278411.86388694454</v>
      </c>
      <c r="M216" s="6">
        <v>1914021.0000000002</v>
      </c>
      <c r="N216" s="6">
        <v>91547</v>
      </c>
      <c r="P216" s="6">
        <v>88723</v>
      </c>
      <c r="Q216" s="6">
        <v>33947.999999999993</v>
      </c>
      <c r="R216" s="6">
        <v>50736.999999999993</v>
      </c>
      <c r="S216" s="6">
        <v>44667</v>
      </c>
      <c r="T216" s="6">
        <v>2223643</v>
      </c>
      <c r="U216" s="15">
        <v>290.74317580825226</v>
      </c>
      <c r="V216" s="6">
        <v>2105815.54</v>
      </c>
      <c r="W216" s="209"/>
      <c r="X216" s="6">
        <v>12819000</v>
      </c>
      <c r="AA216" s="6">
        <v>37945715</v>
      </c>
      <c r="AB216" s="34">
        <v>5828298.0000000009</v>
      </c>
      <c r="AC216" s="6">
        <f t="shared" si="368"/>
        <v>56593013</v>
      </c>
      <c r="AD216" s="4">
        <v>36.590954427536843</v>
      </c>
      <c r="AE216" s="5">
        <v>21.473276936682367</v>
      </c>
      <c r="AG216" s="6">
        <v>3953000</v>
      </c>
      <c r="AI216" s="6">
        <v>10988386</v>
      </c>
      <c r="AJ216" s="6">
        <v>1837108.3489000001</v>
      </c>
      <c r="AK216" s="6">
        <v>16778494.348900001</v>
      </c>
      <c r="AL216" s="15">
        <v>393.47128609627151</v>
      </c>
      <c r="AN216" s="6">
        <v>212845233</v>
      </c>
      <c r="AO216" s="6">
        <v>151081922.00000003</v>
      </c>
      <c r="AQ216" s="6">
        <v>510335.41666666605</v>
      </c>
      <c r="AR216" s="6">
        <v>4010000</v>
      </c>
      <c r="AS216" s="6">
        <v>7475609.7560975598</v>
      </c>
      <c r="AT216" s="6">
        <v>375923100.17276424</v>
      </c>
      <c r="AU216" s="4">
        <v>59.468101502604249</v>
      </c>
      <c r="AW216" s="6">
        <v>66604712</v>
      </c>
      <c r="AX216" s="4">
        <v>8</v>
      </c>
      <c r="BC216" s="6">
        <v>4396.8679999999995</v>
      </c>
      <c r="BD216" s="6"/>
      <c r="BE216" s="6">
        <v>4396.8679999999995</v>
      </c>
      <c r="BF216" s="6">
        <v>59403.089426382605</v>
      </c>
      <c r="BH216" s="6">
        <v>417592</v>
      </c>
      <c r="BI216" s="6">
        <v>165661</v>
      </c>
      <c r="BK216" s="6">
        <v>30284</v>
      </c>
      <c r="BL216" s="6">
        <v>224731</v>
      </c>
      <c r="BM216" s="6">
        <v>37108</v>
      </c>
      <c r="BO216" s="6">
        <v>875376</v>
      </c>
      <c r="BP216" s="6">
        <v>3903.8193144325305</v>
      </c>
      <c r="BQ216" s="6">
        <v>803612.61065170064</v>
      </c>
      <c r="BT216" s="6">
        <v>20702039</v>
      </c>
      <c r="BV216" s="6">
        <v>20702039</v>
      </c>
      <c r="BW216" s="4">
        <v>17.36810810000841</v>
      </c>
      <c r="BX216" s="6">
        <v>20702039</v>
      </c>
      <c r="CC216" s="6">
        <v>2286466.238990976</v>
      </c>
      <c r="CD216" s="6">
        <v>3475249.4509999999</v>
      </c>
      <c r="CE216" s="6">
        <v>227439089.29411763</v>
      </c>
      <c r="CG216" s="6">
        <v>233200804.9841086</v>
      </c>
      <c r="CH216" s="4">
        <v>29.40168221061786</v>
      </c>
      <c r="CO216" s="6">
        <v>275612</v>
      </c>
      <c r="CP216" s="6">
        <v>2819000</v>
      </c>
      <c r="CR216" s="6">
        <v>3094612</v>
      </c>
      <c r="CS216" s="2">
        <v>199</v>
      </c>
      <c r="CT216" s="6">
        <v>2757396</v>
      </c>
      <c r="CX216" s="6">
        <v>174701</v>
      </c>
      <c r="CY216" s="6">
        <v>174701</v>
      </c>
      <c r="CZ216" s="6">
        <v>36858.333333333285</v>
      </c>
      <c r="DA216" s="6">
        <v>18806.990487077135</v>
      </c>
      <c r="DB216" s="6">
        <v>177739.38801340965</v>
      </c>
      <c r="DD216" s="6">
        <v>502805.00000000006</v>
      </c>
      <c r="DE216" s="6">
        <v>97715</v>
      </c>
      <c r="DG216" s="6">
        <v>34558</v>
      </c>
      <c r="DI216" s="6">
        <v>3559.9999999999995</v>
      </c>
      <c r="DJ216" s="6">
        <v>34949</v>
      </c>
      <c r="DK216" s="6">
        <v>673587</v>
      </c>
      <c r="DL216" s="6">
        <v>1216.1271554954476</v>
      </c>
      <c r="DM216" s="6">
        <v>666683</v>
      </c>
      <c r="DO216" s="6">
        <v>799078</v>
      </c>
      <c r="DP216" s="6">
        <v>204843</v>
      </c>
      <c r="DR216" s="6">
        <v>92306</v>
      </c>
      <c r="DT216" s="6">
        <v>41937.999999999993</v>
      </c>
      <c r="DU216" s="6">
        <v>159094</v>
      </c>
      <c r="DV216" s="6">
        <v>1297259</v>
      </c>
      <c r="DW216" s="6">
        <v>1433.4150816109104</v>
      </c>
      <c r="DX216" s="6">
        <v>1316099.8616780045</v>
      </c>
      <c r="DZ216" s="2">
        <v>8</v>
      </c>
      <c r="EA216" s="2">
        <v>429</v>
      </c>
      <c r="ED216" s="15">
        <v>426</v>
      </c>
      <c r="EF216" s="6">
        <v>863</v>
      </c>
      <c r="EG216" s="6">
        <v>11606.311358701329</v>
      </c>
      <c r="EJ216" s="6">
        <v>5487.2444157120008</v>
      </c>
      <c r="EL216" s="6">
        <v>5135.9315040000001</v>
      </c>
      <c r="EM216" s="6">
        <v>10623.175919712001</v>
      </c>
      <c r="EN216" s="6">
        <v>42458.329167527343</v>
      </c>
      <c r="EO216" s="6">
        <v>10591</v>
      </c>
      <c r="EU216" s="2">
        <v>220</v>
      </c>
      <c r="EV216" s="2">
        <v>220</v>
      </c>
      <c r="EW216" s="6">
        <v>32194.123238883087</v>
      </c>
      <c r="EY216" s="2">
        <v>157</v>
      </c>
      <c r="FF216" s="2">
        <v>157</v>
      </c>
      <c r="FG216" s="6">
        <v>4034.865738788134</v>
      </c>
      <c r="FI216" s="200"/>
      <c r="FJ216" s="200"/>
      <c r="FK216" s="200"/>
      <c r="FL216" s="6">
        <v>242805</v>
      </c>
      <c r="FM216" s="6">
        <f t="shared" si="366"/>
        <v>242805</v>
      </c>
      <c r="FN216" s="6">
        <v>1940.1096583719948</v>
      </c>
      <c r="FZ216" s="6">
        <v>3929.9999999999995</v>
      </c>
      <c r="GB216" s="6">
        <v>3929.9999999999995</v>
      </c>
      <c r="GC216" s="6">
        <v>6157.5956743002553</v>
      </c>
      <c r="GN216" s="6">
        <v>1888898</v>
      </c>
      <c r="GQ216" s="6">
        <v>1743</v>
      </c>
      <c r="GS216" s="6">
        <v>671999.99999999988</v>
      </c>
      <c r="GT216" s="6">
        <v>2562641</v>
      </c>
      <c r="GU216" s="5">
        <v>68.410015786982669</v>
      </c>
      <c r="HL216" s="2">
        <v>196</v>
      </c>
      <c r="HM216" s="2">
        <v>846</v>
      </c>
      <c r="HO216" s="15">
        <v>196</v>
      </c>
      <c r="HP216" s="15">
        <v>846</v>
      </c>
      <c r="IF216" s="5">
        <v>16.652389394272703</v>
      </c>
      <c r="IJ216" s="5">
        <v>16.652389394272703</v>
      </c>
      <c r="IK216" s="6">
        <v>16308.168142837058</v>
      </c>
      <c r="IN216" s="15">
        <v>695.11450000000002</v>
      </c>
      <c r="IP216" s="15">
        <v>695.11450000000002</v>
      </c>
      <c r="IQ216" s="6">
        <v>109132.62114875623</v>
      </c>
      <c r="IW216" s="2">
        <v>331</v>
      </c>
      <c r="IZ216" s="2">
        <v>331</v>
      </c>
      <c r="JC216" s="6">
        <v>134761.07999999999</v>
      </c>
      <c r="JD216" s="6">
        <v>134761.07999999999</v>
      </c>
      <c r="JE216" s="15">
        <v>548.39142127250011</v>
      </c>
      <c r="JG216" s="6">
        <v>122110</v>
      </c>
      <c r="JI216" s="15">
        <v>102.34322580645161</v>
      </c>
      <c r="JM216" s="6">
        <v>19978</v>
      </c>
      <c r="JR216" s="6">
        <v>650849</v>
      </c>
      <c r="JS216" s="4">
        <v>34.857086666799823</v>
      </c>
      <c r="JT216" s="15">
        <v>115.62442594211561</v>
      </c>
      <c r="JV216" s="6">
        <v>792937</v>
      </c>
      <c r="JW216" s="15">
        <v>115.62442594211561</v>
      </c>
      <c r="JX216" s="6">
        <v>1921000</v>
      </c>
      <c r="JY216" s="2">
        <v>101.4</v>
      </c>
      <c r="KE216" s="6">
        <v>53499</v>
      </c>
      <c r="KF216" s="4">
        <v>55.262715190938145</v>
      </c>
      <c r="KG216" s="15">
        <v>294.66776949101853</v>
      </c>
      <c r="KI216" s="6">
        <v>53499</v>
      </c>
      <c r="KJ216" s="15">
        <v>294.66776949101853</v>
      </c>
      <c r="KL216" s="6">
        <v>38524</v>
      </c>
      <c r="KR216" s="6">
        <v>11239</v>
      </c>
      <c r="KY216" s="6">
        <v>101893</v>
      </c>
      <c r="KZ216" s="4">
        <v>59.326941006742366</v>
      </c>
      <c r="LA216" s="15">
        <v>688.05798239329488</v>
      </c>
      <c r="LC216" s="6">
        <v>151656</v>
      </c>
      <c r="LD216" s="15">
        <v>723.16166666666663</v>
      </c>
      <c r="LE216" s="6">
        <v>162000</v>
      </c>
      <c r="LF216" s="2">
        <v>666.4</v>
      </c>
      <c r="LH216" s="6">
        <v>611446</v>
      </c>
      <c r="LI216" s="4">
        <v>91.999947665043194</v>
      </c>
      <c r="LJ216" s="15">
        <v>461.71259604282307</v>
      </c>
      <c r="LL216" s="6">
        <v>38524</v>
      </c>
      <c r="LR216" s="6">
        <v>4645</v>
      </c>
      <c r="LY216" s="6">
        <v>358822</v>
      </c>
      <c r="LZ216" s="4">
        <v>65.56119747395644</v>
      </c>
      <c r="MA216" s="15">
        <v>763.50097541399361</v>
      </c>
      <c r="MC216" s="6">
        <v>401991</v>
      </c>
      <c r="MD216" s="6">
        <v>479000</v>
      </c>
      <c r="ME216" s="2">
        <v>652.4</v>
      </c>
    </row>
    <row r="217" spans="1:343" x14ac:dyDescent="0.25">
      <c r="A217" s="2">
        <v>2005</v>
      </c>
      <c r="B217" s="6">
        <v>24618.245814845573</v>
      </c>
      <c r="C217" s="6">
        <v>28046.35295657377</v>
      </c>
      <c r="D217" s="6">
        <v>5235.5597524224704</v>
      </c>
      <c r="E217" s="6">
        <v>8336.2649440408095</v>
      </c>
      <c r="F217" s="6">
        <v>6242.5721752118197</v>
      </c>
      <c r="G217" s="6">
        <v>173093.61674766251</v>
      </c>
      <c r="H217" s="6">
        <v>16545.708326433101</v>
      </c>
      <c r="I217" s="6">
        <v>262118.32071719004</v>
      </c>
      <c r="J217" s="6">
        <v>18799.947106012569</v>
      </c>
      <c r="K217" s="6">
        <v>260641.05390419916</v>
      </c>
      <c r="M217" s="6">
        <v>2064769.0000000002</v>
      </c>
      <c r="N217" s="6">
        <v>100811.5</v>
      </c>
      <c r="P217" s="6">
        <v>82166.5</v>
      </c>
      <c r="Q217" s="6">
        <v>37750</v>
      </c>
      <c r="R217" s="6">
        <v>87866.999999999985</v>
      </c>
      <c r="S217" s="6">
        <v>43282</v>
      </c>
      <c r="T217" s="6">
        <v>2416645.9999999995</v>
      </c>
      <c r="U217" s="15">
        <v>309.15084242221002</v>
      </c>
      <c r="V217" s="6">
        <v>2132528.0894999998</v>
      </c>
      <c r="W217" s="209"/>
      <c r="X217" s="6">
        <v>15604000</v>
      </c>
      <c r="AA217" s="6">
        <v>38495551.999999993</v>
      </c>
      <c r="AB217" s="34">
        <v>5859115</v>
      </c>
      <c r="AC217" s="6">
        <f t="shared" si="368"/>
        <v>59958666.999999993</v>
      </c>
      <c r="AD217" s="4">
        <v>37.361699738921814</v>
      </c>
      <c r="AE217" s="5">
        <v>17.359502217945295</v>
      </c>
      <c r="AG217" s="6">
        <v>4788000</v>
      </c>
      <c r="AI217" s="6">
        <v>11352183</v>
      </c>
      <c r="AJ217" s="6">
        <v>1824730</v>
      </c>
      <c r="AK217" s="6">
        <v>17964913</v>
      </c>
      <c r="AL217" s="15">
        <v>444.85450588791809</v>
      </c>
      <c r="AN217" s="6">
        <v>229340952.99999997</v>
      </c>
      <c r="AO217" s="6">
        <v>158911520</v>
      </c>
      <c r="AQ217" s="6">
        <v>565579.86111111008</v>
      </c>
      <c r="AR217" s="6">
        <v>4499998.75</v>
      </c>
      <c r="AS217" s="6">
        <v>7920731.7073170599</v>
      </c>
      <c r="AT217" s="6">
        <v>401238783.31842816</v>
      </c>
      <c r="AU217" s="4">
        <v>93.170239763395259</v>
      </c>
      <c r="AW217" s="6">
        <v>67167088</v>
      </c>
      <c r="AX217" s="4">
        <v>12.559998213009292</v>
      </c>
      <c r="BC217" s="6">
        <v>4567.4600000000009</v>
      </c>
      <c r="BD217" s="6"/>
      <c r="BE217" s="6">
        <v>4567.4600000000009</v>
      </c>
      <c r="BF217" s="6">
        <v>36548.278474250452</v>
      </c>
      <c r="BH217" s="6">
        <v>409204</v>
      </c>
      <c r="BI217" s="6">
        <v>182387</v>
      </c>
      <c r="BK217" s="6">
        <v>30792</v>
      </c>
      <c r="BL217" s="6">
        <v>212015</v>
      </c>
      <c r="BM217" s="6">
        <v>93819</v>
      </c>
      <c r="BO217" s="6">
        <v>928217</v>
      </c>
      <c r="BP217" s="6">
        <v>4832.6536228971654</v>
      </c>
      <c r="BQ217" s="6">
        <v>922320.12905288558</v>
      </c>
      <c r="BT217" s="6">
        <v>30647114.02</v>
      </c>
      <c r="BV217" s="6">
        <v>30647114.02</v>
      </c>
      <c r="BW217" s="4">
        <v>21.574349943053701</v>
      </c>
      <c r="BX217" s="6">
        <v>30647114.02</v>
      </c>
      <c r="CC217" s="6">
        <v>2354007.828639776</v>
      </c>
      <c r="CD217" s="6">
        <v>3490231.2560000001</v>
      </c>
      <c r="CE217" s="6">
        <v>255252927.52941173</v>
      </c>
      <c r="CG217" s="6">
        <v>261097166.61405152</v>
      </c>
      <c r="CH217" s="4">
        <v>46.262297260125628</v>
      </c>
      <c r="CO217" s="6">
        <v>352402</v>
      </c>
      <c r="CP217" s="6">
        <v>3048000</v>
      </c>
      <c r="CR217" s="6">
        <v>3400402</v>
      </c>
      <c r="CS217" s="2">
        <v>327</v>
      </c>
      <c r="CT217" s="6">
        <v>3351841</v>
      </c>
      <c r="CX217" s="6">
        <v>188362</v>
      </c>
      <c r="CY217" s="6">
        <v>188362</v>
      </c>
      <c r="CZ217" s="6">
        <v>36168.077777777798</v>
      </c>
      <c r="DA217" s="6">
        <v>19196.101717447695</v>
      </c>
      <c r="DB217" s="6">
        <v>178504.26611779822</v>
      </c>
      <c r="DD217" s="6">
        <v>549156</v>
      </c>
      <c r="DE217" s="6">
        <v>116408.00000000001</v>
      </c>
      <c r="DG217" s="6">
        <v>28680</v>
      </c>
      <c r="DI217" s="6">
        <v>37668</v>
      </c>
      <c r="DJ217" s="6">
        <v>34303</v>
      </c>
      <c r="DK217" s="6">
        <v>766215</v>
      </c>
      <c r="DL217" s="6">
        <v>1295.0857921685322</v>
      </c>
      <c r="DM217" s="6">
        <v>725824</v>
      </c>
      <c r="DO217" s="6">
        <v>835504</v>
      </c>
      <c r="DP217" s="6">
        <v>188422</v>
      </c>
      <c r="DR217" s="6">
        <v>84281</v>
      </c>
      <c r="DT217" s="6">
        <v>66669</v>
      </c>
      <c r="DU217" s="6">
        <v>153864</v>
      </c>
      <c r="DV217" s="6">
        <v>1328740</v>
      </c>
      <c r="DW217" s="6">
        <v>1839.6754638200855</v>
      </c>
      <c r="DX217" s="6">
        <v>1338966</v>
      </c>
      <c r="DZ217" s="2">
        <v>15</v>
      </c>
      <c r="EC217" s="6">
        <v>1831.4599999999998</v>
      </c>
      <c r="ED217" s="15">
        <v>427</v>
      </c>
      <c r="EF217" s="6">
        <v>2273.46</v>
      </c>
      <c r="EG217" s="6">
        <v>9903.312660336589</v>
      </c>
      <c r="EJ217" s="6">
        <v>5310.7371868536002</v>
      </c>
      <c r="EL217" s="6">
        <v>5908.7707200000004</v>
      </c>
      <c r="EM217" s="6">
        <v>11219.5079068536</v>
      </c>
      <c r="EN217" s="6">
        <v>46372.582674308927</v>
      </c>
      <c r="EO217" s="6">
        <v>11249</v>
      </c>
      <c r="EY217" s="2">
        <v>192</v>
      </c>
      <c r="FF217" s="2">
        <v>192</v>
      </c>
      <c r="FG217" s="6">
        <v>4711.8328231066153</v>
      </c>
      <c r="FI217" s="200"/>
      <c r="FJ217" s="200"/>
      <c r="FK217" s="200"/>
      <c r="FL217" s="6">
        <v>242377</v>
      </c>
      <c r="FM217" s="6">
        <f t="shared" si="366"/>
        <v>242377</v>
      </c>
      <c r="FN217" s="6">
        <v>2009.8495940370026</v>
      </c>
      <c r="FZ217" s="6">
        <v>3770.0000000000005</v>
      </c>
      <c r="GB217" s="6">
        <v>3770.0000000000005</v>
      </c>
      <c r="GC217" s="6">
        <v>8041.9838196286464</v>
      </c>
      <c r="GN217" s="6">
        <v>1934508</v>
      </c>
      <c r="GQ217" s="2">
        <v>823</v>
      </c>
      <c r="GS217" s="6">
        <v>757012.99999999988</v>
      </c>
      <c r="GT217" s="6">
        <v>2692344</v>
      </c>
      <c r="GU217" s="5">
        <v>69.999991212235869</v>
      </c>
      <c r="HL217" s="5">
        <v>58.26</v>
      </c>
      <c r="HM217" s="15">
        <v>602.95000000000005</v>
      </c>
      <c r="HO217" s="5">
        <v>58.26</v>
      </c>
      <c r="HP217" s="15">
        <v>602.95000000000005</v>
      </c>
      <c r="IF217" s="4">
        <v>8.9209228897889474</v>
      </c>
      <c r="IJ217" s="4">
        <v>8.9209228897889474</v>
      </c>
      <c r="IK217" s="6">
        <v>39797.684014375081</v>
      </c>
      <c r="IN217" s="15">
        <v>736.29915199999994</v>
      </c>
      <c r="IP217" s="15">
        <v>736.29915199999994</v>
      </c>
      <c r="IQ217" s="6">
        <v>123997.32519402722</v>
      </c>
      <c r="IW217" s="2">
        <v>315</v>
      </c>
      <c r="IZ217" s="2">
        <v>315</v>
      </c>
      <c r="JC217" s="6">
        <v>246128.25</v>
      </c>
      <c r="JD217" s="6">
        <v>246128.25</v>
      </c>
      <c r="JE217" s="15">
        <v>525.00995135343442</v>
      </c>
      <c r="JG217" s="6">
        <v>152612</v>
      </c>
      <c r="JI217" s="5">
        <v>99.51633986928104</v>
      </c>
      <c r="JR217" s="6">
        <v>614200</v>
      </c>
      <c r="JT217" s="15">
        <v>111.06021002930642</v>
      </c>
      <c r="JV217" s="6">
        <v>766812</v>
      </c>
      <c r="JW217" s="15">
        <v>111.06021002930642</v>
      </c>
      <c r="JX217" s="6">
        <v>2030000</v>
      </c>
      <c r="JY217" s="5">
        <v>100</v>
      </c>
      <c r="KE217" s="6">
        <v>84977.14</v>
      </c>
      <c r="KG217" s="15">
        <v>316.74489162614793</v>
      </c>
      <c r="KI217" s="6">
        <v>84977.14</v>
      </c>
      <c r="KJ217" s="15">
        <v>316.74489162614793</v>
      </c>
      <c r="KL217" s="6">
        <v>57157</v>
      </c>
      <c r="KY217" s="6">
        <v>100452.42</v>
      </c>
      <c r="LA217" s="15">
        <v>634.99351235141967</v>
      </c>
      <c r="LC217" s="6">
        <v>157609.41999999998</v>
      </c>
      <c r="LD217" s="15">
        <v>843.29166666666663</v>
      </c>
      <c r="LE217" s="6">
        <v>177000</v>
      </c>
      <c r="LF217" s="2">
        <v>775.6</v>
      </c>
      <c r="LH217" s="6">
        <v>677219</v>
      </c>
      <c r="LI217" s="4">
        <v>92.00007678461472</v>
      </c>
      <c r="LJ217" s="15">
        <v>538.57968101899087</v>
      </c>
      <c r="LL217" s="6">
        <v>57157</v>
      </c>
      <c r="LY217" s="6">
        <v>387045</v>
      </c>
      <c r="LZ217" s="4">
        <v>64.999935408027497</v>
      </c>
      <c r="MA217" s="15">
        <v>779.88529240785954</v>
      </c>
      <c r="MC217" s="6">
        <v>444202</v>
      </c>
      <c r="MD217" s="6">
        <v>461000</v>
      </c>
      <c r="ME217" s="2">
        <v>842.4</v>
      </c>
    </row>
    <row r="218" spans="1:343" x14ac:dyDescent="0.25">
      <c r="A218" s="2">
        <v>2006</v>
      </c>
      <c r="B218" s="6">
        <v>22502.321421087039</v>
      </c>
      <c r="C218" s="6">
        <v>27040.98523156764</v>
      </c>
      <c r="D218" s="6">
        <v>6272.3940626088706</v>
      </c>
      <c r="E218" s="6">
        <v>5096.5184337128858</v>
      </c>
      <c r="F218" s="6">
        <v>6746.4132182926305</v>
      </c>
      <c r="G218" s="6">
        <v>165173.99830099478</v>
      </c>
      <c r="H218" s="6">
        <v>14026.350218488489</v>
      </c>
      <c r="I218" s="6">
        <v>246858.98088675231</v>
      </c>
      <c r="J218" s="6">
        <v>25965.885926913132</v>
      </c>
      <c r="K218" s="6">
        <v>248449.46043735169</v>
      </c>
      <c r="M218" s="6">
        <v>1384613</v>
      </c>
      <c r="N218" s="6">
        <v>94152.999999999985</v>
      </c>
      <c r="P218" s="6">
        <v>88300.000000000015</v>
      </c>
      <c r="Q218" s="6">
        <v>29512</v>
      </c>
      <c r="R218" s="6">
        <v>95921</v>
      </c>
      <c r="S218" s="6">
        <v>35357</v>
      </c>
      <c r="T218" s="6">
        <v>1727856</v>
      </c>
      <c r="U218" s="15">
        <v>488.17659582516802</v>
      </c>
      <c r="V218" s="6">
        <v>1574238.47</v>
      </c>
      <c r="W218" s="209"/>
      <c r="X218" s="6">
        <v>16317000</v>
      </c>
      <c r="AA218" s="6">
        <v>40826877</v>
      </c>
      <c r="AB218" s="34">
        <v>4636591</v>
      </c>
      <c r="AC218" s="6">
        <f t="shared" si="368"/>
        <v>61780468</v>
      </c>
      <c r="AD218" s="4">
        <v>37.019919721229691</v>
      </c>
      <c r="AE218" s="5">
        <v>17.657795082047453</v>
      </c>
      <c r="AG218" s="6">
        <v>5111000</v>
      </c>
      <c r="AI218" s="6">
        <v>11821747.75</v>
      </c>
      <c r="AJ218" s="6">
        <v>1642587</v>
      </c>
      <c r="AK218" s="6">
        <v>18575334.75</v>
      </c>
      <c r="AL218" s="15">
        <v>425.10980087039616</v>
      </c>
      <c r="AN218" s="6">
        <v>227038796</v>
      </c>
      <c r="AO218" s="6">
        <v>166426153</v>
      </c>
      <c r="AQ218" s="6">
        <v>570441.66666666605</v>
      </c>
      <c r="AR218" s="6">
        <v>4485113.75</v>
      </c>
      <c r="AS218" s="6">
        <v>7760747.5609756</v>
      </c>
      <c r="AT218" s="6">
        <v>406281251.9776423</v>
      </c>
      <c r="AU218" s="4">
        <v>98.01430894150505</v>
      </c>
      <c r="AW218" s="6">
        <v>67753616</v>
      </c>
      <c r="AX218" s="4">
        <v>12.560343682182559</v>
      </c>
      <c r="BC218" s="6">
        <v>5128.8249999999998</v>
      </c>
      <c r="BD218" s="6"/>
      <c r="BE218" s="6">
        <v>5128.8249999999998</v>
      </c>
      <c r="BF218" s="6">
        <v>42977.71438877326</v>
      </c>
      <c r="BH218" s="6">
        <v>352684.28279999999</v>
      </c>
      <c r="BI218" s="6">
        <v>209808.3</v>
      </c>
      <c r="BK218" s="6">
        <v>30811</v>
      </c>
      <c r="BL218" s="6">
        <v>183000</v>
      </c>
      <c r="BM218" s="6">
        <v>102374</v>
      </c>
      <c r="BO218" s="6">
        <v>878873.58280000009</v>
      </c>
      <c r="BP218" s="6">
        <v>8822.4840784631597</v>
      </c>
      <c r="BQ218" s="6">
        <v>866785.12393077102</v>
      </c>
      <c r="BT218" s="6">
        <v>29291302.75</v>
      </c>
      <c r="BU218" s="6">
        <v>11985.74</v>
      </c>
      <c r="BV218" s="6">
        <v>29303288.489999998</v>
      </c>
      <c r="BW218" s="4">
        <v>27.091215559950946</v>
      </c>
      <c r="BX218" s="6">
        <v>29303265.989999998</v>
      </c>
      <c r="CC218" s="6">
        <v>1823196.6945743179</v>
      </c>
      <c r="CD218" s="6">
        <v>3972451.628</v>
      </c>
      <c r="CE218" s="6">
        <v>268372682.58823532</v>
      </c>
      <c r="CG218" s="6">
        <v>274168330.91080964</v>
      </c>
      <c r="CH218" s="4">
        <v>58.059973740249717</v>
      </c>
      <c r="CO218" s="6">
        <v>409047</v>
      </c>
      <c r="CP218" s="6">
        <v>3384406</v>
      </c>
      <c r="CR218" s="6">
        <v>3793453</v>
      </c>
      <c r="CS218" s="2">
        <v>260</v>
      </c>
      <c r="CT218" s="6">
        <v>3589751</v>
      </c>
      <c r="CX218" s="6">
        <v>175087</v>
      </c>
      <c r="CY218" s="6">
        <v>175087</v>
      </c>
      <c r="CZ218" s="6">
        <v>37246.566666666593</v>
      </c>
      <c r="DA218" s="6">
        <v>32685.962996915161</v>
      </c>
      <c r="DB218" s="6">
        <v>178868.71659022858</v>
      </c>
      <c r="DD218" s="6">
        <v>429885</v>
      </c>
      <c r="DE218" s="6">
        <v>101673</v>
      </c>
      <c r="DG218" s="6">
        <v>27901.999999999996</v>
      </c>
      <c r="DI218" s="6">
        <v>78212</v>
      </c>
      <c r="DJ218" s="6">
        <v>30351</v>
      </c>
      <c r="DK218" s="6">
        <v>668023</v>
      </c>
      <c r="DL218" s="6">
        <v>1712.0279052389196</v>
      </c>
      <c r="DM218" s="6">
        <v>610350.06000000006</v>
      </c>
      <c r="DO218" s="6">
        <v>800718</v>
      </c>
      <c r="DP218" s="6">
        <v>169143</v>
      </c>
      <c r="DR218" s="6">
        <v>82413.999999999985</v>
      </c>
      <c r="DT218" s="6">
        <v>138859.99999999997</v>
      </c>
      <c r="DU218" s="6">
        <v>135540.00000000003</v>
      </c>
      <c r="DV218" s="6">
        <v>1326675</v>
      </c>
      <c r="DW218" s="6">
        <v>4406.1909106396652</v>
      </c>
      <c r="DX218" s="6">
        <v>1331691.317</v>
      </c>
      <c r="DZ218" s="15">
        <v>254.34320987654323</v>
      </c>
      <c r="ED218" s="15">
        <v>425.99999999999994</v>
      </c>
      <c r="EF218" s="6">
        <v>680.34320987654314</v>
      </c>
      <c r="EG218" s="6">
        <v>12252.510616643574</v>
      </c>
      <c r="EJ218" s="6">
        <v>4212.8339482367992</v>
      </c>
      <c r="EL218" s="6">
        <v>4752.0113760000004</v>
      </c>
      <c r="EM218" s="6">
        <v>8964.8453242367996</v>
      </c>
      <c r="EN218" s="6">
        <v>61056.862414413037</v>
      </c>
      <c r="EO218" s="6">
        <v>8949.5200692460858</v>
      </c>
      <c r="FG218" s="6">
        <v>7040.3647579455546</v>
      </c>
      <c r="FI218" s="200"/>
      <c r="FJ218" s="200"/>
      <c r="FK218" s="200"/>
      <c r="FL218" s="6">
        <v>258209</v>
      </c>
      <c r="FM218" s="6">
        <f t="shared" si="366"/>
        <v>258209</v>
      </c>
      <c r="FN218" s="6">
        <v>1890.8408207053774</v>
      </c>
      <c r="FZ218" s="6">
        <v>5500</v>
      </c>
      <c r="GB218" s="6">
        <v>5500</v>
      </c>
      <c r="GC218" s="6">
        <v>9415.3792727272721</v>
      </c>
      <c r="GN218" s="6">
        <v>2081658</v>
      </c>
      <c r="GQ218" s="6">
        <v>1926</v>
      </c>
      <c r="GS218" s="6">
        <v>669999.99999999988</v>
      </c>
      <c r="GT218" s="6">
        <v>2753584</v>
      </c>
      <c r="GU218" s="5">
        <v>42.163845989104615</v>
      </c>
      <c r="HL218" s="15">
        <v>197.18793403043276</v>
      </c>
      <c r="HM218" s="15">
        <v>761.89206596956728</v>
      </c>
      <c r="HO218" s="15">
        <v>197.18793403043276</v>
      </c>
      <c r="HP218" s="15">
        <v>761.89206596956728</v>
      </c>
      <c r="IF218" s="5">
        <v>20.815486742840879</v>
      </c>
      <c r="IJ218" s="5">
        <v>20.815486742840879</v>
      </c>
      <c r="IK218" s="6">
        <v>49617.808770282951</v>
      </c>
      <c r="IN218" s="15">
        <v>411.86769099999998</v>
      </c>
      <c r="IP218" s="15">
        <v>411.86769099999998</v>
      </c>
      <c r="IQ218" s="6">
        <v>116016.87182536647</v>
      </c>
      <c r="JC218" s="6">
        <v>278233</v>
      </c>
      <c r="JD218" s="6">
        <v>278233</v>
      </c>
      <c r="JE218" s="15">
        <v>599.31001217217874</v>
      </c>
      <c r="JG218" s="6">
        <v>153728</v>
      </c>
      <c r="JI218" s="15">
        <v>110.4</v>
      </c>
      <c r="JJ218" s="6">
        <v>130000</v>
      </c>
      <c r="JR218" s="6">
        <v>742079</v>
      </c>
      <c r="JT218" s="15">
        <v>113.79405157671891</v>
      </c>
      <c r="JV218" s="6">
        <v>1025807</v>
      </c>
      <c r="JW218" s="15">
        <v>113.79405157671891</v>
      </c>
      <c r="JX218" s="6">
        <v>2358000</v>
      </c>
      <c r="JY218" s="5">
        <v>110</v>
      </c>
      <c r="KE218" s="6">
        <v>53518</v>
      </c>
      <c r="KG218" s="15">
        <v>330.12823722859599</v>
      </c>
      <c r="KI218" s="6">
        <v>53518</v>
      </c>
      <c r="KJ218" s="15">
        <v>330.12823722859599</v>
      </c>
      <c r="KL218" s="6">
        <v>54723</v>
      </c>
      <c r="KO218" s="6">
        <v>33000</v>
      </c>
      <c r="KY218" s="6">
        <v>102211</v>
      </c>
      <c r="LA218" s="15">
        <v>629.973134007103</v>
      </c>
      <c r="LC218" s="6">
        <v>189934</v>
      </c>
      <c r="LD218" s="15">
        <v>902.56944444444446</v>
      </c>
      <c r="LE218" s="6">
        <v>232000</v>
      </c>
      <c r="LF218" s="2">
        <v>827.9</v>
      </c>
      <c r="LH218" s="6">
        <v>703000</v>
      </c>
      <c r="LJ218" s="15">
        <v>692.50611260559867</v>
      </c>
      <c r="LL218" s="6">
        <v>54723</v>
      </c>
      <c r="LO218" s="6">
        <v>15000</v>
      </c>
      <c r="LY218" s="6">
        <v>370183</v>
      </c>
      <c r="MA218" s="15">
        <v>969.30309333491812</v>
      </c>
      <c r="MB218" s="6">
        <v>2000</v>
      </c>
      <c r="MC218" s="6">
        <v>441906</v>
      </c>
      <c r="MD218" s="6">
        <v>532000</v>
      </c>
      <c r="ME218" s="2">
        <v>919.7</v>
      </c>
    </row>
    <row r="219" spans="1:343" x14ac:dyDescent="0.25">
      <c r="A219" s="2">
        <v>2007</v>
      </c>
      <c r="B219" s="6">
        <v>22912.322477594291</v>
      </c>
      <c r="C219" s="6">
        <v>34861.153168441873</v>
      </c>
      <c r="D219" s="6">
        <v>6417.5344506538904</v>
      </c>
      <c r="E219" s="6">
        <v>4190.4724126926931</v>
      </c>
      <c r="F219" s="6">
        <v>6922.3634223451099</v>
      </c>
      <c r="G219" s="6">
        <v>155515.7490797904</v>
      </c>
      <c r="H219" s="6">
        <v>16535.522225249191</v>
      </c>
      <c r="I219" s="6">
        <v>247355.11723676746</v>
      </c>
      <c r="J219" s="6">
        <v>26650.804924842934</v>
      </c>
      <c r="K219" s="6">
        <v>242329.52434941294</v>
      </c>
      <c r="M219" s="6">
        <v>1527398</v>
      </c>
      <c r="N219" s="6">
        <v>69005</v>
      </c>
      <c r="P219" s="6">
        <v>105036</v>
      </c>
      <c r="Q219" s="6">
        <v>27342</v>
      </c>
      <c r="R219" s="6">
        <v>112482</v>
      </c>
      <c r="S219" s="6">
        <v>37357</v>
      </c>
      <c r="T219" s="6">
        <v>1878620</v>
      </c>
      <c r="U219" s="15">
        <v>514.28953420223388</v>
      </c>
      <c r="V219" s="6">
        <v>1680569.5005999999</v>
      </c>
      <c r="W219" s="209"/>
      <c r="X219" s="6">
        <v>16777771.670000002</v>
      </c>
      <c r="AA219" s="6">
        <v>40960093.299999997</v>
      </c>
      <c r="AB219" s="34">
        <v>4660374</v>
      </c>
      <c r="AC219" s="6">
        <f t="shared" si="368"/>
        <v>62398238.969999999</v>
      </c>
      <c r="AD219" s="4">
        <v>37.074117871246713</v>
      </c>
      <c r="AE219" s="5">
        <v>23.815704467449631</v>
      </c>
      <c r="AG219" s="6">
        <v>5076000</v>
      </c>
      <c r="AI219" s="6">
        <v>12193625.759000001</v>
      </c>
      <c r="AJ219" s="6">
        <v>1848893</v>
      </c>
      <c r="AK219" s="6">
        <v>19118518.759000003</v>
      </c>
      <c r="AL219" s="15">
        <v>341.73496194709003</v>
      </c>
      <c r="AN219" s="6">
        <v>240516508.99999997</v>
      </c>
      <c r="AO219" s="6">
        <v>171485888</v>
      </c>
      <c r="AQ219" s="6">
        <v>585340.2777777781</v>
      </c>
      <c r="AR219" s="6">
        <v>5021266.2499999991</v>
      </c>
      <c r="AS219" s="6">
        <v>7468934.1585365804</v>
      </c>
      <c r="AT219" s="6">
        <v>425077937.68631434</v>
      </c>
      <c r="AU219" s="4">
        <v>82.749462696735947</v>
      </c>
      <c r="AW219" s="6">
        <v>65629784</v>
      </c>
      <c r="AX219" s="4">
        <v>15.489308521177206</v>
      </c>
      <c r="BC219" s="6">
        <v>4730.3459999999995</v>
      </c>
      <c r="BD219" s="6"/>
      <c r="BE219" s="6">
        <v>4730.3459999999995</v>
      </c>
      <c r="BF219" s="6">
        <v>73777.010180650643</v>
      </c>
      <c r="BH219" s="6">
        <v>368876.87980999995</v>
      </c>
      <c r="BI219" s="6">
        <v>166978</v>
      </c>
      <c r="BK219" s="6">
        <v>29593</v>
      </c>
      <c r="BL219" s="6">
        <v>177600</v>
      </c>
      <c r="BM219" s="6">
        <v>118835.6397</v>
      </c>
      <c r="BO219" s="6">
        <v>862534.51951000001</v>
      </c>
      <c r="BP219" s="6">
        <v>8431.235678820889</v>
      </c>
      <c r="BQ219" s="6">
        <v>874947.66011475062</v>
      </c>
      <c r="BT219" s="6">
        <v>19219635</v>
      </c>
      <c r="BV219" s="6">
        <v>19219635</v>
      </c>
      <c r="BW219" s="4">
        <v>23.823585489211208</v>
      </c>
      <c r="BX219" s="6">
        <v>19219635</v>
      </c>
      <c r="CC219" s="6">
        <v>2554362.2920517558</v>
      </c>
      <c r="CD219" s="6">
        <v>6538269.0000000009</v>
      </c>
      <c r="CE219" s="6">
        <v>288943358.29411775</v>
      </c>
      <c r="CF219" s="6">
        <v>338500</v>
      </c>
      <c r="CG219" s="6">
        <v>298374489.58616948</v>
      </c>
      <c r="CH219" s="4">
        <v>60.9168175348237</v>
      </c>
      <c r="CO219" s="6">
        <v>398980</v>
      </c>
      <c r="CP219" s="6">
        <v>4001448</v>
      </c>
      <c r="CR219" s="6">
        <v>4400428</v>
      </c>
      <c r="CS219" s="2">
        <v>357</v>
      </c>
      <c r="CT219" s="6">
        <v>4576900</v>
      </c>
      <c r="CX219" s="6">
        <v>162492.00000000003</v>
      </c>
      <c r="CY219" s="6">
        <v>162492.00000000003</v>
      </c>
      <c r="CZ219" s="6">
        <v>53759.707999999984</v>
      </c>
      <c r="DA219" s="6">
        <v>45374.656878968963</v>
      </c>
      <c r="DB219" s="6">
        <v>184268.31022167008</v>
      </c>
      <c r="DD219" s="6">
        <v>459760.99999999994</v>
      </c>
      <c r="DE219" s="6">
        <v>71717</v>
      </c>
      <c r="DG219" s="6">
        <v>30060</v>
      </c>
      <c r="DI219" s="6">
        <v>46069</v>
      </c>
      <c r="DJ219" s="6">
        <v>33041</v>
      </c>
      <c r="DK219" s="6">
        <v>640648</v>
      </c>
      <c r="DL219" s="6">
        <v>3145.7058261117895</v>
      </c>
      <c r="DM219" s="6">
        <v>584152.68000000005</v>
      </c>
      <c r="DO219" s="6">
        <v>857622.00000000012</v>
      </c>
      <c r="DP219" s="6">
        <v>123175</v>
      </c>
      <c r="DR219" s="6">
        <v>98237.000000000015</v>
      </c>
      <c r="DS219" s="6">
        <v>85399.999999999985</v>
      </c>
      <c r="DT219" s="6">
        <v>179149</v>
      </c>
      <c r="DU219" s="6">
        <v>137742</v>
      </c>
      <c r="DV219" s="6">
        <v>1481325.0000000002</v>
      </c>
      <c r="DW219" s="6">
        <v>3887.6884487397674</v>
      </c>
      <c r="DX219" s="6">
        <v>1475264.1334000002</v>
      </c>
      <c r="DZ219" s="6">
        <v>1912</v>
      </c>
      <c r="ED219" s="15">
        <v>148</v>
      </c>
      <c r="EF219" s="6">
        <v>2060</v>
      </c>
      <c r="EG219" s="6">
        <v>17591.061023171296</v>
      </c>
      <c r="EJ219" s="6">
        <v>4742.1073364688</v>
      </c>
      <c r="EL219" s="6">
        <v>5410.8743039999999</v>
      </c>
      <c r="EM219" s="6">
        <v>10152.981640468799</v>
      </c>
      <c r="EN219" s="6">
        <v>86112.634746818803</v>
      </c>
      <c r="EO219" s="6">
        <v>10145</v>
      </c>
      <c r="FG219" s="6">
        <v>7219.3877551020405</v>
      </c>
      <c r="FI219" s="200"/>
      <c r="FJ219" s="200"/>
      <c r="FK219" s="200"/>
      <c r="FL219" s="6">
        <v>191784</v>
      </c>
      <c r="FM219" s="6">
        <f t="shared" si="366"/>
        <v>191784</v>
      </c>
      <c r="FN219" s="6">
        <v>2563.7755102040815</v>
      </c>
      <c r="FZ219" s="6">
        <v>6910.0000000000009</v>
      </c>
      <c r="GB219" s="6">
        <v>6910.0000000000009</v>
      </c>
      <c r="GC219" s="6">
        <v>9827.0224312590435</v>
      </c>
      <c r="GN219" s="6">
        <v>2128960</v>
      </c>
      <c r="GQ219" s="6">
        <v>1155</v>
      </c>
      <c r="GS219" s="6">
        <v>610000.00000000012</v>
      </c>
      <c r="GT219" s="6">
        <v>2740115</v>
      </c>
      <c r="GU219" s="5">
        <v>59.749791921742677</v>
      </c>
      <c r="HL219" s="15">
        <v>152.49435987651918</v>
      </c>
      <c r="HM219" s="15">
        <v>589.20564012348086</v>
      </c>
      <c r="HO219" s="15">
        <v>152.49435987651918</v>
      </c>
      <c r="HP219" s="15">
        <v>589.20564012348086</v>
      </c>
      <c r="IF219" s="4">
        <v>9.5156510824415435</v>
      </c>
      <c r="IJ219" s="4">
        <v>9.5156510824415435</v>
      </c>
      <c r="IK219" s="6">
        <v>45790.816326530614</v>
      </c>
      <c r="IN219" s="15">
        <v>379.87125299999997</v>
      </c>
      <c r="IP219" s="15">
        <v>379.87125299999997</v>
      </c>
      <c r="IQ219" s="6">
        <v>120463.29016480378</v>
      </c>
      <c r="JC219" s="6">
        <v>294006.77</v>
      </c>
      <c r="JD219" s="6">
        <v>294006.77</v>
      </c>
      <c r="JE219" s="15">
        <v>548.1079702498572</v>
      </c>
      <c r="JG219" s="6">
        <v>247944</v>
      </c>
      <c r="JI219" s="5">
        <v>71.607443616300458</v>
      </c>
      <c r="JJ219" s="6">
        <v>207000</v>
      </c>
      <c r="JR219" s="6">
        <v>730873.79</v>
      </c>
      <c r="JT219" s="15">
        <v>109.18475130979864</v>
      </c>
      <c r="JU219" s="6">
        <v>1000</v>
      </c>
      <c r="JV219" s="6">
        <v>1186817.79</v>
      </c>
      <c r="JW219" s="15">
        <v>109.18475130979864</v>
      </c>
      <c r="JX219" s="6">
        <v>2340000</v>
      </c>
      <c r="JY219" s="2">
        <v>114.5</v>
      </c>
      <c r="KE219" s="6">
        <v>73035.039999999994</v>
      </c>
      <c r="KG219" s="15">
        <v>322.78514532202627</v>
      </c>
      <c r="KH219" s="6">
        <v>1000</v>
      </c>
      <c r="KI219" s="6">
        <v>74035.039999999994</v>
      </c>
      <c r="KJ219" s="15">
        <v>322.78514532202627</v>
      </c>
      <c r="KL219" s="6">
        <v>61432</v>
      </c>
      <c r="KN219" s="15">
        <v>646.51495963016021</v>
      </c>
      <c r="KO219" s="6">
        <v>57000</v>
      </c>
      <c r="KR219" s="6">
        <v>22263</v>
      </c>
      <c r="KY219" s="6">
        <v>107671.1</v>
      </c>
      <c r="LA219" s="15">
        <v>522.89934810733791</v>
      </c>
      <c r="LB219" s="6">
        <v>4000</v>
      </c>
      <c r="LC219" s="6">
        <v>252366.1</v>
      </c>
      <c r="LD219" s="15">
        <v>783.44303797468353</v>
      </c>
      <c r="LE219" s="6">
        <v>312000</v>
      </c>
      <c r="LF219" s="2">
        <v>797.4</v>
      </c>
      <c r="LH219" s="6">
        <v>726000</v>
      </c>
      <c r="LJ219" s="15">
        <v>674.36495356559544</v>
      </c>
      <c r="LL219" s="6">
        <v>61432</v>
      </c>
      <c r="LN219" s="15">
        <v>646.51495963016021</v>
      </c>
      <c r="LO219" s="6">
        <v>36000</v>
      </c>
      <c r="LR219" s="6">
        <v>48636</v>
      </c>
      <c r="LY219" s="6">
        <v>289876.43</v>
      </c>
      <c r="MA219" s="15">
        <v>910.49647258316247</v>
      </c>
      <c r="MB219" s="6">
        <v>12000</v>
      </c>
      <c r="MC219" s="6">
        <v>447944.43</v>
      </c>
      <c r="MD219" s="6">
        <v>637000</v>
      </c>
      <c r="ME219" s="5">
        <v>742</v>
      </c>
    </row>
    <row r="220" spans="1:343" x14ac:dyDescent="0.25">
      <c r="A220" s="2">
        <v>2008</v>
      </c>
      <c r="B220" s="6">
        <v>19145.80530780775</v>
      </c>
      <c r="C220" s="6">
        <v>31384.18232856155</v>
      </c>
      <c r="D220" s="6">
        <v>6089.4691414663794</v>
      </c>
      <c r="E220" s="6">
        <v>5061.4993429391252</v>
      </c>
      <c r="F220" s="6">
        <v>6713.8402681119496</v>
      </c>
      <c r="G220" s="6">
        <v>132490.31515594499</v>
      </c>
      <c r="H220" s="6">
        <v>14301.19048544746</v>
      </c>
      <c r="I220" s="6">
        <v>215186.30203027924</v>
      </c>
      <c r="J220" s="6">
        <v>33255.874997537823</v>
      </c>
      <c r="K220" s="6">
        <v>215644.00922956163</v>
      </c>
      <c r="M220" s="6">
        <v>1553781</v>
      </c>
      <c r="N220" s="6">
        <v>72826.000000000015</v>
      </c>
      <c r="P220" s="6">
        <v>99311.999999999985</v>
      </c>
      <c r="Q220" s="6">
        <v>30305</v>
      </c>
      <c r="R220" s="6">
        <v>99835</v>
      </c>
      <c r="S220" s="6">
        <v>39879.999999999993</v>
      </c>
      <c r="T220" s="6">
        <v>1895939</v>
      </c>
      <c r="U220" s="15">
        <v>557.82696589638624</v>
      </c>
      <c r="V220" s="6">
        <v>1681554.1644999997</v>
      </c>
      <c r="W220" s="209"/>
      <c r="X220" s="6">
        <v>16814391.669999998</v>
      </c>
      <c r="AA220" s="6">
        <v>41397876.799999997</v>
      </c>
      <c r="AB220" s="34">
        <v>5825318.9999999991</v>
      </c>
      <c r="AC220" s="6">
        <f t="shared" si="368"/>
        <v>64037587.469999999</v>
      </c>
      <c r="AD220" s="4">
        <v>37.2657561417343</v>
      </c>
      <c r="AE220" s="5">
        <v>26.240108124573975</v>
      </c>
      <c r="AG220" s="6">
        <v>5135000</v>
      </c>
      <c r="AI220" s="6">
        <v>12245763.095999999</v>
      </c>
      <c r="AJ220" s="6">
        <v>2291685.9999999995</v>
      </c>
      <c r="AK220" s="6">
        <v>19672449.096000001</v>
      </c>
      <c r="AL220" s="15">
        <v>376.93015122060399</v>
      </c>
      <c r="AN220" s="6">
        <v>240818854.99999997</v>
      </c>
      <c r="AO220" s="6">
        <v>183400177</v>
      </c>
      <c r="AQ220" s="6">
        <v>569929.86111111194</v>
      </c>
      <c r="AR220" s="6">
        <v>4513167.5</v>
      </c>
      <c r="AS220" s="6">
        <v>8055265.3170731608</v>
      </c>
      <c r="AT220" s="6">
        <v>437357394.67818427</v>
      </c>
      <c r="AU220" s="4">
        <v>178.48089694055204</v>
      </c>
      <c r="AW220" s="6">
        <v>66050056</v>
      </c>
      <c r="AX220" s="4">
        <v>18.879953962412731</v>
      </c>
      <c r="BC220" s="6">
        <v>4784.6750000000002</v>
      </c>
      <c r="BD220" s="6"/>
      <c r="BE220" s="6">
        <v>4784.6750000000002</v>
      </c>
      <c r="BF220" s="6">
        <v>78931.127401547652</v>
      </c>
      <c r="BH220" s="6">
        <v>381029</v>
      </c>
      <c r="BI220" s="6">
        <v>146035.9</v>
      </c>
      <c r="BK220" s="6">
        <v>27749</v>
      </c>
      <c r="BL220" s="6">
        <v>196080</v>
      </c>
      <c r="BM220" s="6">
        <v>126225</v>
      </c>
      <c r="BO220" s="6">
        <v>878939.9</v>
      </c>
      <c r="BP220" s="6">
        <v>7886.3289297584088</v>
      </c>
      <c r="BQ220" s="6">
        <v>895458.67245314107</v>
      </c>
      <c r="BT220" s="6">
        <v>15664645</v>
      </c>
      <c r="BV220" s="6">
        <v>15664645</v>
      </c>
      <c r="BW220" s="4">
        <v>14.266002668233423</v>
      </c>
      <c r="BX220" s="6">
        <v>15664645</v>
      </c>
      <c r="CC220" s="6">
        <v>2624125.2582363808</v>
      </c>
      <c r="CD220" s="6">
        <v>7711703.0000000009</v>
      </c>
      <c r="CE220" s="6">
        <v>328920680.29411769</v>
      </c>
      <c r="CF220" s="6">
        <v>1148389.9999999998</v>
      </c>
      <c r="CG220" s="6">
        <v>340404898.5523541</v>
      </c>
      <c r="CH220" s="4">
        <v>97.399776527728903</v>
      </c>
      <c r="CO220" s="6">
        <v>341672</v>
      </c>
      <c r="CP220" s="6">
        <v>3988580</v>
      </c>
      <c r="CR220" s="6">
        <v>4330252</v>
      </c>
      <c r="CS220" s="6">
        <v>1410</v>
      </c>
      <c r="CT220" s="6">
        <v>4330252</v>
      </c>
      <c r="CW220" s="6">
        <v>2000</v>
      </c>
      <c r="CX220" s="6">
        <v>187791</v>
      </c>
      <c r="CY220" s="6">
        <v>189791</v>
      </c>
      <c r="CZ220" s="6">
        <v>46446.444444444496</v>
      </c>
      <c r="DA220" s="6">
        <v>24453.644926875815</v>
      </c>
      <c r="DB220" s="6">
        <v>210410.22613027418</v>
      </c>
      <c r="DD220" s="6">
        <v>480882</v>
      </c>
      <c r="DE220" s="6">
        <v>70679.999999999985</v>
      </c>
      <c r="DG220" s="6">
        <v>33352.000000000007</v>
      </c>
      <c r="DH220" s="6">
        <v>3546.0000000000005</v>
      </c>
      <c r="DI220" s="6">
        <v>24795</v>
      </c>
      <c r="DJ220" s="6">
        <v>36569</v>
      </c>
      <c r="DK220" s="6">
        <v>649824</v>
      </c>
      <c r="DL220" s="6">
        <v>2370.0229696083334</v>
      </c>
      <c r="DM220" s="6">
        <v>583387.15</v>
      </c>
      <c r="DO220" s="6">
        <v>893589</v>
      </c>
      <c r="DP220" s="6">
        <v>137763</v>
      </c>
      <c r="DR220" s="6">
        <v>91985.999999999985</v>
      </c>
      <c r="DS220" s="6">
        <v>21902</v>
      </c>
      <c r="DT220" s="6">
        <v>194885</v>
      </c>
      <c r="DU220" s="6">
        <v>142453</v>
      </c>
      <c r="DV220" s="6">
        <v>1482578</v>
      </c>
      <c r="DW220" s="6">
        <v>2188.0429623302184</v>
      </c>
      <c r="DX220" s="6">
        <v>1441101.2070000002</v>
      </c>
      <c r="EC220" s="6">
        <v>1079</v>
      </c>
      <c r="ED220" s="15">
        <v>170</v>
      </c>
      <c r="EF220" s="6">
        <v>1249</v>
      </c>
      <c r="EG220" s="6">
        <v>20185.066234088565</v>
      </c>
      <c r="EJ220" s="6">
        <v>4647.8226517632002</v>
      </c>
      <c r="EL220" s="6">
        <v>5338.8892800000012</v>
      </c>
      <c r="EM220" s="6">
        <v>9986.7119317632023</v>
      </c>
      <c r="EN220" s="6">
        <v>77542.391920998489</v>
      </c>
      <c r="EO220" s="6">
        <v>9989</v>
      </c>
      <c r="EZ220" s="2">
        <v>222</v>
      </c>
      <c r="FF220" s="15">
        <v>222</v>
      </c>
      <c r="FG220" s="6">
        <v>7241.7290000000003</v>
      </c>
      <c r="FI220" s="200"/>
      <c r="FJ220" s="200"/>
      <c r="FK220" s="200"/>
      <c r="FL220" s="6">
        <v>224809</v>
      </c>
      <c r="FM220" s="6">
        <f t="shared" si="366"/>
        <v>224809</v>
      </c>
      <c r="FN220" s="6">
        <v>4096.2129999999997</v>
      </c>
      <c r="FZ220" s="6">
        <v>6280.0000000000009</v>
      </c>
      <c r="GB220" s="6">
        <v>6280.0000000000009</v>
      </c>
      <c r="GC220" s="6">
        <v>11677.950211783438</v>
      </c>
      <c r="GN220" s="6">
        <v>2154000</v>
      </c>
      <c r="GQ220" s="6">
        <v>3681</v>
      </c>
      <c r="GS220" s="6">
        <v>555000</v>
      </c>
      <c r="GT220" s="6">
        <v>2712681</v>
      </c>
      <c r="GU220" s="5">
        <v>92.166783295353696</v>
      </c>
      <c r="HL220" s="15">
        <v>145.92540369739709</v>
      </c>
      <c r="HM220" s="15">
        <v>563.82459630260291</v>
      </c>
      <c r="HO220" s="15">
        <v>145.92540369739709</v>
      </c>
      <c r="HP220" s="15">
        <v>563.82459630260291</v>
      </c>
      <c r="IF220" s="5">
        <v>11.299835660399333</v>
      </c>
      <c r="IJ220" s="5">
        <v>11.299835660399333</v>
      </c>
      <c r="IK220" s="6">
        <v>41197.183098591551</v>
      </c>
      <c r="IN220" s="15">
        <v>479.95362699999998</v>
      </c>
      <c r="IP220" s="15">
        <v>479.95362699999998</v>
      </c>
      <c r="IQ220" s="6">
        <v>138720.41363331294</v>
      </c>
      <c r="JC220" s="6">
        <v>298290.28000000003</v>
      </c>
      <c r="JD220" s="6">
        <v>298290.28000000003</v>
      </c>
      <c r="JE220" s="15">
        <v>533.720913470543</v>
      </c>
      <c r="JG220" s="6">
        <v>214000</v>
      </c>
      <c r="JI220" s="5">
        <v>78.189413580645024</v>
      </c>
      <c r="JJ220" s="6">
        <v>172000</v>
      </c>
      <c r="JM220" s="6">
        <v>13503</v>
      </c>
      <c r="JO220" s="6">
        <v>15263</v>
      </c>
      <c r="JQ220" s="15">
        <v>103.11083743842364</v>
      </c>
      <c r="JR220" s="6">
        <v>598904.57999999996</v>
      </c>
      <c r="JT220" s="15">
        <v>128.47675835105485</v>
      </c>
      <c r="JU220" s="6">
        <v>3000</v>
      </c>
      <c r="JV220" s="6">
        <v>1016670.58</v>
      </c>
      <c r="JW220" s="15">
        <v>128.47675835105485</v>
      </c>
      <c r="JX220" s="6">
        <v>2106000</v>
      </c>
      <c r="JY220" s="2">
        <v>117.5</v>
      </c>
      <c r="KE220" s="6">
        <v>68698.63</v>
      </c>
      <c r="KG220" s="15">
        <v>303.71257767440193</v>
      </c>
      <c r="KH220" s="6">
        <v>3000</v>
      </c>
      <c r="KI220" s="6">
        <v>71698.63</v>
      </c>
      <c r="KJ220" s="15">
        <v>303.71257767440193</v>
      </c>
      <c r="KL220" s="6">
        <v>73000</v>
      </c>
      <c r="KN220" s="15">
        <v>483.13698630136986</v>
      </c>
      <c r="KO220" s="6">
        <v>71000</v>
      </c>
      <c r="KR220" s="6">
        <v>72166</v>
      </c>
      <c r="KV220" s="6">
        <v>2800</v>
      </c>
      <c r="KY220" s="6">
        <v>104000</v>
      </c>
      <c r="LB220" s="6">
        <v>4000</v>
      </c>
      <c r="LC220" s="6">
        <v>326966</v>
      </c>
      <c r="LD220" s="15">
        <v>825.36986301369859</v>
      </c>
      <c r="LE220" s="6">
        <v>318000</v>
      </c>
      <c r="LF220" s="2">
        <v>618.79999999999995</v>
      </c>
      <c r="LH220" s="6">
        <v>683000</v>
      </c>
      <c r="LJ220" s="15">
        <v>531.24434197163953</v>
      </c>
      <c r="LL220" s="6">
        <v>82900</v>
      </c>
      <c r="LN220" s="15">
        <v>425.44028950542821</v>
      </c>
      <c r="LO220" s="6">
        <v>49000</v>
      </c>
      <c r="LR220" s="6">
        <v>140853</v>
      </c>
      <c r="LV220" s="6">
        <v>9369</v>
      </c>
      <c r="LX220" s="15">
        <v>750.92132759680396</v>
      </c>
      <c r="LY220" s="6">
        <v>356393.16000000003</v>
      </c>
      <c r="MA220" s="15">
        <v>868.42291487861326</v>
      </c>
      <c r="MB220" s="6">
        <v>12000</v>
      </c>
      <c r="MC220" s="6">
        <v>650515.16</v>
      </c>
      <c r="MD220" s="6">
        <v>528000</v>
      </c>
      <c r="ME220" s="2">
        <v>726.3</v>
      </c>
    </row>
    <row r="221" spans="1:343" x14ac:dyDescent="0.25">
      <c r="A221" s="2">
        <v>2009</v>
      </c>
      <c r="B221" s="6">
        <v>15650.77953080411</v>
      </c>
      <c r="C221" s="6">
        <v>25242.957007223769</v>
      </c>
      <c r="D221" s="6">
        <v>7599.1384337845993</v>
      </c>
      <c r="E221" s="6">
        <v>5009.9919908555803</v>
      </c>
      <c r="F221" s="6">
        <v>8900.1345225227997</v>
      </c>
      <c r="G221" s="6">
        <v>152018.35104935348</v>
      </c>
      <c r="H221" s="6">
        <v>9082.2142562770696</v>
      </c>
      <c r="I221" s="6">
        <v>223503.56679082141</v>
      </c>
      <c r="J221" s="6">
        <v>40313.820034580553</v>
      </c>
      <c r="K221" s="6">
        <v>220880.10010878459</v>
      </c>
      <c r="M221" s="6">
        <v>1412538.733</v>
      </c>
      <c r="N221" s="6">
        <v>79223.209000000003</v>
      </c>
      <c r="P221" s="6">
        <v>96443.788999999975</v>
      </c>
      <c r="Q221" s="6">
        <v>25214.6</v>
      </c>
      <c r="R221" s="6">
        <v>42951.534</v>
      </c>
      <c r="S221" s="6">
        <v>45722.659999999996</v>
      </c>
      <c r="T221" s="6">
        <v>1702094.5249999999</v>
      </c>
      <c r="U221" s="15">
        <v>595.53810374653017</v>
      </c>
      <c r="V221" s="6">
        <v>1519718.06549264</v>
      </c>
      <c r="W221" s="209"/>
      <c r="X221" s="6">
        <v>16905430.719999999</v>
      </c>
      <c r="AA221" s="6">
        <v>42249227.5</v>
      </c>
      <c r="AB221" s="34">
        <v>7013998</v>
      </c>
      <c r="AC221" s="6">
        <f t="shared" si="368"/>
        <v>66168656.219999999</v>
      </c>
      <c r="AD221" s="4">
        <v>37.350313070359647</v>
      </c>
      <c r="AE221" s="5">
        <v>21.128967284284837</v>
      </c>
      <c r="AG221" s="6">
        <v>5306000</v>
      </c>
      <c r="AI221" s="6">
        <v>12421970</v>
      </c>
      <c r="AJ221" s="6">
        <v>2515740</v>
      </c>
      <c r="AK221" s="6">
        <v>20243710</v>
      </c>
      <c r="AL221" s="15">
        <v>249.96576941193575</v>
      </c>
      <c r="AN221" s="6">
        <v>256061969.38098139</v>
      </c>
      <c r="AO221" s="6">
        <v>185735000</v>
      </c>
      <c r="AQ221" s="6">
        <v>525413.88888888992</v>
      </c>
      <c r="AR221" s="6">
        <v>4731314.9999999991</v>
      </c>
      <c r="AS221" s="6">
        <v>8348297.0243902393</v>
      </c>
      <c r="AT221" s="6">
        <v>455401995.2942605</v>
      </c>
      <c r="AU221" s="4">
        <v>143.59845150235014</v>
      </c>
      <c r="AW221" s="6">
        <v>68267456</v>
      </c>
      <c r="AX221" s="4">
        <v>34.299361190880852</v>
      </c>
      <c r="BC221" s="6">
        <v>4670.387999999999</v>
      </c>
      <c r="BD221" s="6"/>
      <c r="BE221" s="6">
        <v>4670.387999999999</v>
      </c>
      <c r="BF221" s="6">
        <v>39369.764781855389</v>
      </c>
      <c r="BH221" s="6">
        <v>269373.09999999998</v>
      </c>
      <c r="BI221" s="6">
        <v>161448</v>
      </c>
      <c r="BK221" s="6">
        <v>27339</v>
      </c>
      <c r="BL221" s="6">
        <v>251932</v>
      </c>
      <c r="BM221" s="6">
        <v>145400</v>
      </c>
      <c r="BO221" s="6">
        <v>855892.1</v>
      </c>
      <c r="BP221" s="6">
        <v>6364.2488760192728</v>
      </c>
      <c r="BQ221" s="6">
        <v>875617.90347764478</v>
      </c>
      <c r="BT221" s="6">
        <v>10796318.74</v>
      </c>
      <c r="BU221" s="6">
        <v>5264</v>
      </c>
      <c r="BV221" s="6">
        <v>10801582.74</v>
      </c>
      <c r="BW221" s="4">
        <v>19.454610208424601</v>
      </c>
      <c r="BX221" s="6">
        <v>10801582.74</v>
      </c>
      <c r="CC221" s="6">
        <v>2483356.5293030338</v>
      </c>
      <c r="CD221" s="6">
        <v>7322987</v>
      </c>
      <c r="CE221" s="6">
        <v>377941899.98594189</v>
      </c>
      <c r="CF221" s="6">
        <v>2751576.9999999995</v>
      </c>
      <c r="CG221" s="6">
        <v>390499820.5152449</v>
      </c>
      <c r="CH221" s="4">
        <v>82.797519686006552</v>
      </c>
      <c r="CO221" s="6">
        <v>630321</v>
      </c>
      <c r="CP221" s="6">
        <v>2975140</v>
      </c>
      <c r="CR221" s="6">
        <v>3605461</v>
      </c>
      <c r="CS221" s="2">
        <v>546</v>
      </c>
      <c r="CT221" s="6">
        <v>3605461</v>
      </c>
      <c r="CW221" s="6">
        <v>1000</v>
      </c>
      <c r="CX221" s="6">
        <v>171178</v>
      </c>
      <c r="CY221" s="6">
        <v>172178</v>
      </c>
      <c r="CZ221" s="6">
        <v>31523.111111111008</v>
      </c>
      <c r="DA221" s="6">
        <v>18259.609871761502</v>
      </c>
      <c r="DB221" s="6">
        <v>181816.80298631382</v>
      </c>
      <c r="DD221" s="6">
        <v>407126.5759973352</v>
      </c>
      <c r="DE221" s="6">
        <v>80429.841829107099</v>
      </c>
      <c r="DG221" s="6">
        <v>28274.027706999997</v>
      </c>
      <c r="DH221" s="6">
        <v>8234.822259999999</v>
      </c>
      <c r="DI221" s="6">
        <v>5713.7715730872496</v>
      </c>
      <c r="DJ221" s="6">
        <v>37228</v>
      </c>
      <c r="DK221" s="6">
        <v>567007.03936652944</v>
      </c>
      <c r="DL221" s="6">
        <v>2232.5629947706816</v>
      </c>
      <c r="DM221" s="6">
        <v>521467.7321390768</v>
      </c>
      <c r="DO221" s="6">
        <v>791495.73687887611</v>
      </c>
      <c r="DP221" s="6">
        <v>102921.75717231311</v>
      </c>
      <c r="DR221" s="6">
        <v>84967</v>
      </c>
      <c r="DS221" s="6">
        <v>20085</v>
      </c>
      <c r="DT221" s="6">
        <v>86438</v>
      </c>
      <c r="DU221" s="6">
        <v>166946</v>
      </c>
      <c r="DV221" s="6">
        <v>1252853.4940511892</v>
      </c>
      <c r="DW221" s="6">
        <v>2125.3754523816788</v>
      </c>
      <c r="DX221" s="6">
        <v>1268137.6889371786</v>
      </c>
      <c r="EC221" s="6">
        <v>5630</v>
      </c>
      <c r="EF221" s="6">
        <v>5630</v>
      </c>
      <c r="EG221" s="6">
        <v>17073.210560225689</v>
      </c>
      <c r="EJ221" s="6">
        <v>4139.9909027424001</v>
      </c>
      <c r="EL221" s="6">
        <v>5238.9100800000006</v>
      </c>
      <c r="EM221" s="6">
        <v>9378.9009827424015</v>
      </c>
      <c r="EN221" s="6">
        <v>111171.45293226941</v>
      </c>
      <c r="EO221" s="6">
        <v>9443</v>
      </c>
      <c r="EZ221" s="2">
        <v>752</v>
      </c>
      <c r="FA221" s="5">
        <v>41.951007000000011</v>
      </c>
      <c r="FF221" s="15">
        <v>793.951007</v>
      </c>
      <c r="FG221" s="6">
        <v>6546.2799999999988</v>
      </c>
      <c r="FI221" s="200"/>
      <c r="FJ221" s="200"/>
      <c r="FK221" s="200"/>
      <c r="FL221" s="6">
        <v>119314</v>
      </c>
      <c r="FM221" s="6">
        <f t="shared" si="366"/>
        <v>119314</v>
      </c>
      <c r="FN221" s="6">
        <v>2555.5669999999996</v>
      </c>
      <c r="FZ221" s="6">
        <v>6280</v>
      </c>
      <c r="GB221" s="6">
        <v>6280</v>
      </c>
      <c r="GC221" s="6">
        <v>11417.762261146498</v>
      </c>
      <c r="GE221" s="4">
        <v>2.448</v>
      </c>
      <c r="GK221" s="4">
        <f t="shared" ref="GK221" si="370">SUM(GE221:GJ221)</f>
        <v>2.448</v>
      </c>
      <c r="GL221" s="6">
        <v>32479.619999999995</v>
      </c>
      <c r="GN221" s="6">
        <v>1958691</v>
      </c>
      <c r="GQ221" s="6">
        <v>3851</v>
      </c>
      <c r="GS221" s="6">
        <v>462505</v>
      </c>
      <c r="GT221" s="6">
        <v>2425047</v>
      </c>
      <c r="GU221" s="5">
        <v>74.988378462963269</v>
      </c>
      <c r="HL221" s="15">
        <v>212.60185092397819</v>
      </c>
      <c r="HM221" s="15">
        <v>821.44814907602176</v>
      </c>
      <c r="HO221" s="15">
        <v>212.60185092397819</v>
      </c>
      <c r="HP221" s="15">
        <v>821.44814907602176</v>
      </c>
      <c r="IC221" s="4">
        <v>7.4222078443044035</v>
      </c>
      <c r="IF221" s="4">
        <v>4.7578255412207717</v>
      </c>
      <c r="IJ221" s="5">
        <v>12.180033385525174</v>
      </c>
      <c r="IK221" s="6">
        <v>32355.53317386378</v>
      </c>
      <c r="IN221" s="5">
        <v>73.75976399999999</v>
      </c>
      <c r="IP221" s="5">
        <v>73.75976399999999</v>
      </c>
      <c r="IQ221" s="6">
        <v>136781.77232155943</v>
      </c>
      <c r="JC221" s="6">
        <v>275559.82999999996</v>
      </c>
      <c r="JD221" s="6">
        <v>275559.82999999996</v>
      </c>
      <c r="JE221" s="15">
        <v>683.90886160779723</v>
      </c>
      <c r="JG221" s="6">
        <v>108741</v>
      </c>
      <c r="JI221" s="5">
        <v>90.90995211028914</v>
      </c>
      <c r="JJ221" s="6">
        <v>320000</v>
      </c>
      <c r="JO221" s="6">
        <v>1197</v>
      </c>
      <c r="JR221" s="6">
        <v>463741.5</v>
      </c>
      <c r="JT221" s="15">
        <v>136.92616684079385</v>
      </c>
      <c r="JV221" s="6">
        <v>893679.5</v>
      </c>
      <c r="JW221" s="15">
        <v>136.92616684079385</v>
      </c>
      <c r="JX221" s="6">
        <v>1577000</v>
      </c>
      <c r="JY221" s="2">
        <v>109.4</v>
      </c>
      <c r="KE221" s="6">
        <v>76708.94</v>
      </c>
      <c r="KG221" s="15">
        <v>318.91284118904525</v>
      </c>
      <c r="KI221" s="6">
        <v>76708.94</v>
      </c>
      <c r="KJ221" s="15">
        <v>318.91284118904525</v>
      </c>
      <c r="KL221" s="6">
        <v>49821</v>
      </c>
      <c r="KN221" s="15">
        <v>931.70514441701289</v>
      </c>
      <c r="KO221" s="6">
        <v>80000</v>
      </c>
      <c r="KR221" s="6">
        <v>80317</v>
      </c>
      <c r="KV221" s="6">
        <v>3570</v>
      </c>
      <c r="KY221" s="6">
        <v>100000</v>
      </c>
      <c r="LC221" s="6">
        <v>313708</v>
      </c>
      <c r="LD221" s="15">
        <v>621.20689655172418</v>
      </c>
      <c r="LE221" s="6">
        <v>302000</v>
      </c>
      <c r="LF221" s="2">
        <v>628.4</v>
      </c>
      <c r="LH221" s="6">
        <v>616000</v>
      </c>
      <c r="LJ221" s="15">
        <v>510.30738761730407</v>
      </c>
      <c r="LL221" s="6">
        <v>49821</v>
      </c>
      <c r="LN221" s="15">
        <v>931.70514441701289</v>
      </c>
      <c r="LO221" s="6">
        <v>76000</v>
      </c>
      <c r="LR221" s="6">
        <v>102123</v>
      </c>
      <c r="LV221" s="6">
        <v>14329.5</v>
      </c>
      <c r="LY221" s="6">
        <v>253499.78</v>
      </c>
      <c r="MA221" s="15">
        <v>846.09835953309312</v>
      </c>
      <c r="MC221" s="6">
        <v>495773.28</v>
      </c>
      <c r="MD221" s="6">
        <v>431000</v>
      </c>
      <c r="ME221" s="5">
        <v>659</v>
      </c>
    </row>
    <row r="222" spans="1:343" x14ac:dyDescent="0.25">
      <c r="A222" s="2">
        <v>2010</v>
      </c>
      <c r="B222" s="6">
        <v>15209.100876340379</v>
      </c>
      <c r="C222" s="6">
        <v>30286.04309386251</v>
      </c>
      <c r="D222" s="6">
        <v>5679.0277054190101</v>
      </c>
      <c r="E222" s="6">
        <v>2464.7636524808922</v>
      </c>
      <c r="F222" s="6">
        <v>13498.62755923268</v>
      </c>
      <c r="G222" s="6">
        <v>171396.903649215</v>
      </c>
      <c r="H222" s="6">
        <v>10319.94587995614</v>
      </c>
      <c r="I222" s="6">
        <v>248854.41241650662</v>
      </c>
      <c r="J222" s="6">
        <v>42899.561522659147</v>
      </c>
      <c r="K222" s="6">
        <v>265214.90806177905</v>
      </c>
      <c r="M222" s="6">
        <v>1601301.0089999998</v>
      </c>
      <c r="N222" s="6">
        <v>75081.275000000009</v>
      </c>
      <c r="P222" s="6">
        <v>78173.805999999997</v>
      </c>
      <c r="Q222" s="6">
        <v>22808.399999999998</v>
      </c>
      <c r="R222" s="6">
        <v>59192.576300000001</v>
      </c>
      <c r="S222" s="6">
        <v>42665.08</v>
      </c>
      <c r="T222" s="6">
        <v>1879222.1463000001</v>
      </c>
      <c r="U222" s="15">
        <v>703.85748963484275</v>
      </c>
      <c r="V222" s="6">
        <v>1738128.7755207999</v>
      </c>
      <c r="W222" s="209"/>
      <c r="X222" s="6">
        <v>18590824</v>
      </c>
      <c r="AA222" s="6">
        <v>43052233</v>
      </c>
      <c r="AB222" s="34">
        <v>6940900</v>
      </c>
      <c r="AC222" s="6">
        <f t="shared" si="368"/>
        <v>68583957</v>
      </c>
      <c r="AD222" s="4">
        <v>37.700944109713582</v>
      </c>
      <c r="AE222" s="5">
        <v>25.729364877100622</v>
      </c>
      <c r="AG222" s="6">
        <v>5198000</v>
      </c>
      <c r="AI222" s="6">
        <v>12563285</v>
      </c>
      <c r="AJ222" s="6">
        <v>2491738</v>
      </c>
      <c r="AK222" s="6">
        <v>20253023</v>
      </c>
      <c r="AL222" s="15">
        <v>332.48515555279226</v>
      </c>
      <c r="AN222" s="6">
        <v>264318438</v>
      </c>
      <c r="AO222" s="6">
        <v>194383451</v>
      </c>
      <c r="AQ222" s="6">
        <v>523139.58333333401</v>
      </c>
      <c r="AR222" s="6">
        <v>4667732.5</v>
      </c>
      <c r="AS222" s="6">
        <v>8503935.0182926804</v>
      </c>
      <c r="AT222" s="6">
        <v>472396696.10162598</v>
      </c>
      <c r="AU222" s="4">
        <v>142.67397608407893</v>
      </c>
      <c r="AW222" s="6">
        <v>68767232</v>
      </c>
      <c r="BC222" s="6">
        <v>3943.0120000000006</v>
      </c>
      <c r="BD222" s="6"/>
      <c r="BE222" s="6">
        <v>3943.0120000000006</v>
      </c>
      <c r="BF222" s="6">
        <v>44074.741847095567</v>
      </c>
      <c r="BH222" s="6">
        <v>279554</v>
      </c>
      <c r="BI222" s="6">
        <v>149090</v>
      </c>
      <c r="BK222" s="6">
        <v>28517</v>
      </c>
      <c r="BL222" s="6">
        <v>246056</v>
      </c>
      <c r="BM222" s="6">
        <v>168746</v>
      </c>
      <c r="BO222" s="6">
        <v>871963</v>
      </c>
      <c r="BP222" s="6">
        <v>8224.9084821406177</v>
      </c>
      <c r="BQ222" s="6">
        <v>882225.82958525093</v>
      </c>
      <c r="BT222" s="6">
        <v>9970708</v>
      </c>
      <c r="BU222" s="6">
        <v>3942.92</v>
      </c>
      <c r="BV222" s="6">
        <v>9974650.9199999999</v>
      </c>
      <c r="BW222" s="4">
        <v>23.968368323417021</v>
      </c>
      <c r="BX222" s="6">
        <v>9974650.9199999999</v>
      </c>
      <c r="CC222" s="6">
        <v>2397946.0693704467</v>
      </c>
      <c r="CD222" s="6">
        <v>9197017</v>
      </c>
      <c r="CE222" s="6">
        <v>418921450.27324104</v>
      </c>
      <c r="CF222" s="6">
        <v>2158766.9999999995</v>
      </c>
      <c r="CG222" s="6">
        <v>432675180.34261149</v>
      </c>
      <c r="CH222" s="4">
        <v>122.86465038899139</v>
      </c>
      <c r="CO222" s="6">
        <v>744859</v>
      </c>
      <c r="CP222" s="6">
        <v>4870361</v>
      </c>
      <c r="CR222" s="6">
        <v>5615220</v>
      </c>
      <c r="CS222" s="2">
        <v>772</v>
      </c>
      <c r="CT222" s="6">
        <v>5615220</v>
      </c>
      <c r="CX222" s="6">
        <v>193259</v>
      </c>
      <c r="CY222" s="6">
        <v>193259</v>
      </c>
      <c r="DA222" s="6">
        <v>23704.179032308501</v>
      </c>
      <c r="DB222" s="6">
        <v>176100.35226547177</v>
      </c>
      <c r="DD222" s="6">
        <v>474003.48526727903</v>
      </c>
      <c r="DE222" s="6">
        <v>75800.171155087301</v>
      </c>
      <c r="DG222" s="6">
        <v>26881.029093999998</v>
      </c>
      <c r="DH222" s="6">
        <v>7478.1448049999999</v>
      </c>
      <c r="DI222" s="6">
        <v>95700.264697953404</v>
      </c>
      <c r="DJ222" s="6">
        <v>31503.30688655646</v>
      </c>
      <c r="DK222" s="6">
        <v>711366.40190587624</v>
      </c>
      <c r="DL222" s="6">
        <v>2340.0694484674036</v>
      </c>
      <c r="DM222" s="6">
        <v>621692.18700000003</v>
      </c>
      <c r="DO222" s="6">
        <v>967832.02983597503</v>
      </c>
      <c r="DP222" s="6">
        <v>97295.966344833796</v>
      </c>
      <c r="DR222" s="6">
        <v>82002.384838000013</v>
      </c>
      <c r="DS222" s="6">
        <v>19573.657292</v>
      </c>
      <c r="DT222" s="6">
        <v>94859.79836746231</v>
      </c>
      <c r="DU222" s="6">
        <v>179527.90350687251</v>
      </c>
      <c r="DV222" s="6">
        <v>1441091.7401851437</v>
      </c>
      <c r="DW222" s="6">
        <v>2335.8147277668227</v>
      </c>
      <c r="DX222" s="6">
        <v>1447843.1059999999</v>
      </c>
      <c r="DZ222" s="5">
        <v>1.95</v>
      </c>
      <c r="EC222" s="6">
        <v>6263</v>
      </c>
      <c r="EF222" s="6">
        <v>6264.95</v>
      </c>
      <c r="EG222" s="6">
        <v>22023.500060368944</v>
      </c>
      <c r="EJ222" s="6">
        <v>3184.8366161664003</v>
      </c>
      <c r="EL222" s="6">
        <v>3792.2110560000001</v>
      </c>
      <c r="EM222" s="6">
        <v>6977.0476721663999</v>
      </c>
      <c r="EN222" s="6">
        <v>88271.298577815542</v>
      </c>
      <c r="EO222" s="6">
        <v>7657.6</v>
      </c>
      <c r="FA222" s="6">
        <v>1860.22448667</v>
      </c>
      <c r="FF222" s="6">
        <v>1860.22448667</v>
      </c>
      <c r="FG222" s="6">
        <v>9632.34</v>
      </c>
      <c r="FI222" s="200"/>
      <c r="FJ222" s="200"/>
      <c r="FK222" s="200"/>
      <c r="FL222" s="6">
        <v>181200</v>
      </c>
      <c r="FM222" s="6">
        <f t="shared" si="366"/>
        <v>181200</v>
      </c>
      <c r="FN222" s="6">
        <v>2884.26</v>
      </c>
      <c r="FZ222" s="6">
        <v>9260</v>
      </c>
      <c r="GB222" s="6">
        <v>9260</v>
      </c>
      <c r="GC222" s="6">
        <v>9954.8876684665229</v>
      </c>
      <c r="GN222" s="6">
        <v>2132465</v>
      </c>
      <c r="GQ222" s="6">
        <v>2547</v>
      </c>
      <c r="GS222" s="6">
        <v>564742.00000000012</v>
      </c>
      <c r="GT222" s="6">
        <v>2699754</v>
      </c>
      <c r="GU222" s="5">
        <v>25</v>
      </c>
      <c r="HL222" s="15">
        <v>160.5806524125087</v>
      </c>
      <c r="HM222" s="15">
        <v>620.44934758749127</v>
      </c>
      <c r="HO222" s="15">
        <v>160.5806524125087</v>
      </c>
      <c r="HP222" s="15">
        <v>620.44934758749127</v>
      </c>
      <c r="IF222" s="5">
        <v>15.986293818501794</v>
      </c>
      <c r="IJ222" s="5">
        <v>15.986293818501794</v>
      </c>
      <c r="IK222" s="6">
        <v>29386.15585546365</v>
      </c>
      <c r="IN222" s="18">
        <v>65</v>
      </c>
      <c r="IP222" s="5">
        <v>65</v>
      </c>
      <c r="IQ222" s="6">
        <v>158989.05586342438</v>
      </c>
      <c r="JC222" s="6">
        <v>196839.06999999998</v>
      </c>
      <c r="JD222" s="6">
        <v>196839.06999999998</v>
      </c>
      <c r="JE222" s="15">
        <v>559.72859393013789</v>
      </c>
      <c r="JG222" s="6">
        <v>257731</v>
      </c>
      <c r="JI222" s="5">
        <v>59.09660375252323</v>
      </c>
      <c r="JJ222" s="6">
        <v>92000</v>
      </c>
      <c r="JM222" s="6">
        <v>27904</v>
      </c>
      <c r="JO222" s="6">
        <v>120800</v>
      </c>
      <c r="JR222" s="6">
        <v>497715.15999999992</v>
      </c>
      <c r="JT222" s="15">
        <v>133.99441158272134</v>
      </c>
      <c r="JV222" s="6">
        <v>996150.15999999992</v>
      </c>
      <c r="JW222" s="15">
        <v>133.99441158272134</v>
      </c>
      <c r="JX222" s="6">
        <v>1339000</v>
      </c>
      <c r="JY222" s="2">
        <v>111.3</v>
      </c>
      <c r="KE222" s="6">
        <v>33352.699999999997</v>
      </c>
      <c r="KG222" s="15">
        <v>462.11925871068911</v>
      </c>
      <c r="KI222" s="6">
        <v>33352.699999999997</v>
      </c>
      <c r="KJ222" s="15">
        <v>462.11925871068911</v>
      </c>
      <c r="KL222" s="6">
        <v>78003</v>
      </c>
      <c r="KN222" s="15">
        <v>734.83889081189182</v>
      </c>
      <c r="KO222" s="6">
        <v>80000</v>
      </c>
      <c r="KR222" s="6">
        <v>117314</v>
      </c>
      <c r="KV222" s="6">
        <v>10200</v>
      </c>
      <c r="KY222" s="6">
        <v>71000</v>
      </c>
      <c r="LC222" s="6">
        <v>356517</v>
      </c>
      <c r="LD222" s="15">
        <v>632.75</v>
      </c>
      <c r="LE222" s="6">
        <v>438000</v>
      </c>
      <c r="LF222" s="2">
        <v>704.6</v>
      </c>
      <c r="LH222" s="6">
        <v>557000</v>
      </c>
      <c r="LJ222" s="15">
        <v>557.81350156535734</v>
      </c>
      <c r="LL222" s="6">
        <v>78003</v>
      </c>
      <c r="LN222" s="15">
        <v>734.83889081189182</v>
      </c>
      <c r="LO222" s="6">
        <v>56000</v>
      </c>
      <c r="LR222" s="6">
        <v>90671</v>
      </c>
      <c r="LV222" s="6">
        <v>150900</v>
      </c>
      <c r="LY222" s="6">
        <v>333469.26</v>
      </c>
      <c r="MA222" s="15">
        <v>689.24047152052333</v>
      </c>
      <c r="MC222" s="6">
        <v>709043.26</v>
      </c>
      <c r="MD222" s="6">
        <v>549000</v>
      </c>
      <c r="ME222" s="2">
        <v>465.5</v>
      </c>
    </row>
    <row r="223" spans="1:343" x14ac:dyDescent="0.25">
      <c r="A223" s="2">
        <v>2011</v>
      </c>
      <c r="B223" s="6">
        <v>16487.647055556357</v>
      </c>
      <c r="C223" s="6">
        <v>30164.988375076788</v>
      </c>
      <c r="D223" s="6">
        <v>5406.5612777306796</v>
      </c>
      <c r="E223" s="6">
        <v>2217.5687969954051</v>
      </c>
      <c r="F223" s="6">
        <v>14728.95655622342</v>
      </c>
      <c r="G223" s="6">
        <v>170990.63373784619</v>
      </c>
      <c r="H223" s="6">
        <v>9435.8918532227108</v>
      </c>
      <c r="I223" s="6">
        <v>249432.24765265154</v>
      </c>
      <c r="J223" s="6">
        <v>49130.476557998052</v>
      </c>
      <c r="K223" s="6">
        <v>261748.50803174917</v>
      </c>
      <c r="M223" s="6">
        <v>1353740.8157999997</v>
      </c>
      <c r="N223" s="6">
        <v>73451.66</v>
      </c>
      <c r="P223" s="6">
        <v>158200.027</v>
      </c>
      <c r="Q223" s="6">
        <v>30836.000000000004</v>
      </c>
      <c r="R223" s="6">
        <v>63427.671000000002</v>
      </c>
      <c r="S223" s="6">
        <v>45349</v>
      </c>
      <c r="T223" s="6">
        <v>1725005.1738</v>
      </c>
      <c r="U223" s="6">
        <v>1099.1792963686119</v>
      </c>
      <c r="V223" s="6">
        <v>1417520.6382884001</v>
      </c>
      <c r="W223" s="209"/>
      <c r="X223" s="6">
        <v>20732025.999999996</v>
      </c>
      <c r="AA223" s="6">
        <v>42253249.5</v>
      </c>
      <c r="AB223" s="34">
        <v>7245940.9000000004</v>
      </c>
      <c r="AC223" s="6">
        <f t="shared" si="368"/>
        <v>70231216.400000006</v>
      </c>
      <c r="AD223" s="4">
        <v>38.206764910168921</v>
      </c>
      <c r="AE223" s="5">
        <v>27.731935561731973</v>
      </c>
      <c r="AG223" s="6">
        <v>4709000</v>
      </c>
      <c r="AI223" s="6">
        <v>12291484</v>
      </c>
      <c r="AJ223" s="6">
        <v>2655897</v>
      </c>
      <c r="AK223" s="6">
        <v>19656381</v>
      </c>
      <c r="AL223" s="15">
        <v>373.59230843826987</v>
      </c>
      <c r="AN223" s="6">
        <v>242534935</v>
      </c>
      <c r="AO223" s="6">
        <v>212905917</v>
      </c>
      <c r="AQ223" s="6">
        <v>475652.77777777798</v>
      </c>
      <c r="AR223" s="6">
        <v>4279036.25</v>
      </c>
      <c r="AS223" s="6">
        <v>8671273.5731707197</v>
      </c>
      <c r="AT223" s="6">
        <v>468866814.60094851</v>
      </c>
      <c r="AU223" s="4">
        <v>166.2875793408802</v>
      </c>
      <c r="AW223" s="6">
        <v>66750120</v>
      </c>
      <c r="BC223" s="6">
        <v>3880</v>
      </c>
      <c r="BD223" s="6"/>
      <c r="BE223" s="6">
        <v>3880</v>
      </c>
      <c r="BF223" s="6">
        <v>32988.473195876286</v>
      </c>
      <c r="BH223" s="6">
        <v>304966</v>
      </c>
      <c r="BI223" s="6">
        <v>177046</v>
      </c>
      <c r="BK223" s="6">
        <v>25862</v>
      </c>
      <c r="BL223" s="6">
        <v>311790</v>
      </c>
      <c r="BM223" s="6">
        <v>140985</v>
      </c>
      <c r="BO223" s="6">
        <v>960649</v>
      </c>
      <c r="BP223" s="6">
        <v>8544.1294335025959</v>
      </c>
      <c r="BQ223" s="6">
        <v>967303.03137561586</v>
      </c>
      <c r="BT223" s="6">
        <v>7561302</v>
      </c>
      <c r="BV223" s="6">
        <v>7561302</v>
      </c>
      <c r="BW223" s="4">
        <v>38.138617435467552</v>
      </c>
      <c r="BX223" s="6">
        <v>7561302</v>
      </c>
      <c r="CC223" s="6">
        <v>2151031.8582146349</v>
      </c>
      <c r="CD223" s="6">
        <v>10192493</v>
      </c>
      <c r="CE223" s="6">
        <v>462795803.11764801</v>
      </c>
      <c r="CF223" s="6">
        <v>2037691.0000000002</v>
      </c>
      <c r="CG223" s="6">
        <v>477177018.97586262</v>
      </c>
      <c r="CH223" s="4">
        <v>146.40021885677857</v>
      </c>
      <c r="CO223" s="6">
        <v>1044534</v>
      </c>
      <c r="CP223" s="6">
        <v>4860082</v>
      </c>
      <c r="CR223" s="6">
        <v>5904616</v>
      </c>
      <c r="CS223" s="2">
        <v>603</v>
      </c>
      <c r="CT223" s="6">
        <v>5904616</v>
      </c>
      <c r="CX223" s="6">
        <v>185130</v>
      </c>
      <c r="CY223" s="6">
        <v>185130</v>
      </c>
      <c r="CZ223" s="6">
        <v>65360.00927955861</v>
      </c>
      <c r="DA223" s="6">
        <v>21751.465801731636</v>
      </c>
      <c r="DB223" s="6">
        <v>195468.42557458614</v>
      </c>
      <c r="DD223" s="6">
        <v>444464.94023821072</v>
      </c>
      <c r="DE223" s="6">
        <v>77951.843594998107</v>
      </c>
      <c r="DG223" s="6">
        <v>35288.128557000004</v>
      </c>
      <c r="DH223" s="6">
        <v>7128.7080350000006</v>
      </c>
      <c r="DI223" s="6">
        <v>17492.081080146309</v>
      </c>
      <c r="DJ223" s="6">
        <v>39161</v>
      </c>
      <c r="DK223" s="6">
        <v>621486.70150535507</v>
      </c>
      <c r="DL223" s="6">
        <v>2328.5422181844151</v>
      </c>
      <c r="DM223" s="6">
        <v>561296.15311180393</v>
      </c>
      <c r="DO223" s="6">
        <v>977889</v>
      </c>
      <c r="DP223" s="6">
        <v>108122.0460371081</v>
      </c>
      <c r="DR223" s="6">
        <v>92646.359999999986</v>
      </c>
      <c r="DS223" s="6">
        <v>17918</v>
      </c>
      <c r="DT223" s="6">
        <v>84739.000000000015</v>
      </c>
      <c r="DU223" s="6">
        <v>190793.99999999997</v>
      </c>
      <c r="DV223" s="6">
        <v>1472108.406037108</v>
      </c>
      <c r="DW223" s="6">
        <v>2128.2159417701469</v>
      </c>
      <c r="DX223" s="6">
        <v>1471947.8235547151</v>
      </c>
      <c r="DZ223" s="2">
        <v>1</v>
      </c>
      <c r="EC223" s="6">
        <v>5014</v>
      </c>
      <c r="EF223" s="6">
        <v>5015</v>
      </c>
      <c r="EG223" s="6">
        <v>25486.281700018902</v>
      </c>
      <c r="EJ223" s="6">
        <v>4422.9771293616004</v>
      </c>
      <c r="EL223" s="6">
        <v>2640.4506720000004</v>
      </c>
      <c r="EM223" s="6">
        <v>7063.4278013616004</v>
      </c>
      <c r="EN223" s="6">
        <v>88413.120734268829</v>
      </c>
      <c r="EO223" s="6">
        <v>7072.2950348102941</v>
      </c>
      <c r="FA223" s="6">
        <v>2420.7964000000002</v>
      </c>
      <c r="FF223" s="6">
        <v>2420.7964000000002</v>
      </c>
      <c r="FG223" s="6">
        <v>13872.429999999998</v>
      </c>
      <c r="FI223" s="200"/>
      <c r="FJ223" s="200"/>
      <c r="FK223" s="200"/>
      <c r="FL223" s="6">
        <v>323800</v>
      </c>
      <c r="FM223" s="6">
        <f t="shared" si="366"/>
        <v>323800</v>
      </c>
      <c r="FN223" s="6">
        <v>2638.6719999999996</v>
      </c>
      <c r="FZ223" s="6">
        <v>12500</v>
      </c>
      <c r="GB223" s="6">
        <v>12500</v>
      </c>
      <c r="GC223" s="6">
        <v>9386.1831120000006</v>
      </c>
      <c r="GN223" s="6">
        <v>2386332</v>
      </c>
      <c r="GQ223" s="6">
        <v>1650</v>
      </c>
      <c r="GS223" s="6">
        <v>666979</v>
      </c>
      <c r="GT223" s="6">
        <v>3054961</v>
      </c>
      <c r="GU223" s="15">
        <v>100.37454062350109</v>
      </c>
      <c r="HL223" s="5">
        <v>90.178076331935074</v>
      </c>
      <c r="HM223" s="15">
        <v>348.42882866806491</v>
      </c>
      <c r="HO223" s="5">
        <v>90.178076331935074</v>
      </c>
      <c r="HP223" s="15">
        <v>348.42882866806491</v>
      </c>
      <c r="IF223" s="5">
        <v>15.415354753555302</v>
      </c>
      <c r="IJ223" s="5">
        <v>15.415354753555302</v>
      </c>
      <c r="IK223" s="6">
        <v>45304.617772603808</v>
      </c>
      <c r="IN223" s="18">
        <v>5</v>
      </c>
      <c r="IP223" s="5">
        <v>5</v>
      </c>
      <c r="IQ223" s="6">
        <v>328391.87584709213</v>
      </c>
      <c r="JC223" s="6">
        <v>308139.42</v>
      </c>
      <c r="JD223" s="6">
        <v>308139.42</v>
      </c>
      <c r="JE223" s="15">
        <v>522.88587374462588</v>
      </c>
      <c r="JG223" s="6">
        <v>283483</v>
      </c>
      <c r="JI223" s="5">
        <v>44.105117972354215</v>
      </c>
      <c r="JJ223" s="6">
        <v>92000</v>
      </c>
      <c r="JM223" s="6">
        <v>82075</v>
      </c>
      <c r="JO223" s="6">
        <v>174300</v>
      </c>
      <c r="JR223" s="6">
        <v>379284.10000000003</v>
      </c>
      <c r="JT223" s="15">
        <v>149.89131102516555</v>
      </c>
      <c r="JV223" s="6">
        <v>1011142.1000000001</v>
      </c>
      <c r="JW223" s="15">
        <v>149.89131102516555</v>
      </c>
      <c r="JX223" s="6">
        <v>1277000</v>
      </c>
      <c r="JY223" s="5">
        <v>110</v>
      </c>
      <c r="KE223" s="6">
        <v>24771.879999999997</v>
      </c>
      <c r="KG223" s="15">
        <v>579.73472340411797</v>
      </c>
      <c r="KI223" s="6">
        <v>24771.879999999997</v>
      </c>
      <c r="KJ223" s="15">
        <v>579.73472340411797</v>
      </c>
      <c r="KL223" s="6">
        <v>80474</v>
      </c>
      <c r="KN223" s="15">
        <v>600.91962621467803</v>
      </c>
      <c r="KO223" s="6">
        <v>80000</v>
      </c>
      <c r="KR223" s="6">
        <v>209919</v>
      </c>
      <c r="KV223" s="6">
        <v>56400</v>
      </c>
      <c r="KY223" s="6">
        <v>40000</v>
      </c>
      <c r="LC223" s="6">
        <v>466793</v>
      </c>
      <c r="LD223" s="15">
        <v>642.75</v>
      </c>
      <c r="LE223" s="6">
        <v>474000</v>
      </c>
      <c r="LF223" s="5">
        <v>802</v>
      </c>
      <c r="LH223" s="6">
        <v>503000</v>
      </c>
      <c r="LJ223" s="15">
        <v>602.48703329107013</v>
      </c>
      <c r="LL223" s="6">
        <v>80474</v>
      </c>
      <c r="LN223" s="15">
        <v>600.91962621467803</v>
      </c>
      <c r="LO223" s="6">
        <v>84000</v>
      </c>
      <c r="LR223" s="6">
        <v>188663</v>
      </c>
      <c r="LV223" s="6">
        <v>313700</v>
      </c>
      <c r="LY223" s="6">
        <v>217297.99</v>
      </c>
      <c r="MA223" s="15">
        <v>966.47392826781333</v>
      </c>
      <c r="MC223" s="6">
        <v>884134.99</v>
      </c>
      <c r="MD223" s="6">
        <v>762000</v>
      </c>
      <c r="ME223" s="2">
        <v>532.20000000000005</v>
      </c>
    </row>
    <row r="224" spans="1:343" x14ac:dyDescent="0.25">
      <c r="A224" s="2">
        <v>2012</v>
      </c>
      <c r="B224" s="6">
        <v>15528.56465245756</v>
      </c>
      <c r="C224" s="6">
        <v>25816.940506831099</v>
      </c>
      <c r="D224" s="6">
        <v>4065.970467251936</v>
      </c>
      <c r="E224" s="6">
        <v>2138.0061118325389</v>
      </c>
      <c r="F224" s="6">
        <v>12662.53508860601</v>
      </c>
      <c r="G224" s="6">
        <v>170595.8336897273</v>
      </c>
      <c r="H224" s="6">
        <v>9262.8943337247201</v>
      </c>
      <c r="I224" s="6">
        <v>240070.74485043116</v>
      </c>
      <c r="J224" s="6">
        <v>51803.573500667182</v>
      </c>
      <c r="K224" s="6">
        <v>250660.21758243046</v>
      </c>
      <c r="M224" s="6">
        <v>1393698.4966516879</v>
      </c>
      <c r="N224" s="6">
        <v>91986.579930969179</v>
      </c>
      <c r="P224" s="6">
        <v>116450.72922060001</v>
      </c>
      <c r="Q224" s="6">
        <v>14871.392126964371</v>
      </c>
      <c r="R224" s="6">
        <v>53310.676569269766</v>
      </c>
      <c r="S224" s="6">
        <v>56615</v>
      </c>
      <c r="T224" s="6">
        <v>1726932.874499491</v>
      </c>
      <c r="U224" s="15">
        <v>965.21571768246065</v>
      </c>
      <c r="V224" s="6">
        <v>1481913.1183</v>
      </c>
      <c r="W224" s="209"/>
      <c r="X224" s="6">
        <v>23256876.269999996</v>
      </c>
      <c r="AA224" s="6">
        <v>45080000</v>
      </c>
      <c r="AB224" s="34">
        <v>7944369.3999999901</v>
      </c>
      <c r="AC224" s="6">
        <f t="shared" si="368"/>
        <v>76281245.669999987</v>
      </c>
      <c r="AD224" s="4">
        <v>38.643285668987161</v>
      </c>
      <c r="AE224" s="5">
        <v>28.116367122488576</v>
      </c>
      <c r="AG224" s="6">
        <v>5868000</v>
      </c>
      <c r="AI224" s="6">
        <v>12811549.390000001</v>
      </c>
      <c r="AJ224" s="6">
        <v>2721737</v>
      </c>
      <c r="AK224" s="6">
        <v>21401286.390000001</v>
      </c>
      <c r="AL224" s="15">
        <v>319.06974942497322</v>
      </c>
      <c r="AN224" s="6">
        <v>256431460.00000003</v>
      </c>
      <c r="AO224" s="6">
        <v>234904883.99999997</v>
      </c>
      <c r="AQ224" s="6">
        <v>461419.44444444403</v>
      </c>
      <c r="AR224" s="6">
        <v>3234192.5</v>
      </c>
      <c r="AS224" s="6">
        <v>8829703.4939024393</v>
      </c>
      <c r="AT224" s="6">
        <v>503861659.43834686</v>
      </c>
      <c r="AU224" s="4">
        <v>130.55907046006601</v>
      </c>
      <c r="AW224" s="6">
        <v>69140352</v>
      </c>
      <c r="AX224" s="4">
        <v>7.1552572189109425</v>
      </c>
      <c r="BC224" s="6">
        <v>5910</v>
      </c>
      <c r="BD224" s="6"/>
      <c r="BE224" s="6">
        <v>5910</v>
      </c>
      <c r="BF224" s="6">
        <v>26302.761082910321</v>
      </c>
      <c r="BH224" s="6">
        <v>248155</v>
      </c>
      <c r="BI224" s="6">
        <v>163340</v>
      </c>
      <c r="BK224" s="6">
        <v>27199</v>
      </c>
      <c r="BL224" s="6">
        <v>290457</v>
      </c>
      <c r="BM224" s="6">
        <v>192239.25</v>
      </c>
      <c r="BO224" s="6">
        <v>921390.25</v>
      </c>
      <c r="BP224" s="6">
        <v>7686.919316852779</v>
      </c>
      <c r="BQ224" s="6">
        <v>927574.71043278859</v>
      </c>
      <c r="BT224" s="6">
        <v>8626996</v>
      </c>
      <c r="BV224" s="6">
        <v>8626996</v>
      </c>
      <c r="BW224" s="4">
        <v>35.472589788041766</v>
      </c>
      <c r="BX224" s="6">
        <v>8626996</v>
      </c>
      <c r="CC224" s="6">
        <v>2179543.3293465273</v>
      </c>
      <c r="CD224" s="6">
        <v>10719749</v>
      </c>
      <c r="CE224" s="6">
        <v>504507035.57823503</v>
      </c>
      <c r="CF224" s="6">
        <v>1950000</v>
      </c>
      <c r="CG224" s="6">
        <v>519356327.90758157</v>
      </c>
      <c r="CH224" s="4">
        <v>110.7526598318637</v>
      </c>
      <c r="CO224" s="6">
        <v>640160</v>
      </c>
      <c r="CP224" s="6">
        <v>5508766</v>
      </c>
      <c r="CR224" s="6">
        <v>6148926</v>
      </c>
      <c r="CS224" s="2">
        <v>487</v>
      </c>
      <c r="CT224" s="6">
        <v>6148926</v>
      </c>
      <c r="CX224" s="6">
        <v>230767.1003574091</v>
      </c>
      <c r="CY224" s="6">
        <v>230767.1003574091</v>
      </c>
      <c r="CZ224" s="6">
        <v>73384.906016591238</v>
      </c>
      <c r="DA224" s="6">
        <v>16878.02692076618</v>
      </c>
      <c r="DB224" s="6">
        <v>231345.60546261418</v>
      </c>
      <c r="DD224" s="6">
        <v>439316.61683619302</v>
      </c>
      <c r="DE224" s="6">
        <v>89613.115794249403</v>
      </c>
      <c r="DG224" s="6">
        <v>29675.320000000007</v>
      </c>
      <c r="DH224" s="6">
        <v>11363.999999999998</v>
      </c>
      <c r="DI224" s="6">
        <v>7500.9999999999991</v>
      </c>
      <c r="DJ224" s="6">
        <v>43128</v>
      </c>
      <c r="DK224" s="6">
        <v>620598.05263044243</v>
      </c>
      <c r="DL224" s="6">
        <v>2007.927351666455</v>
      </c>
      <c r="DM224" s="6">
        <v>550598.84299999999</v>
      </c>
      <c r="DO224" s="6">
        <v>977450</v>
      </c>
      <c r="DP224" s="6">
        <v>138791</v>
      </c>
      <c r="DR224" s="6">
        <v>85447.239365000001</v>
      </c>
      <c r="DS224" s="6">
        <v>25932.000000000004</v>
      </c>
      <c r="DT224" s="6">
        <v>71408</v>
      </c>
      <c r="DU224" s="6">
        <v>199910</v>
      </c>
      <c r="DV224" s="6">
        <v>1498938.239365</v>
      </c>
      <c r="DW224" s="6">
        <v>1895.4184778358165</v>
      </c>
      <c r="DX224" s="6">
        <v>1469666.702</v>
      </c>
      <c r="DZ224" s="2">
        <v>2</v>
      </c>
      <c r="EC224" s="6">
        <v>5848</v>
      </c>
      <c r="EF224" s="6">
        <v>5850</v>
      </c>
      <c r="EG224" s="6">
        <v>20380.292869330544</v>
      </c>
      <c r="EJ224" s="6">
        <v>4555.6233039976787</v>
      </c>
      <c r="EL224" s="6">
        <v>3709.2283200000002</v>
      </c>
      <c r="EM224" s="6">
        <v>8264.851623997678</v>
      </c>
      <c r="EN224" s="6">
        <v>95595.181410577017</v>
      </c>
      <c r="EO224" s="6">
        <v>8283.0137077020772</v>
      </c>
      <c r="EU224" s="2">
        <v>22.3</v>
      </c>
      <c r="EV224" s="2">
        <v>22.3</v>
      </c>
      <c r="EW224" s="6">
        <v>24957.07894056389</v>
      </c>
      <c r="FA224" s="6">
        <v>3896.1819</v>
      </c>
      <c r="FF224" s="6">
        <v>3896.1819</v>
      </c>
      <c r="FG224" s="6">
        <v>12214.188000781707</v>
      </c>
      <c r="FI224" s="200"/>
      <c r="FJ224" s="200"/>
      <c r="FK224" s="200"/>
      <c r="FL224" s="6">
        <v>452000</v>
      </c>
      <c r="FM224" s="6">
        <f t="shared" si="366"/>
        <v>452000</v>
      </c>
      <c r="FN224" s="6">
        <v>2452.3700000000003</v>
      </c>
      <c r="FZ224" s="6">
        <v>12800</v>
      </c>
      <c r="GB224" s="6">
        <v>12800</v>
      </c>
      <c r="GC224" s="6">
        <v>12671.045460156249</v>
      </c>
      <c r="GN224" s="6">
        <v>883047</v>
      </c>
      <c r="GQ224" s="6">
        <v>1863</v>
      </c>
      <c r="GS224" s="6">
        <v>666702</v>
      </c>
      <c r="GT224" s="6">
        <v>1551612</v>
      </c>
      <c r="GU224" s="5">
        <v>97.878543970024012</v>
      </c>
      <c r="HL224" s="15">
        <v>145.22282660011399</v>
      </c>
      <c r="HM224" s="15">
        <v>561.10998843988602</v>
      </c>
      <c r="HO224" s="15">
        <v>145.22282660011399</v>
      </c>
      <c r="HP224" s="15">
        <v>561.10998843988602</v>
      </c>
      <c r="HY224" s="15">
        <v>647.33462399999996</v>
      </c>
      <c r="HZ224" s="15">
        <f t="shared" ref="HZ224:HZ233" si="371">SUM(HV224:HY224)</f>
        <v>647.33462399999996</v>
      </c>
      <c r="IA224" s="6">
        <v>62849.999999999993</v>
      </c>
      <c r="IC224" s="5">
        <v>68.638979024055701</v>
      </c>
      <c r="IF224" s="5">
        <v>27.405075117431647</v>
      </c>
      <c r="IJ224" s="5">
        <v>96.044054141487351</v>
      </c>
      <c r="IK224" s="6">
        <v>54745.582697692378</v>
      </c>
      <c r="IQ224" s="6">
        <v>284666.68166580686</v>
      </c>
      <c r="JC224" s="6">
        <v>266224.46000000002</v>
      </c>
      <c r="JD224" s="6">
        <v>266224.46000000002</v>
      </c>
      <c r="JE224" s="15">
        <v>537.16212875979318</v>
      </c>
      <c r="JG224" s="6">
        <v>179177</v>
      </c>
      <c r="JI224" s="15">
        <v>204.01808825909575</v>
      </c>
      <c r="JJ224" s="35"/>
      <c r="JM224" s="6">
        <v>42814</v>
      </c>
      <c r="JO224" s="6">
        <v>90400</v>
      </c>
      <c r="JR224" s="6">
        <v>279281.76</v>
      </c>
      <c r="JT224" s="15">
        <v>244.94009562242803</v>
      </c>
      <c r="JV224" s="6">
        <v>591672.76</v>
      </c>
      <c r="JW224" s="15">
        <v>244.94009562242803</v>
      </c>
      <c r="JX224" s="6">
        <v>1344000</v>
      </c>
      <c r="JY224" s="2">
        <v>216.3</v>
      </c>
      <c r="KE224" s="6">
        <v>22026.97</v>
      </c>
      <c r="KG224" s="6">
        <v>1189.2016014912626</v>
      </c>
      <c r="KI224" s="6">
        <v>22026.97</v>
      </c>
      <c r="KJ224" s="6">
        <v>1189.2016014912626</v>
      </c>
      <c r="KL224" s="6">
        <v>80474</v>
      </c>
      <c r="KN224" s="6">
        <v>1162.8095782488754</v>
      </c>
      <c r="KR224" s="6">
        <v>261744</v>
      </c>
      <c r="KV224" s="6">
        <v>26900</v>
      </c>
      <c r="KY224" s="6">
        <v>51000</v>
      </c>
      <c r="LC224" s="6">
        <v>420118</v>
      </c>
      <c r="LE224" s="6">
        <v>439000</v>
      </c>
      <c r="LF224" s="2">
        <v>809.4</v>
      </c>
      <c r="LH224" s="6">
        <v>479643.74999999994</v>
      </c>
      <c r="LJ224" s="15">
        <v>543.6</v>
      </c>
      <c r="LL224" s="6">
        <v>59716</v>
      </c>
      <c r="LN224" s="6">
        <v>1567.0161765690937</v>
      </c>
      <c r="LO224" s="6">
        <v>88000</v>
      </c>
      <c r="LR224" s="6">
        <v>187538</v>
      </c>
      <c r="LV224" s="6">
        <v>138200</v>
      </c>
      <c r="LY224" s="6">
        <v>175164.13799999998</v>
      </c>
      <c r="MA224" s="6">
        <v>1114.6046287168667</v>
      </c>
      <c r="MC224" s="6">
        <v>648618.13800000004</v>
      </c>
      <c r="MD224" s="6">
        <v>605000</v>
      </c>
      <c r="ME224" s="2">
        <v>361.2</v>
      </c>
    </row>
    <row r="225" spans="1:355" x14ac:dyDescent="0.25">
      <c r="A225" s="2">
        <v>2013</v>
      </c>
      <c r="B225" s="6">
        <v>16657.745153690052</v>
      </c>
      <c r="C225" s="6">
        <v>32024.610623391367</v>
      </c>
      <c r="D225" s="6">
        <v>6222.1876628072405</v>
      </c>
      <c r="E225" s="6">
        <v>2026.8578493503248</v>
      </c>
      <c r="F225" s="6">
        <v>12429.41455487042</v>
      </c>
      <c r="G225" s="6">
        <v>179000.88792764128</v>
      </c>
      <c r="H225" s="6">
        <v>12351.375939908099</v>
      </c>
      <c r="I225" s="6">
        <v>260713.07971165876</v>
      </c>
      <c r="J225" s="6">
        <v>46689.664718673041</v>
      </c>
      <c r="K225" s="6">
        <v>273740.14294294344</v>
      </c>
      <c r="M225" s="6">
        <v>1454775.410611483</v>
      </c>
      <c r="N225" s="6">
        <v>130609.1357988019</v>
      </c>
      <c r="P225" s="6">
        <v>98425.000000000015</v>
      </c>
      <c r="Q225" s="6">
        <v>27144.671348685231</v>
      </c>
      <c r="R225" s="6">
        <v>68148.69565893893</v>
      </c>
      <c r="S225" s="6">
        <v>60679.999999999993</v>
      </c>
      <c r="T225" s="6">
        <v>1839782.9134179072</v>
      </c>
      <c r="U225" s="15">
        <v>784.71066636340902</v>
      </c>
      <c r="V225" s="6">
        <v>1416714.38991878</v>
      </c>
      <c r="W225" s="209"/>
      <c r="X225" s="6">
        <v>26341560.179999981</v>
      </c>
      <c r="AA225" s="6">
        <v>46749076.5</v>
      </c>
      <c r="AB225" s="34">
        <v>8028538.2719999999</v>
      </c>
      <c r="AC225" s="6">
        <f t="shared" si="368"/>
        <v>81119174.951999977</v>
      </c>
      <c r="AD225" s="4">
        <v>39.05378121038067</v>
      </c>
      <c r="AE225" s="5">
        <v>34.502418038178256</v>
      </c>
      <c r="AG225" s="6">
        <v>5830000</v>
      </c>
      <c r="AI225" s="6">
        <v>13625703.529999999</v>
      </c>
      <c r="AJ225" s="6">
        <v>2341689.0000000005</v>
      </c>
      <c r="AK225" s="6">
        <v>21797392.530000001</v>
      </c>
      <c r="AL225" s="15">
        <v>326.48122102354728</v>
      </c>
      <c r="AN225" s="6">
        <v>280102880.99999994</v>
      </c>
      <c r="AO225" s="6">
        <v>251516282.00000003</v>
      </c>
      <c r="AQ225" s="6">
        <v>500533.33333333203</v>
      </c>
      <c r="AR225" s="6">
        <v>2259757.5</v>
      </c>
      <c r="AS225" s="6">
        <v>8453829.5609756205</v>
      </c>
      <c r="AT225" s="6">
        <v>542833283.39430892</v>
      </c>
      <c r="AU225" s="4">
        <v>111.0606143887766</v>
      </c>
      <c r="AW225" s="6">
        <v>59869608</v>
      </c>
      <c r="BC225" s="6">
        <v>6399.9999999999991</v>
      </c>
      <c r="BD225" s="6"/>
      <c r="BE225" s="6">
        <v>6399.9999999999991</v>
      </c>
      <c r="BF225" s="6">
        <v>26835.919531250005</v>
      </c>
      <c r="BH225" s="6">
        <v>300922</v>
      </c>
      <c r="BI225" s="6">
        <v>190437</v>
      </c>
      <c r="BK225" s="6">
        <v>29197</v>
      </c>
      <c r="BL225" s="6">
        <v>271659</v>
      </c>
      <c r="BM225" s="6">
        <v>208784.2653061224</v>
      </c>
      <c r="BO225" s="6">
        <v>1000999.265306122</v>
      </c>
      <c r="BP225" s="6">
        <v>7568.3246094518136</v>
      </c>
      <c r="BQ225" s="6">
        <v>968489.56897444162</v>
      </c>
      <c r="BT225" s="6">
        <v>11482749</v>
      </c>
      <c r="BV225" s="6">
        <v>11482749</v>
      </c>
      <c r="BW225" s="4">
        <v>36.383245439701618</v>
      </c>
      <c r="BX225" s="6">
        <v>11482749</v>
      </c>
      <c r="CC225" s="6">
        <v>2126235.7290420788</v>
      </c>
      <c r="CD225" s="6">
        <v>11317000</v>
      </c>
      <c r="CE225" s="6">
        <v>593336461.82352805</v>
      </c>
      <c r="CF225" s="6">
        <v>2950000</v>
      </c>
      <c r="CG225" s="6">
        <v>609729697.5525701</v>
      </c>
      <c r="CH225" s="4">
        <v>120.01718998468192</v>
      </c>
      <c r="CO225" s="6">
        <v>718296</v>
      </c>
      <c r="CP225" s="6">
        <v>5720599</v>
      </c>
      <c r="CR225" s="6">
        <v>6438895</v>
      </c>
      <c r="CS225" s="2">
        <v>541</v>
      </c>
      <c r="CT225" s="6">
        <v>6438895</v>
      </c>
      <c r="CX225" s="6">
        <v>229730</v>
      </c>
      <c r="CY225" s="6">
        <v>229730</v>
      </c>
      <c r="CZ225" s="6">
        <v>62888.704511316493</v>
      </c>
      <c r="DA225" s="6">
        <v>15500.337090441935</v>
      </c>
      <c r="DB225" s="6">
        <v>241013.25419428572</v>
      </c>
      <c r="DD225" s="6">
        <v>483257.92766347999</v>
      </c>
      <c r="DE225" s="6">
        <v>93971.4933718916</v>
      </c>
      <c r="DG225" s="6">
        <v>29364</v>
      </c>
      <c r="DH225" s="6">
        <v>8377.5236000000004</v>
      </c>
      <c r="DI225" s="6">
        <v>47497</v>
      </c>
      <c r="DJ225" s="6">
        <v>48742.000000000007</v>
      </c>
      <c r="DK225" s="6">
        <v>711209.94463537156</v>
      </c>
      <c r="DL225" s="6">
        <v>2241.6739670366264</v>
      </c>
      <c r="DM225" s="6">
        <v>618210.26399999997</v>
      </c>
      <c r="DO225" s="6">
        <v>959339.53878052393</v>
      </c>
      <c r="DP225" s="6">
        <v>149755.89036439339</v>
      </c>
      <c r="DR225" s="6">
        <v>88368.171400949301</v>
      </c>
      <c r="DS225" s="6">
        <v>16567.186700000002</v>
      </c>
      <c r="DT225" s="6">
        <v>61734.238286574</v>
      </c>
      <c r="DU225" s="6">
        <v>205370</v>
      </c>
      <c r="DV225" s="6">
        <v>1481135.0255324405</v>
      </c>
      <c r="DW225" s="6">
        <v>2004.5356095481952</v>
      </c>
      <c r="DX225" s="6">
        <v>1425869.689</v>
      </c>
      <c r="DZ225" s="2">
        <v>24</v>
      </c>
      <c r="EC225" s="6">
        <v>6152</v>
      </c>
      <c r="EF225" s="6">
        <v>6176</v>
      </c>
      <c r="EG225" s="6">
        <v>23425.305432608355</v>
      </c>
      <c r="EJ225" s="6">
        <v>4577.4994232404752</v>
      </c>
      <c r="EL225" s="6">
        <v>2959.3843199999997</v>
      </c>
      <c r="EM225" s="6">
        <v>7536.8837432404744</v>
      </c>
      <c r="EN225" s="6">
        <v>95465.34159267912</v>
      </c>
      <c r="EO225" s="6">
        <v>7517.0516208970266</v>
      </c>
      <c r="EU225" s="15">
        <v>411.8</v>
      </c>
      <c r="EV225" s="15">
        <v>411.8</v>
      </c>
      <c r="EW225" s="6">
        <v>25057.453028016527</v>
      </c>
      <c r="FA225" s="6">
        <v>5128.0352999999996</v>
      </c>
      <c r="FF225" s="6">
        <v>5128.0352999999996</v>
      </c>
      <c r="FG225" s="6">
        <v>11111.111111111111</v>
      </c>
      <c r="FI225" s="200"/>
      <c r="FJ225" s="200"/>
      <c r="FK225" s="200"/>
      <c r="FL225" s="6">
        <v>355000</v>
      </c>
      <c r="FM225" s="6">
        <f t="shared" si="366"/>
        <v>355000</v>
      </c>
      <c r="FN225" s="6">
        <v>2427.7849999999999</v>
      </c>
      <c r="FZ225" s="6">
        <v>12699.999999999998</v>
      </c>
      <c r="GB225" s="6">
        <v>12699.999999999998</v>
      </c>
      <c r="GC225" s="6">
        <v>13329.649166929135</v>
      </c>
      <c r="GN225" s="6">
        <v>2062509</v>
      </c>
      <c r="GQ225" s="6">
        <v>1742</v>
      </c>
      <c r="GS225" s="6">
        <v>518256.00000000006</v>
      </c>
      <c r="GT225" s="6">
        <v>2582507</v>
      </c>
      <c r="GU225" s="5">
        <v>98.75584428688866</v>
      </c>
      <c r="HL225" s="15">
        <v>161.6414359834705</v>
      </c>
      <c r="HM225" s="15">
        <v>624.54798876652956</v>
      </c>
      <c r="HO225" s="15">
        <v>161.6414359834705</v>
      </c>
      <c r="HP225" s="15">
        <v>624.54798876652956</v>
      </c>
      <c r="HY225" s="6">
        <v>3943.2131379999996</v>
      </c>
      <c r="HZ225" s="6">
        <f t="shared" si="371"/>
        <v>3943.2131379999996</v>
      </c>
      <c r="IA225" s="6">
        <v>23449.08602150538</v>
      </c>
      <c r="IC225" s="15">
        <v>176.75402890824157</v>
      </c>
      <c r="IF225" s="5">
        <v>30.513521137695882</v>
      </c>
      <c r="IJ225" s="15">
        <v>207.26755004593744</v>
      </c>
      <c r="IK225" s="6">
        <v>48140.495867768594</v>
      </c>
      <c r="IQ225" s="6">
        <v>333748.42898660671</v>
      </c>
      <c r="JC225" s="6">
        <v>395840.81</v>
      </c>
      <c r="JD225" s="6">
        <v>395840.81</v>
      </c>
      <c r="JE225" s="15">
        <v>630.64766234377737</v>
      </c>
      <c r="JG225" s="6">
        <v>151450</v>
      </c>
      <c r="JI225" s="15">
        <v>268.48907890392871</v>
      </c>
      <c r="JJ225" s="35"/>
      <c r="JM225" s="6">
        <v>67067</v>
      </c>
      <c r="JO225" s="6">
        <v>82300</v>
      </c>
      <c r="JQ225" s="5">
        <v>66.077955265060112</v>
      </c>
      <c r="JR225" s="6">
        <v>199987.25</v>
      </c>
      <c r="JT225" s="15">
        <v>246.30096168630749</v>
      </c>
      <c r="JV225" s="6">
        <v>500804.25</v>
      </c>
      <c r="JW225" s="15">
        <v>246.30096168630749</v>
      </c>
      <c r="JX225" s="6">
        <v>1342000</v>
      </c>
      <c r="JY225" s="2">
        <v>195.4</v>
      </c>
      <c r="KC225" s="6">
        <v>3280</v>
      </c>
      <c r="KE225" s="6">
        <v>33398.32</v>
      </c>
      <c r="KG225" s="15">
        <v>872.21968051087606</v>
      </c>
      <c r="KI225" s="6">
        <v>36678.32</v>
      </c>
      <c r="KJ225" s="15">
        <v>872.21968051087606</v>
      </c>
      <c r="KL225" s="6">
        <v>59716</v>
      </c>
      <c r="KN225" s="15">
        <v>239.06519190836627</v>
      </c>
      <c r="KR225" s="6">
        <v>140842</v>
      </c>
      <c r="KV225" s="6">
        <v>26650</v>
      </c>
      <c r="KX225" s="15">
        <v>547.69721583925616</v>
      </c>
      <c r="KY225" s="6">
        <v>45400.5</v>
      </c>
      <c r="LC225" s="6">
        <v>272608.5</v>
      </c>
      <c r="LE225" s="6">
        <v>232000</v>
      </c>
      <c r="LF225" s="16">
        <v>1114.8</v>
      </c>
      <c r="LH225" s="6">
        <v>281775.16852475569</v>
      </c>
      <c r="LJ225" s="15">
        <v>920.52986921694196</v>
      </c>
      <c r="LL225" s="6">
        <v>6133</v>
      </c>
      <c r="LN225" s="6">
        <v>2327.7379748899398</v>
      </c>
      <c r="LR225" s="6">
        <v>86243</v>
      </c>
      <c r="LV225" s="6">
        <v>185250</v>
      </c>
      <c r="LX225" s="15">
        <v>775.90089762572052</v>
      </c>
      <c r="LY225" s="6">
        <v>231508.22999999998</v>
      </c>
      <c r="MA225" s="15">
        <v>680.71494477755721</v>
      </c>
      <c r="MC225" s="6">
        <v>509134.23</v>
      </c>
      <c r="MD225" s="6">
        <v>388000</v>
      </c>
      <c r="ME225" s="2">
        <v>283.8</v>
      </c>
    </row>
    <row r="226" spans="1:355" x14ac:dyDescent="0.25">
      <c r="A226" s="2">
        <v>2014</v>
      </c>
      <c r="B226" s="6">
        <v>16649.253905429898</v>
      </c>
      <c r="C226" s="6">
        <v>34632.722409275055</v>
      </c>
      <c r="D226" s="6">
        <v>6572.9415332457302</v>
      </c>
      <c r="E226" s="6">
        <v>1906.2385791933309</v>
      </c>
      <c r="F226" s="6">
        <v>12586.435866696</v>
      </c>
      <c r="G226" s="6">
        <v>186359.53023387221</v>
      </c>
      <c r="H226" s="6">
        <v>13148.68237910469</v>
      </c>
      <c r="I226" s="6">
        <v>271855.80490681692</v>
      </c>
      <c r="J226" s="6">
        <v>45163.406827936502</v>
      </c>
      <c r="K226" s="6">
        <v>290519.19667015824</v>
      </c>
      <c r="M226" s="6">
        <v>1405432.0840205392</v>
      </c>
      <c r="N226" s="6">
        <v>114081.1857787459</v>
      </c>
      <c r="P226" s="6">
        <v>88436.222686194</v>
      </c>
      <c r="Q226" s="6">
        <v>56792.812782583998</v>
      </c>
      <c r="R226" s="6">
        <v>121221.80597479391</v>
      </c>
      <c r="S226" s="6">
        <v>60882.999999999993</v>
      </c>
      <c r="T226" s="6">
        <v>1846847.1112428561</v>
      </c>
      <c r="U226" s="15">
        <v>680.51016181543184</v>
      </c>
      <c r="V226" s="6">
        <v>1315435.7739249999</v>
      </c>
      <c r="W226" s="209"/>
      <c r="X226" s="6">
        <v>26266301</v>
      </c>
      <c r="AA226" s="6">
        <v>45836392.800000004</v>
      </c>
      <c r="AB226" s="34">
        <v>6528301.7199999997</v>
      </c>
      <c r="AC226" s="6">
        <f t="shared" si="368"/>
        <v>78630995.520000011</v>
      </c>
      <c r="AD226" s="4">
        <v>38.962093056048857</v>
      </c>
      <c r="AE226" s="5">
        <v>39.509193431983419</v>
      </c>
      <c r="AG226" s="6">
        <v>6256000</v>
      </c>
      <c r="AI226" s="6">
        <v>13876846.26</v>
      </c>
      <c r="AJ226" s="6">
        <v>681555</v>
      </c>
      <c r="AK226" s="6">
        <v>20814401.259999998</v>
      </c>
      <c r="AL226" s="15">
        <v>331.09388981672487</v>
      </c>
      <c r="AN226" s="6">
        <v>298884083.35064936</v>
      </c>
      <c r="AO226" s="6">
        <v>260454286.00000003</v>
      </c>
      <c r="AQ226" s="6">
        <v>500533.33333333203</v>
      </c>
      <c r="AR226" s="6">
        <v>3082477.5</v>
      </c>
      <c r="AS226" s="6">
        <v>7879917.0731707392</v>
      </c>
      <c r="AT226" s="6">
        <v>570801297.25715351</v>
      </c>
      <c r="AU226" s="4">
        <v>98.076415809853643</v>
      </c>
      <c r="AW226" s="6">
        <v>58017544</v>
      </c>
      <c r="BC226" s="6">
        <v>6201.2560000000003</v>
      </c>
      <c r="BD226" s="6"/>
      <c r="BE226" s="6">
        <v>6201.2560000000003</v>
      </c>
      <c r="BF226" s="6">
        <v>31860.665323282894</v>
      </c>
      <c r="BH226" s="6">
        <v>274207.2</v>
      </c>
      <c r="BI226" s="6">
        <v>207258.4032</v>
      </c>
      <c r="BK226" s="6">
        <v>2846</v>
      </c>
      <c r="BL226" s="6">
        <v>302676</v>
      </c>
      <c r="BM226" s="6">
        <v>191546</v>
      </c>
      <c r="BO226" s="6">
        <v>978533.60320000001</v>
      </c>
      <c r="BP226" s="6">
        <v>7605.9896428315824</v>
      </c>
      <c r="BQ226" s="6">
        <v>987642.32510705979</v>
      </c>
      <c r="BT226" s="6">
        <v>9288289</v>
      </c>
      <c r="BV226" s="6">
        <v>9288289</v>
      </c>
      <c r="BW226" s="4">
        <v>34.867573925828076</v>
      </c>
      <c r="BX226" s="6">
        <v>9288289</v>
      </c>
      <c r="CC226" s="6">
        <v>2723714.2546482538</v>
      </c>
      <c r="CD226" s="6">
        <v>11272000</v>
      </c>
      <c r="CE226" s="6">
        <v>724186529.41176498</v>
      </c>
      <c r="CF226" s="6">
        <v>1500000</v>
      </c>
      <c r="CG226" s="6">
        <v>739682243.66641319</v>
      </c>
      <c r="CH226" s="4">
        <v>92.066643224043702</v>
      </c>
      <c r="CO226" s="6">
        <v>821197</v>
      </c>
      <c r="CP226" s="6">
        <v>5862337</v>
      </c>
      <c r="CR226" s="6">
        <v>6683534</v>
      </c>
      <c r="CS226" s="15">
        <v>168.02495773111397</v>
      </c>
      <c r="CT226" s="6">
        <v>6683534</v>
      </c>
      <c r="CX226" s="6">
        <v>218563.11600000001</v>
      </c>
      <c r="CY226" s="6">
        <v>218563.11600000001</v>
      </c>
      <c r="CZ226" s="6">
        <v>47617.992207378469</v>
      </c>
      <c r="DA226" s="6">
        <v>18723.519275374445</v>
      </c>
      <c r="DB226" s="6">
        <v>208452.51421220918</v>
      </c>
      <c r="DD226" s="6">
        <v>465283.72491493297</v>
      </c>
      <c r="DE226" s="6">
        <v>99451.295725288903</v>
      </c>
      <c r="DG226" s="6">
        <v>27312.836335910972</v>
      </c>
      <c r="DI226" s="6">
        <v>85589.392666504995</v>
      </c>
      <c r="DJ226" s="6">
        <v>50316.622418133098</v>
      </c>
      <c r="DK226" s="6">
        <v>727953.87206077087</v>
      </c>
      <c r="DL226" s="6">
        <v>2364.6313957434359</v>
      </c>
      <c r="DM226" s="6">
        <v>660764.52433150006</v>
      </c>
      <c r="DO226" s="6">
        <v>966050.01000009605</v>
      </c>
      <c r="DP226" s="6">
        <v>141681.22937526999</v>
      </c>
      <c r="DR226" s="6">
        <v>83510.328919636391</v>
      </c>
      <c r="DT226" s="6">
        <v>84857.52533582451</v>
      </c>
      <c r="DU226" s="6">
        <v>229869</v>
      </c>
      <c r="DV226" s="6">
        <v>1505968.093630827</v>
      </c>
      <c r="DW226" s="6">
        <v>2454.7545049198138</v>
      </c>
      <c r="DX226" s="6">
        <v>1465388.1814583999</v>
      </c>
      <c r="DZ226" s="5">
        <v>5.85</v>
      </c>
      <c r="EC226" s="6">
        <v>6887</v>
      </c>
      <c r="ED226" s="2">
        <v>14</v>
      </c>
      <c r="EF226" s="6">
        <v>6906.85</v>
      </c>
      <c r="EG226" s="6">
        <v>24715.254616883009</v>
      </c>
      <c r="EJ226" s="6">
        <v>4847.8971317714013</v>
      </c>
      <c r="EL226" s="6">
        <v>1164.7576800000002</v>
      </c>
      <c r="EM226" s="6">
        <v>6012.654811771401</v>
      </c>
      <c r="EN226" s="6">
        <v>88974.936965237866</v>
      </c>
      <c r="EO226" s="6">
        <v>5896.7</v>
      </c>
      <c r="EU226" s="2">
        <v>10</v>
      </c>
      <c r="EV226" s="2">
        <v>10</v>
      </c>
      <c r="EW226" s="6">
        <v>25012.262225400529</v>
      </c>
      <c r="FA226" s="6">
        <v>5623.4238999999998</v>
      </c>
      <c r="FF226" s="6">
        <v>5623.4238999999998</v>
      </c>
      <c r="FG226" s="6">
        <v>11764.705882352942</v>
      </c>
      <c r="FI226" s="200"/>
      <c r="FJ226" s="200"/>
      <c r="FK226" s="200"/>
      <c r="FL226" s="200"/>
      <c r="FN226" s="6">
        <v>2235.6</v>
      </c>
      <c r="FZ226" s="6">
        <v>13300</v>
      </c>
      <c r="GB226" s="6">
        <v>13300</v>
      </c>
      <c r="GC226" s="6">
        <v>15151.711428571429</v>
      </c>
      <c r="GE226" s="5">
        <v>14.266320984569253</v>
      </c>
      <c r="GK226" s="5">
        <f t="shared" si="367"/>
        <v>14.266320984569253</v>
      </c>
      <c r="GL226" s="6">
        <v>23772.800000000003</v>
      </c>
      <c r="GN226" s="6">
        <v>1948626.2</v>
      </c>
      <c r="GQ226" s="6">
        <v>1709</v>
      </c>
      <c r="GS226" s="6">
        <v>539591</v>
      </c>
      <c r="GT226" s="6">
        <v>2489926.2000000002</v>
      </c>
      <c r="GU226" s="5">
        <v>92.692501188249025</v>
      </c>
      <c r="HL226" s="15">
        <v>157.38862062906662</v>
      </c>
      <c r="HM226" s="15">
        <v>608.11601846121755</v>
      </c>
      <c r="HO226" s="15">
        <v>157.38862062906662</v>
      </c>
      <c r="HP226" s="15">
        <v>608.11601846121755</v>
      </c>
      <c r="HY226" s="6">
        <v>11027.37</v>
      </c>
      <c r="HZ226" s="6">
        <f t="shared" si="371"/>
        <v>11027.37</v>
      </c>
      <c r="IA226" s="6">
        <v>20510.222184817372</v>
      </c>
      <c r="IC226" s="15">
        <v>354.34698689165236</v>
      </c>
      <c r="IF226" s="5">
        <v>11.577375483637212</v>
      </c>
      <c r="IJ226" s="15">
        <v>365.92436237528955</v>
      </c>
      <c r="IK226" s="6">
        <v>41467.889908256875</v>
      </c>
      <c r="IN226" s="5">
        <v>61.395899999999997</v>
      </c>
      <c r="IP226" s="5">
        <v>61.395899999999997</v>
      </c>
      <c r="IQ226" s="6">
        <v>304447.89767568966</v>
      </c>
      <c r="JC226" s="6">
        <v>274662</v>
      </c>
      <c r="JD226" s="6">
        <v>274662</v>
      </c>
      <c r="JE226" s="15">
        <v>542.12097764555892</v>
      </c>
      <c r="JG226" s="6">
        <v>191432</v>
      </c>
      <c r="JJ226" s="35"/>
      <c r="JM226" s="6">
        <v>563371</v>
      </c>
      <c r="JO226" s="6">
        <v>123600</v>
      </c>
      <c r="JQ226" s="5">
        <v>77.383507593837408</v>
      </c>
      <c r="JR226" s="6">
        <v>14218</v>
      </c>
      <c r="JT226" s="15">
        <v>230.36932057954706</v>
      </c>
      <c r="JV226" s="6">
        <v>892621</v>
      </c>
      <c r="JW226" s="15">
        <v>230.36932057954706</v>
      </c>
      <c r="KC226" s="6">
        <v>5805</v>
      </c>
      <c r="KE226" s="6">
        <v>22090</v>
      </c>
      <c r="KG226" s="15">
        <v>807.86432775011315</v>
      </c>
      <c r="KI226" s="6">
        <v>27895</v>
      </c>
      <c r="KJ226" s="15">
        <v>807.86432775011315</v>
      </c>
      <c r="KL226" s="6">
        <v>6133</v>
      </c>
      <c r="KR226" s="6">
        <v>243355</v>
      </c>
      <c r="KV226" s="6">
        <v>45850</v>
      </c>
      <c r="KX226" s="15">
        <v>510.0471496735309</v>
      </c>
      <c r="KY226" s="6">
        <v>39801</v>
      </c>
      <c r="LA226" s="15">
        <v>904.55423230572092</v>
      </c>
      <c r="LC226" s="6">
        <v>335139</v>
      </c>
      <c r="LD226" s="15">
        <v>904.55423230572092</v>
      </c>
      <c r="LH226" s="6">
        <v>186800.70303030306</v>
      </c>
      <c r="LJ226" s="15">
        <v>839.68100399077071</v>
      </c>
      <c r="LL226" s="6">
        <v>6133</v>
      </c>
      <c r="LR226" s="6">
        <v>128064</v>
      </c>
      <c r="LV226" s="6">
        <v>272350</v>
      </c>
      <c r="LX226" s="15">
        <v>725.64329228483302</v>
      </c>
      <c r="LY226" s="6">
        <v>203938</v>
      </c>
      <c r="MA226" s="15">
        <v>587.86311526052032</v>
      </c>
      <c r="MC226" s="6">
        <v>610485</v>
      </c>
    </row>
    <row r="227" spans="1:355" x14ac:dyDescent="0.25">
      <c r="A227" s="2">
        <v>2015</v>
      </c>
      <c r="B227" s="6">
        <v>18348.343351243751</v>
      </c>
      <c r="C227" s="6">
        <v>34429.741141341954</v>
      </c>
      <c r="D227" s="6">
        <v>7013.6466489895301</v>
      </c>
      <c r="E227" s="6">
        <v>1621.9528315824668</v>
      </c>
      <c r="F227" s="6">
        <v>11789.616105378571</v>
      </c>
      <c r="G227" s="6">
        <v>187693.63078621798</v>
      </c>
      <c r="H227" s="6">
        <v>16475.261074780541</v>
      </c>
      <c r="I227" s="6">
        <v>277372.19193953479</v>
      </c>
      <c r="J227" s="6">
        <v>49629.84898757968</v>
      </c>
      <c r="K227" s="6">
        <v>301922.07027490286</v>
      </c>
      <c r="M227" s="6">
        <v>968158.62610860402</v>
      </c>
      <c r="N227" s="6">
        <v>173026.18060525911</v>
      </c>
      <c r="P227" s="6">
        <v>81575.411545044306</v>
      </c>
      <c r="Q227" s="6">
        <v>57530.833670452797</v>
      </c>
      <c r="R227" s="6">
        <v>99487.899486541181</v>
      </c>
      <c r="S227" s="6">
        <v>50518.811264975899</v>
      </c>
      <c r="T227" s="6">
        <v>1430297.7626808761</v>
      </c>
      <c r="U227" s="15">
        <v>670.18288332022291</v>
      </c>
      <c r="V227" s="6">
        <v>1253083.49997797</v>
      </c>
      <c r="W227" s="209"/>
      <c r="X227" s="6">
        <v>27663251</v>
      </c>
      <c r="AA227" s="6">
        <v>45748546.300000004</v>
      </c>
      <c r="AB227" s="34">
        <v>7497463.71</v>
      </c>
      <c r="AC227" s="6">
        <f t="shared" si="368"/>
        <v>80909261.010000005</v>
      </c>
      <c r="AD227" s="4">
        <v>39.369677686233025</v>
      </c>
      <c r="AE227" s="5">
        <v>51.091641417126951</v>
      </c>
      <c r="AG227" s="6">
        <v>6611000</v>
      </c>
      <c r="AI227" s="6">
        <v>13778494</v>
      </c>
      <c r="AJ227" s="6"/>
      <c r="AK227" s="6">
        <v>20389494</v>
      </c>
      <c r="AL227" s="15">
        <v>299.81754146025531</v>
      </c>
      <c r="AN227" s="6">
        <v>313628309</v>
      </c>
      <c r="AO227" s="6">
        <v>246414782</v>
      </c>
      <c r="AQ227" s="6">
        <v>500533.33333333203</v>
      </c>
      <c r="AR227" s="6">
        <v>2910342.4999999995</v>
      </c>
      <c r="AS227" s="6">
        <v>8470462.3658536598</v>
      </c>
      <c r="AT227" s="6">
        <v>571924429.19918704</v>
      </c>
      <c r="AU227" s="4">
        <v>95.352502869412092</v>
      </c>
      <c r="AW227" s="6">
        <v>60958000</v>
      </c>
      <c r="BC227" s="6">
        <v>5720.6859999999997</v>
      </c>
      <c r="BD227" s="6"/>
      <c r="BE227" s="6">
        <v>5720.6859999999997</v>
      </c>
      <c r="BF227" s="6">
        <v>34868.536920222505</v>
      </c>
      <c r="BH227" s="6">
        <v>282238</v>
      </c>
      <c r="BI227" s="6">
        <v>221719</v>
      </c>
      <c r="BK227" s="6">
        <v>2936.8222943606761</v>
      </c>
      <c r="BL227" s="6">
        <v>293272.22924000002</v>
      </c>
      <c r="BM227" s="6">
        <v>195715</v>
      </c>
      <c r="BO227" s="6">
        <v>995881.05153436004</v>
      </c>
      <c r="BP227" s="6">
        <v>7233.7489706850392</v>
      </c>
      <c r="BQ227" s="6">
        <v>960326.85735739581</v>
      </c>
      <c r="BT227" s="6">
        <v>13559828</v>
      </c>
      <c r="BV227" s="6">
        <v>13559828</v>
      </c>
      <c r="BW227" s="4">
        <v>27.721155237889295</v>
      </c>
      <c r="BX227" s="6">
        <v>13559828</v>
      </c>
      <c r="CC227" s="6">
        <v>2923207.5676851161</v>
      </c>
      <c r="CD227" s="6">
        <v>9122000</v>
      </c>
      <c r="CE227" s="6">
        <v>797836555.24269295</v>
      </c>
      <c r="CG227" s="6">
        <v>809881762.81037807</v>
      </c>
      <c r="CH227" s="4">
        <v>64.033021695944015</v>
      </c>
      <c r="CO227" s="6">
        <v>543408</v>
      </c>
      <c r="CP227" s="6">
        <v>5813536.6666666679</v>
      </c>
      <c r="CR227" s="6">
        <v>6356944.6666666679</v>
      </c>
      <c r="CS227" s="15">
        <v>197.78146306512471</v>
      </c>
      <c r="CT227" s="6">
        <v>6356944.6666666679</v>
      </c>
      <c r="CX227" s="6">
        <v>173974.19099999999</v>
      </c>
      <c r="CY227" s="6">
        <v>173974.19099999999</v>
      </c>
      <c r="CZ227" s="6">
        <v>51252.759001046215</v>
      </c>
      <c r="DA227" s="6">
        <v>15469.697034633598</v>
      </c>
      <c r="DB227" s="6">
        <v>194729.21386387097</v>
      </c>
      <c r="DD227" s="6">
        <v>459640.52671750996</v>
      </c>
      <c r="DE227" s="6">
        <v>97103.919659032195</v>
      </c>
      <c r="DG227" s="6">
        <v>24180</v>
      </c>
      <c r="DI227" s="6">
        <v>19353.923349721601</v>
      </c>
      <c r="DJ227" s="6">
        <v>53209.999999999993</v>
      </c>
      <c r="DK227" s="6">
        <v>653488.36972626369</v>
      </c>
      <c r="DL227" s="6">
        <v>2426.0996504887739</v>
      </c>
      <c r="DM227" s="6">
        <v>605844.71405000007</v>
      </c>
      <c r="DO227" s="6">
        <v>984029.99202161096</v>
      </c>
      <c r="DP227" s="6">
        <v>153576.1779497329</v>
      </c>
      <c r="DR227" s="6">
        <v>97864</v>
      </c>
      <c r="DT227" s="6">
        <v>101857</v>
      </c>
      <c r="DU227" s="6">
        <v>272677</v>
      </c>
      <c r="DV227" s="6">
        <v>1610004.1699713438</v>
      </c>
      <c r="DW227" s="6">
        <v>2606.9644340187083</v>
      </c>
      <c r="DX227" s="6">
        <v>1554452.8480799999</v>
      </c>
      <c r="DZ227" s="5">
        <v>0.65</v>
      </c>
      <c r="EC227" s="6">
        <v>6816</v>
      </c>
      <c r="ED227" s="5">
        <v>21.766999999999999</v>
      </c>
      <c r="EF227" s="6">
        <v>6838.4169999999995</v>
      </c>
      <c r="EG227" s="6">
        <v>22827.677624932516</v>
      </c>
      <c r="EJ227" s="6">
        <v>4662.3769484122031</v>
      </c>
      <c r="EL227" s="6">
        <v>2004.58296</v>
      </c>
      <c r="EM227" s="6">
        <v>6666.9599084122028</v>
      </c>
      <c r="EN227" s="6">
        <v>115037.1325912332</v>
      </c>
      <c r="EO227" s="6">
        <v>6689</v>
      </c>
      <c r="FA227" s="6">
        <v>5798.2492000000002</v>
      </c>
      <c r="FF227" s="6">
        <v>5798.2492000000002</v>
      </c>
      <c r="FG227" s="6">
        <v>12676.056338028169</v>
      </c>
      <c r="FI227" s="200"/>
      <c r="FJ227" s="200"/>
      <c r="FK227" s="200"/>
      <c r="FL227" s="200"/>
      <c r="FN227" s="6">
        <v>1890</v>
      </c>
      <c r="FS227" s="5">
        <v>20</v>
      </c>
      <c r="FV227" s="5">
        <v>20</v>
      </c>
      <c r="FZ227" s="6">
        <v>14100</v>
      </c>
      <c r="GB227" s="6">
        <v>14100</v>
      </c>
      <c r="GC227" s="6">
        <v>17033.919999999998</v>
      </c>
      <c r="GN227" s="6">
        <v>1025860</v>
      </c>
      <c r="GQ227" s="6">
        <v>1861</v>
      </c>
      <c r="GS227" s="6">
        <v>674757</v>
      </c>
      <c r="GT227" s="6">
        <v>1702478</v>
      </c>
      <c r="GU227" s="15">
        <v>103.65535228053791</v>
      </c>
      <c r="HL227" s="15">
        <v>109.62738947983252</v>
      </c>
      <c r="HM227" s="15">
        <v>423.57682110888896</v>
      </c>
      <c r="HO227" s="15">
        <v>109.62738947983252</v>
      </c>
      <c r="HP227" s="15">
        <v>423.57682110888896</v>
      </c>
      <c r="HY227" s="6">
        <v>16029.377</v>
      </c>
      <c r="HZ227" s="6">
        <f t="shared" si="371"/>
        <v>16029.377</v>
      </c>
      <c r="IA227" s="6">
        <v>17219.397434924489</v>
      </c>
      <c r="IC227" s="15">
        <v>319.1707967235601</v>
      </c>
      <c r="IF227" s="5">
        <v>22.885140853271913</v>
      </c>
      <c r="IJ227" s="15">
        <v>342.05593757683204</v>
      </c>
      <c r="IK227" s="6">
        <v>31764.705882352944</v>
      </c>
      <c r="IN227" s="15">
        <v>176.3078538</v>
      </c>
      <c r="IP227" s="15">
        <v>176.3078538</v>
      </c>
      <c r="IQ227" s="6">
        <v>321032.32464838511</v>
      </c>
      <c r="JC227" s="6">
        <v>283108</v>
      </c>
      <c r="JD227" s="6">
        <v>283108</v>
      </c>
      <c r="JE227" s="15">
        <v>705.99905293437234</v>
      </c>
      <c r="JG227" s="6">
        <v>185248</v>
      </c>
      <c r="JJ227" s="35"/>
      <c r="JM227" s="6">
        <v>383369</v>
      </c>
      <c r="JO227" s="6">
        <v>121937.4</v>
      </c>
      <c r="JQ227" s="15">
        <v>133.5606456995213</v>
      </c>
      <c r="JR227" s="6">
        <v>188333</v>
      </c>
      <c r="JT227" s="15">
        <v>224.02672925084823</v>
      </c>
      <c r="JV227" s="6">
        <v>878887.4</v>
      </c>
      <c r="JW227" s="15">
        <v>224.02672925084823</v>
      </c>
      <c r="KA227" s="6">
        <v>4219.0000000000009</v>
      </c>
      <c r="KB227" s="15">
        <v>119.18385650224221</v>
      </c>
      <c r="KC227" s="6">
        <v>1858</v>
      </c>
      <c r="KE227" s="6">
        <v>21593</v>
      </c>
      <c r="KG227" s="15">
        <v>919.69290973926741</v>
      </c>
      <c r="KI227" s="6">
        <v>27670</v>
      </c>
      <c r="KJ227" s="15">
        <v>919.69290973926741</v>
      </c>
      <c r="KL227" s="6">
        <v>51403</v>
      </c>
      <c r="KR227" s="6">
        <v>85983</v>
      </c>
      <c r="KV227" s="6">
        <v>34428.050000000003</v>
      </c>
      <c r="KX227" s="15">
        <v>580.56112820512817</v>
      </c>
      <c r="KY227" s="6">
        <v>43459</v>
      </c>
      <c r="LA227" s="6">
        <v>1013.16021997745</v>
      </c>
      <c r="LC227" s="6">
        <v>215273.05</v>
      </c>
      <c r="LD227" s="6">
        <v>1013.16021997745</v>
      </c>
      <c r="LH227" s="6">
        <v>252371.61212121212</v>
      </c>
      <c r="LJ227" s="15">
        <v>961.26799018861004</v>
      </c>
      <c r="LL227" s="6">
        <v>51403</v>
      </c>
      <c r="LR227" s="6">
        <v>77162</v>
      </c>
      <c r="LV227" s="6">
        <v>261902.85</v>
      </c>
      <c r="LX227" s="15">
        <v>859.12112235525808</v>
      </c>
      <c r="LY227" s="6">
        <v>214878</v>
      </c>
      <c r="MA227" s="15">
        <v>782.48615028062432</v>
      </c>
      <c r="MC227" s="6">
        <v>605345.85</v>
      </c>
    </row>
    <row r="228" spans="1:355" x14ac:dyDescent="0.25">
      <c r="A228" s="2">
        <v>2016</v>
      </c>
      <c r="B228" s="6">
        <v>18190.586533751157</v>
      </c>
      <c r="C228" s="6">
        <v>40221.798869388804</v>
      </c>
      <c r="D228" s="6">
        <v>7974.9928073217598</v>
      </c>
      <c r="E228" s="6">
        <v>1112.5090394469798</v>
      </c>
      <c r="F228" s="6">
        <v>9826.6136870835016</v>
      </c>
      <c r="G228" s="6">
        <v>193347.25213771581</v>
      </c>
      <c r="H228" s="6">
        <v>16764.772205936089</v>
      </c>
      <c r="I228" s="6">
        <v>287438.52528064413</v>
      </c>
      <c r="J228" s="6">
        <v>54061.220842801042</v>
      </c>
      <c r="K228" s="6">
        <v>314788.99245596991</v>
      </c>
      <c r="M228" s="6">
        <v>953555.78887599183</v>
      </c>
      <c r="N228" s="6">
        <v>175463.55009210311</v>
      </c>
      <c r="P228" s="6">
        <v>84619.223647766703</v>
      </c>
      <c r="Q228" s="6">
        <v>61771</v>
      </c>
      <c r="R228" s="6">
        <v>98984.459236477094</v>
      </c>
      <c r="S228" s="6">
        <v>43825</v>
      </c>
      <c r="T228" s="6">
        <v>1418219.0218523387</v>
      </c>
      <c r="U228" s="15">
        <v>738.10048929050004</v>
      </c>
      <c r="V228" s="6">
        <v>1055334.5151908146</v>
      </c>
      <c r="W228" s="209"/>
      <c r="X228" s="6">
        <v>29426625</v>
      </c>
      <c r="AA228" s="6">
        <v>45000000</v>
      </c>
      <c r="AB228" s="34">
        <v>9090523</v>
      </c>
      <c r="AC228" s="6">
        <f t="shared" si="368"/>
        <v>83517148</v>
      </c>
      <c r="AD228" s="4">
        <v>39.981904237199288</v>
      </c>
      <c r="AE228" s="5">
        <v>42.285949775760919</v>
      </c>
      <c r="AG228" s="6">
        <v>7024000</v>
      </c>
      <c r="AI228" s="6">
        <v>13829773.890000001</v>
      </c>
      <c r="AJ228" s="6"/>
      <c r="AK228" s="6">
        <v>20853773.890000001</v>
      </c>
      <c r="AL228" s="15">
        <v>250.18706700714708</v>
      </c>
      <c r="AN228" s="6">
        <v>308090814</v>
      </c>
      <c r="AO228" s="6">
        <v>250296403.00000003</v>
      </c>
      <c r="AQ228" s="6">
        <v>500533.33333333203</v>
      </c>
      <c r="AS228" s="6">
        <v>8217704.1475609709</v>
      </c>
      <c r="AT228" s="6">
        <v>567105454.48089433</v>
      </c>
      <c r="AU228" s="4">
        <v>107.96255740492616</v>
      </c>
      <c r="AW228" s="6">
        <v>59757000</v>
      </c>
      <c r="BC228" s="6">
        <v>5139.7489999999998</v>
      </c>
      <c r="BD228" s="6"/>
      <c r="BE228" s="6">
        <v>5139.7489999999998</v>
      </c>
      <c r="BF228" s="6">
        <v>32954.658097117193</v>
      </c>
      <c r="BH228" s="6">
        <v>264142</v>
      </c>
      <c r="BI228" s="6">
        <v>212219.25</v>
      </c>
      <c r="BK228" s="6">
        <v>2134</v>
      </c>
      <c r="BL228" s="6">
        <v>290352</v>
      </c>
      <c r="BM228" s="6">
        <v>178707.75</v>
      </c>
      <c r="BO228" s="6">
        <v>947555</v>
      </c>
      <c r="BP228" s="6">
        <v>6534.8142672953427</v>
      </c>
      <c r="BQ228" s="6">
        <v>954853.36131648044</v>
      </c>
      <c r="BT228" s="6">
        <v>13958000</v>
      </c>
      <c r="BV228" s="6">
        <v>13958000</v>
      </c>
      <c r="BW228" s="4">
        <v>27.716307488897918</v>
      </c>
      <c r="BX228" s="6">
        <v>13958000</v>
      </c>
      <c r="CC228" s="6">
        <v>2606630.4229640099</v>
      </c>
      <c r="CD228" s="6">
        <v>8929706.3996678796</v>
      </c>
      <c r="CE228" s="6">
        <v>846489297.27451015</v>
      </c>
      <c r="CG228" s="6">
        <v>858025634.09714198</v>
      </c>
      <c r="CH228" s="4">
        <v>66.527017687135185</v>
      </c>
      <c r="CO228" s="6">
        <v>359233.01</v>
      </c>
      <c r="CP228" s="6">
        <v>4471500</v>
      </c>
      <c r="CR228" s="6">
        <v>4830733.01</v>
      </c>
      <c r="CS228" s="33">
        <f>829280863/5655850</f>
        <v>146.62356020757269</v>
      </c>
      <c r="CT228" s="6">
        <v>4830733.01</v>
      </c>
      <c r="CX228" s="6">
        <v>165475.67600000001</v>
      </c>
      <c r="CY228" s="6">
        <v>165475.67600000001</v>
      </c>
      <c r="CZ228" s="6">
        <v>37659.583435805078</v>
      </c>
      <c r="DA228" s="6">
        <v>12785.091756734371</v>
      </c>
      <c r="DB228" s="6">
        <v>161415.8737380103</v>
      </c>
      <c r="DD228" s="6">
        <v>292769</v>
      </c>
      <c r="DE228" s="6">
        <v>71714</v>
      </c>
      <c r="DG228" s="6">
        <v>28367.999999999996</v>
      </c>
      <c r="DI228" s="6">
        <v>5067</v>
      </c>
      <c r="DJ228" s="6">
        <v>43420</v>
      </c>
      <c r="DK228" s="6">
        <v>441338</v>
      </c>
      <c r="DL228" s="6">
        <v>2521.27628760278</v>
      </c>
      <c r="DM228" s="6">
        <v>440447.54547920002</v>
      </c>
      <c r="DO228" s="6">
        <v>389867.99999999994</v>
      </c>
      <c r="DP228" s="6">
        <v>134892.6243</v>
      </c>
      <c r="DR228" s="6">
        <v>88253.999999999985</v>
      </c>
      <c r="DT228" s="6">
        <v>78376</v>
      </c>
      <c r="DU228" s="6">
        <v>193435</v>
      </c>
      <c r="DV228" s="6">
        <v>884825.62429999991</v>
      </c>
      <c r="DW228" s="6">
        <v>2802.8854555040139</v>
      </c>
      <c r="DX228" s="6">
        <v>826447.2030789</v>
      </c>
      <c r="DZ228" s="5">
        <v>1.2897364999999998</v>
      </c>
      <c r="EC228" s="6">
        <v>6314</v>
      </c>
      <c r="ED228" s="5">
        <v>41.28</v>
      </c>
      <c r="EF228" s="6">
        <v>6356.5697364999996</v>
      </c>
      <c r="EG228" s="6">
        <v>23941.29504819465</v>
      </c>
      <c r="EJ228" s="6">
        <v>5051.4490800000003</v>
      </c>
      <c r="EL228" s="6">
        <v>2298.521808</v>
      </c>
      <c r="EM228" s="6">
        <v>7349.9708879999998</v>
      </c>
      <c r="EN228" s="6">
        <v>95158.067003872624</v>
      </c>
      <c r="EO228" s="6">
        <v>7447</v>
      </c>
      <c r="FA228" s="6">
        <v>5516.7183000000005</v>
      </c>
      <c r="FF228" s="6">
        <v>5516.7183000000005</v>
      </c>
      <c r="FG228" s="6">
        <v>10666.666666666666</v>
      </c>
      <c r="FI228" s="200"/>
      <c r="FJ228" s="200"/>
      <c r="FK228" s="200"/>
      <c r="FL228" s="200"/>
      <c r="FN228" s="6">
        <v>3005.6814810517253</v>
      </c>
      <c r="FZ228" s="6">
        <v>14000</v>
      </c>
      <c r="GB228" s="6">
        <v>14000</v>
      </c>
      <c r="GC228" s="6">
        <v>20989.97442857143</v>
      </c>
      <c r="GN228" s="6">
        <v>610975</v>
      </c>
      <c r="GQ228" s="6">
        <v>1972</v>
      </c>
      <c r="GS228" s="6">
        <v>508201</v>
      </c>
      <c r="GT228" s="6">
        <v>1121148</v>
      </c>
      <c r="GU228" s="15">
        <v>109.59197856371806</v>
      </c>
      <c r="HL228" s="15">
        <v>156.71178876386375</v>
      </c>
      <c r="HM228" s="15">
        <v>605.50088467715</v>
      </c>
      <c r="HO228" s="15">
        <v>156.71178876386375</v>
      </c>
      <c r="HP228" s="15">
        <v>605.50088467715</v>
      </c>
      <c r="HY228" s="6">
        <v>23274.07</v>
      </c>
      <c r="HZ228" s="6">
        <f t="shared" si="371"/>
        <v>23274.07</v>
      </c>
      <c r="IA228" s="6">
        <v>16641.36046158518</v>
      </c>
      <c r="IC228" s="15">
        <v>272.14762095782817</v>
      </c>
      <c r="IF228" s="5">
        <v>14.628013923575617</v>
      </c>
      <c r="IJ228" s="15">
        <v>286.77563488140379</v>
      </c>
      <c r="IK228" s="6">
        <f>148/0.00793</f>
        <v>18663.303909205548</v>
      </c>
      <c r="IN228" s="5">
        <v>27.522300000000001</v>
      </c>
      <c r="IP228" s="5">
        <v>27.522300000000001</v>
      </c>
      <c r="IQ228" s="6">
        <v>318518.55838716083</v>
      </c>
      <c r="JC228" s="6">
        <v>574659.56999999995</v>
      </c>
      <c r="JD228" s="6">
        <v>574659.56999999995</v>
      </c>
      <c r="JE228" s="15">
        <v>695.07227783638916</v>
      </c>
      <c r="JG228" s="6">
        <v>165119.00000000003</v>
      </c>
      <c r="JJ228" s="35"/>
      <c r="JM228" s="6">
        <v>57763</v>
      </c>
      <c r="JO228" s="6">
        <v>113000</v>
      </c>
      <c r="JQ228" s="15">
        <v>145.91363844928878</v>
      </c>
      <c r="JR228" s="6">
        <v>167959.25</v>
      </c>
      <c r="JT228" s="15">
        <v>227.55655315202944</v>
      </c>
      <c r="JV228" s="6">
        <v>503841.25</v>
      </c>
      <c r="JW228" s="15">
        <v>227.55655315202944</v>
      </c>
      <c r="KC228" s="2">
        <v>554</v>
      </c>
      <c r="KD228" s="2">
        <v>8</v>
      </c>
      <c r="KE228" s="6">
        <v>7053.66</v>
      </c>
      <c r="KG228" s="15">
        <v>875.56530935712806</v>
      </c>
      <c r="KI228" s="6">
        <v>7607.66</v>
      </c>
      <c r="KJ228" s="15">
        <v>875.56530935712806</v>
      </c>
      <c r="KL228" s="6">
        <v>37489.000000000007</v>
      </c>
      <c r="KR228" s="6">
        <v>90318</v>
      </c>
      <c r="KV228" s="6">
        <v>37600</v>
      </c>
      <c r="KX228" s="15">
        <v>544.44126829268293</v>
      </c>
      <c r="KY228" s="6">
        <v>27312.06</v>
      </c>
      <c r="LA228" s="15">
        <v>954.55546011542151</v>
      </c>
      <c r="LC228" s="6">
        <v>192719.06</v>
      </c>
      <c r="LD228" s="15">
        <v>954.55546011542151</v>
      </c>
      <c r="LH228" s="6">
        <v>286956.36363636371</v>
      </c>
      <c r="LJ228" s="15">
        <v>913.16696619040283</v>
      </c>
      <c r="LL228" s="6">
        <v>37489.000000000007</v>
      </c>
      <c r="LR228" s="6">
        <v>52026</v>
      </c>
      <c r="LV228" s="6">
        <v>247000</v>
      </c>
      <c r="LX228" s="15">
        <v>721.9886611050033</v>
      </c>
      <c r="LY228" s="6">
        <v>202885.74</v>
      </c>
      <c r="MA228" s="15">
        <v>591.1337386254944</v>
      </c>
      <c r="MC228" s="6">
        <v>539400.74</v>
      </c>
    </row>
    <row r="229" spans="1:355" x14ac:dyDescent="0.25">
      <c r="A229" s="2">
        <v>2017</v>
      </c>
      <c r="B229" s="6">
        <v>20165.28385807485</v>
      </c>
      <c r="C229" s="6">
        <v>33762.385014346473</v>
      </c>
      <c r="D229" s="6">
        <v>10376.212063482191</v>
      </c>
      <c r="E229" s="6">
        <v>1125.939519295817</v>
      </c>
      <c r="F229" s="6">
        <v>8443.41111793659</v>
      </c>
      <c r="G229" s="6">
        <v>201147.75705076868</v>
      </c>
      <c r="H229" s="6">
        <v>13672.962528090329</v>
      </c>
      <c r="I229" s="6">
        <v>288693.95115199493</v>
      </c>
      <c r="J229" s="6">
        <v>52822.063077345701</v>
      </c>
      <c r="K229" s="6">
        <v>314453.20677559805</v>
      </c>
      <c r="M229" s="6">
        <v>673471.05343602388</v>
      </c>
      <c r="N229" s="6">
        <v>143901.93369696708</v>
      </c>
      <c r="P229" s="6">
        <v>99066.67769310638</v>
      </c>
      <c r="Q229" s="6">
        <v>57946.070950676782</v>
      </c>
      <c r="R229" s="6">
        <v>94668.74195367271</v>
      </c>
      <c r="S229" s="6">
        <v>51121</v>
      </c>
      <c r="T229" s="6">
        <v>1120175.4777304467</v>
      </c>
      <c r="U229" s="15">
        <v>717.31377211017093</v>
      </c>
      <c r="V229" s="6">
        <v>813354.60894978</v>
      </c>
      <c r="W229" s="209"/>
      <c r="X229" s="6">
        <v>30897780.002900004</v>
      </c>
      <c r="AA229" s="6">
        <v>47322000</v>
      </c>
      <c r="AB229" s="34">
        <v>11200809</v>
      </c>
      <c r="AC229" s="6">
        <f t="shared" si="368"/>
        <v>89420589.002900004</v>
      </c>
      <c r="AD229" s="4">
        <v>40.148872577230605</v>
      </c>
      <c r="AE229" s="5">
        <v>40.404046561030036</v>
      </c>
      <c r="AG229" s="6">
        <v>6933000</v>
      </c>
      <c r="AI229" s="6">
        <v>13847004.060000001</v>
      </c>
      <c r="AJ229" s="6"/>
      <c r="AK229" s="6">
        <v>20780004.060000002</v>
      </c>
      <c r="AL229" s="15">
        <v>350.39198127656573</v>
      </c>
      <c r="AN229" s="6">
        <v>304713215</v>
      </c>
      <c r="AO229" s="6">
        <v>245687883</v>
      </c>
      <c r="AQ229" s="6">
        <v>500533.33333333203</v>
      </c>
      <c r="AS229" s="6">
        <v>8310567.292682929</v>
      </c>
      <c r="AT229" s="6">
        <v>559212198.62601626</v>
      </c>
      <c r="AU229" s="4">
        <v>153.16115569238733</v>
      </c>
      <c r="AW229" s="6">
        <v>56095000</v>
      </c>
      <c r="BC229" s="6">
        <v>5033.8279999999995</v>
      </c>
      <c r="BD229" s="6"/>
      <c r="BE229" s="6">
        <v>5033.8279999999995</v>
      </c>
      <c r="BF229" s="6">
        <v>75731.668622765821</v>
      </c>
      <c r="BH229" s="6">
        <v>222770</v>
      </c>
      <c r="BI229" s="6">
        <v>181965.27605799993</v>
      </c>
      <c r="BK229" s="6">
        <v>1321</v>
      </c>
      <c r="BL229" s="6">
        <v>266005</v>
      </c>
      <c r="BM229" s="6">
        <v>177059.69759999998</v>
      </c>
      <c r="BO229" s="6">
        <v>849120.97365799907</v>
      </c>
      <c r="BP229" s="6">
        <v>7966.4626779776536</v>
      </c>
      <c r="BQ229" s="6">
        <v>899119.37714708003</v>
      </c>
      <c r="BT229" s="6">
        <v>17135000</v>
      </c>
      <c r="BV229" s="6">
        <v>17135000</v>
      </c>
      <c r="BW229" s="4">
        <v>17.25444061232999</v>
      </c>
      <c r="BX229" s="6">
        <v>17135000</v>
      </c>
      <c r="CC229" s="6">
        <v>2060284.8755028816</v>
      </c>
      <c r="CD229" s="6">
        <v>6000000</v>
      </c>
      <c r="CE229" s="6">
        <v>876807170.17583108</v>
      </c>
      <c r="CG229" s="6">
        <v>884867455.0513339</v>
      </c>
      <c r="CH229" s="4">
        <v>76.291886309918752</v>
      </c>
      <c r="CO229" s="6">
        <v>189450.23999999999</v>
      </c>
      <c r="CP229" s="6">
        <v>5450149</v>
      </c>
      <c r="CR229" s="6">
        <v>5639599.2400000002</v>
      </c>
      <c r="CS229" s="33">
        <f>1484958711/5366762</f>
        <v>276.69546572029839</v>
      </c>
      <c r="CT229" s="6">
        <v>5639599.2400000002</v>
      </c>
      <c r="CX229" s="6">
        <v>165182.95699999999</v>
      </c>
      <c r="CY229" s="6">
        <v>165182.95699999999</v>
      </c>
      <c r="CZ229" s="6">
        <v>20282.580420987797</v>
      </c>
      <c r="DA229" s="6">
        <v>13673.761592661538</v>
      </c>
      <c r="DB229" s="6">
        <v>171644.86108583939</v>
      </c>
      <c r="DD229" s="6">
        <v>234779.77830479472</v>
      </c>
      <c r="DE229" s="6">
        <v>77716.193951909401</v>
      </c>
      <c r="DG229" s="6">
        <v>30058</v>
      </c>
      <c r="DI229" s="6">
        <v>7872</v>
      </c>
      <c r="DJ229" s="6">
        <v>44763.999999999993</v>
      </c>
      <c r="DK229" s="6">
        <v>395189.97225670412</v>
      </c>
      <c r="DL229" s="6">
        <v>3008.8812495040843</v>
      </c>
      <c r="DM229" s="6">
        <v>380887.27089069999</v>
      </c>
      <c r="DO229" s="6">
        <v>327907.74463429238</v>
      </c>
      <c r="DP229" s="6">
        <v>146581.43315145469</v>
      </c>
      <c r="DR229" s="6">
        <v>82261.730196503806</v>
      </c>
      <c r="DT229" s="6">
        <v>85434.3671875</v>
      </c>
      <c r="DU229" s="6">
        <v>209978.99999999997</v>
      </c>
      <c r="DV229" s="6">
        <v>852164.27516975091</v>
      </c>
      <c r="DW229" s="6">
        <v>3802.420595483446</v>
      </c>
      <c r="DX229" s="6">
        <v>745060.37554199994</v>
      </c>
      <c r="DZ229" s="4">
        <v>0.17225000000000001</v>
      </c>
      <c r="EC229" s="6">
        <v>7082</v>
      </c>
      <c r="ED229" s="2">
        <v>21.1</v>
      </c>
      <c r="EF229" s="6">
        <v>7103.27225</v>
      </c>
      <c r="EG229" s="6">
        <v>26170.03616776226</v>
      </c>
      <c r="EJ229" s="6">
        <v>4440.5761680000005</v>
      </c>
      <c r="EL229" s="6">
        <v>2293.5228479999996</v>
      </c>
      <c r="EM229" s="6">
        <v>6734.0990160000001</v>
      </c>
      <c r="EN229" s="6">
        <v>79227.173529389911</v>
      </c>
      <c r="EO229" s="6">
        <v>6937</v>
      </c>
      <c r="FA229" s="6">
        <v>4745.2323999999999</v>
      </c>
      <c r="FF229" s="6">
        <v>4745.2323999999999</v>
      </c>
      <c r="FG229" s="6">
        <v>11333.333333333334</v>
      </c>
      <c r="FI229" s="200"/>
      <c r="FJ229" s="200"/>
      <c r="FK229" s="200"/>
      <c r="FL229" s="200"/>
      <c r="FN229" s="6">
        <v>3317.6913226327765</v>
      </c>
      <c r="FZ229" s="6">
        <v>40000</v>
      </c>
      <c r="GB229" s="6">
        <v>40000</v>
      </c>
      <c r="GC229" s="6">
        <v>29963.214175000001</v>
      </c>
      <c r="GN229" s="6">
        <v>940827</v>
      </c>
      <c r="GQ229" s="6">
        <v>1213</v>
      </c>
      <c r="GS229" s="6">
        <v>550140</v>
      </c>
      <c r="GT229" s="6">
        <v>1492180</v>
      </c>
      <c r="GU229" s="5">
        <v>95.961648896096065</v>
      </c>
      <c r="HL229" s="15">
        <v>157.31589121171612</v>
      </c>
      <c r="HM229" s="15">
        <v>607.83500752454768</v>
      </c>
      <c r="HO229" s="15">
        <v>157.31589121171612</v>
      </c>
      <c r="HP229" s="15">
        <v>607.83500752454768</v>
      </c>
      <c r="HY229" s="6">
        <v>28429.81</v>
      </c>
      <c r="HZ229" s="6">
        <f t="shared" si="371"/>
        <v>28429.81</v>
      </c>
      <c r="IA229" s="6">
        <v>20363.149624628993</v>
      </c>
      <c r="IF229" s="5">
        <v>14.372597989104415</v>
      </c>
      <c r="IJ229" s="5">
        <v>14.372597989104415</v>
      </c>
      <c r="IK229" s="34">
        <f>245/0.00793</f>
        <v>30895.334174022701</v>
      </c>
      <c r="IN229" s="5">
        <v>52.5224282</v>
      </c>
      <c r="IP229" s="5">
        <v>52.5224282</v>
      </c>
      <c r="IQ229" s="6">
        <v>251399.46025446639</v>
      </c>
      <c r="JC229" s="6">
        <v>363572.54000000004</v>
      </c>
      <c r="JD229" s="6">
        <v>363572.54000000004</v>
      </c>
      <c r="JE229" s="15">
        <v>398.59189035164104</v>
      </c>
      <c r="JG229" s="6">
        <v>145687.99999999997</v>
      </c>
      <c r="JJ229" s="35"/>
      <c r="JM229" s="6">
        <v>44944</v>
      </c>
      <c r="JO229" s="6">
        <v>117600</v>
      </c>
      <c r="JQ229" s="15">
        <v>145.15577842186713</v>
      </c>
      <c r="JR229" s="6">
        <v>128730.5</v>
      </c>
      <c r="JT229" s="15">
        <v>224.94484989959645</v>
      </c>
      <c r="JV229" s="6">
        <v>436962.5</v>
      </c>
      <c r="JW229" s="15">
        <v>224.94484989959645</v>
      </c>
      <c r="KE229" s="6">
        <v>14882.130000000001</v>
      </c>
      <c r="KG229" s="15">
        <v>884.40397980665398</v>
      </c>
      <c r="KI229" s="6">
        <v>14882.130000000001</v>
      </c>
      <c r="KJ229" s="15">
        <v>884.40397980665398</v>
      </c>
      <c r="KL229" s="6">
        <v>39301</v>
      </c>
      <c r="KR229" s="6">
        <v>73812</v>
      </c>
      <c r="KV229" s="6">
        <v>34700</v>
      </c>
      <c r="KX229" s="15">
        <v>548.23218463199566</v>
      </c>
      <c r="KY229" s="6">
        <v>17482.63</v>
      </c>
      <c r="LA229" s="6">
        <v>1040.5757028547764</v>
      </c>
      <c r="LC229" s="6">
        <v>165295.63</v>
      </c>
      <c r="LD229" s="6">
        <v>1040.5757028547764</v>
      </c>
      <c r="LH229" s="6">
        <v>286455.59369696974</v>
      </c>
      <c r="LJ229" s="15">
        <v>949.39599296269409</v>
      </c>
      <c r="LL229" s="6">
        <v>39301</v>
      </c>
      <c r="LR229" s="6">
        <v>45597</v>
      </c>
      <c r="LV229" s="6">
        <v>213500</v>
      </c>
      <c r="LX229" s="15">
        <v>835.395289523928</v>
      </c>
      <c r="LY229" s="6">
        <v>62317.25</v>
      </c>
      <c r="MA229" s="6">
        <v>1262.3806730881097</v>
      </c>
      <c r="MC229" s="6">
        <v>360715.25</v>
      </c>
    </row>
    <row r="230" spans="1:355" x14ac:dyDescent="0.25">
      <c r="A230" s="2">
        <v>2018</v>
      </c>
      <c r="B230" s="6">
        <v>17664.564590250622</v>
      </c>
      <c r="C230" s="6">
        <v>39511.022293414666</v>
      </c>
      <c r="D230" s="6">
        <v>12989.93025046072</v>
      </c>
      <c r="E230" s="6">
        <v>1279.857857126193</v>
      </c>
      <c r="F230" s="6">
        <v>9352.1924060869496</v>
      </c>
      <c r="G230" s="6">
        <v>213475.36993693767</v>
      </c>
      <c r="H230" s="6">
        <v>15427.322846278848</v>
      </c>
      <c r="I230" s="6">
        <v>309700.26018055569</v>
      </c>
      <c r="J230" s="6">
        <v>54546.585183781404</v>
      </c>
      <c r="K230" s="6">
        <v>336313.80180688784</v>
      </c>
      <c r="M230" s="6">
        <v>753173.3</v>
      </c>
      <c r="N230" s="6">
        <v>157832.31266625319</v>
      </c>
      <c r="P230" s="6">
        <v>121354.99999999999</v>
      </c>
      <c r="Q230" s="6">
        <v>59257.999999999993</v>
      </c>
      <c r="R230" s="6">
        <v>106823.9</v>
      </c>
      <c r="S230" s="6">
        <v>56037.000000000007</v>
      </c>
      <c r="T230" s="6">
        <v>1254479.5126662531</v>
      </c>
      <c r="U230" s="15">
        <v>674.53189590908107</v>
      </c>
      <c r="V230" s="6">
        <v>891089.64131258603</v>
      </c>
      <c r="W230" s="209"/>
      <c r="X230" s="6">
        <v>32450333</v>
      </c>
      <c r="AA230" s="6">
        <v>50956600.999999993</v>
      </c>
      <c r="AB230" s="34">
        <v>12540659</v>
      </c>
      <c r="AC230" s="6">
        <f t="shared" si="368"/>
        <v>95947593</v>
      </c>
      <c r="AD230" s="4">
        <v>40.072020679038815</v>
      </c>
      <c r="AE230" s="5">
        <v>41.520587704599237</v>
      </c>
      <c r="AG230" s="6">
        <v>6800000</v>
      </c>
      <c r="AI230" s="6">
        <v>13498431.120000001</v>
      </c>
      <c r="AJ230" s="6"/>
      <c r="AK230" s="6">
        <v>20298431.120000001</v>
      </c>
      <c r="AL230" s="15">
        <v>471.12043872884669</v>
      </c>
      <c r="AN230" s="6">
        <v>319386436.61395258</v>
      </c>
      <c r="AO230" s="6">
        <v>256211430</v>
      </c>
      <c r="AQ230" s="6">
        <v>500533.33333333203</v>
      </c>
      <c r="AS230" s="6">
        <v>7884146.3414634205</v>
      </c>
      <c r="AT230" s="6">
        <v>583982546.28874946</v>
      </c>
      <c r="AU230" s="4">
        <v>172.95637003496921</v>
      </c>
      <c r="AW230" s="6">
        <v>45061000</v>
      </c>
      <c r="BC230" s="6">
        <v>4878.0980000000009</v>
      </c>
      <c r="BD230" s="6"/>
      <c r="BE230" s="6">
        <v>4878.0980000000009</v>
      </c>
      <c r="BF230" s="6">
        <v>103158.38427190269</v>
      </c>
      <c r="BH230" s="6">
        <v>245971</v>
      </c>
      <c r="BI230" s="6">
        <v>200191.13</v>
      </c>
      <c r="BK230" s="6">
        <v>1653.7924762355019</v>
      </c>
      <c r="BL230" s="6">
        <v>279488</v>
      </c>
      <c r="BM230" s="6">
        <v>183591.82523883058</v>
      </c>
      <c r="BO230" s="6">
        <v>910895.747715067</v>
      </c>
      <c r="BP230" s="6">
        <v>8691.021857374084</v>
      </c>
      <c r="BQ230" s="6">
        <v>920088.88661453151</v>
      </c>
      <c r="BT230" s="6">
        <v>14069000</v>
      </c>
      <c r="BV230" s="6">
        <v>14069000</v>
      </c>
      <c r="BW230" s="4">
        <v>16.197002698014892</v>
      </c>
      <c r="BX230" s="6">
        <v>14069000</v>
      </c>
      <c r="CC230" s="6">
        <v>1396107.4263346749</v>
      </c>
      <c r="CD230" s="6">
        <v>6000000</v>
      </c>
      <c r="CE230" s="6">
        <v>896454386.12282598</v>
      </c>
      <c r="CG230" s="6">
        <v>903850493.5491606</v>
      </c>
      <c r="CH230" s="4">
        <v>75.895394867975625</v>
      </c>
      <c r="CO230" s="6">
        <v>554744.22</v>
      </c>
      <c r="CP230" s="6">
        <v>6073040</v>
      </c>
      <c r="CR230" s="6">
        <v>6627784.2199999997</v>
      </c>
      <c r="CS230" s="33">
        <f>1974747145/6216596</f>
        <v>317.65730715008664</v>
      </c>
      <c r="CT230" s="6">
        <v>6627784.2199999997</v>
      </c>
      <c r="CX230" s="6">
        <v>149706.005</v>
      </c>
      <c r="CY230" s="6">
        <v>149706.005</v>
      </c>
      <c r="CZ230" s="6">
        <v>10316.361000000004</v>
      </c>
      <c r="DA230" s="6">
        <v>17636.51834293739</v>
      </c>
      <c r="DB230" s="6">
        <v>150155.98557000002</v>
      </c>
      <c r="DD230" s="6">
        <v>261616</v>
      </c>
      <c r="DE230" s="6">
        <v>93577</v>
      </c>
      <c r="DG230" s="6">
        <v>32894</v>
      </c>
      <c r="DI230" s="6">
        <v>8597</v>
      </c>
      <c r="DJ230" s="6">
        <v>49887.000000000007</v>
      </c>
      <c r="DK230" s="6">
        <v>446571</v>
      </c>
      <c r="DL230" s="6">
        <v>2943.0272736949987</v>
      </c>
      <c r="DM230" s="6">
        <v>423637.55723363772</v>
      </c>
      <c r="DO230" s="6">
        <v>584944.69200000004</v>
      </c>
      <c r="DP230" s="6">
        <v>131472</v>
      </c>
      <c r="DR230" s="6">
        <v>85275</v>
      </c>
      <c r="DT230" s="6">
        <v>90808</v>
      </c>
      <c r="DU230" s="6">
        <v>254281</v>
      </c>
      <c r="DV230" s="6">
        <v>1146780.692</v>
      </c>
      <c r="DW230" s="6">
        <v>3856.0790243254573</v>
      </c>
      <c r="DX230" s="6">
        <v>999155.41789583396</v>
      </c>
      <c r="DZ230" s="4">
        <v>0.81379999999999997</v>
      </c>
      <c r="EC230" s="6">
        <v>6557</v>
      </c>
      <c r="ED230" s="2">
        <v>82.1</v>
      </c>
      <c r="EF230" s="6">
        <v>6639.9138000000003</v>
      </c>
      <c r="EG230" s="6">
        <v>27390.971400820548</v>
      </c>
      <c r="EJ230" s="6">
        <v>5736.8064960000002</v>
      </c>
      <c r="EL230" s="6">
        <v>1998.5842079999998</v>
      </c>
      <c r="EM230" s="6">
        <v>7735.3907039999995</v>
      </c>
      <c r="EN230" s="6">
        <v>86350.803837953616</v>
      </c>
      <c r="EO230" s="6">
        <v>7685</v>
      </c>
      <c r="FA230" s="6">
        <v>3397.0940999999998</v>
      </c>
      <c r="FF230" s="6">
        <v>3397.0940999999998</v>
      </c>
      <c r="FG230" s="6">
        <v>11971.830985915494</v>
      </c>
      <c r="FI230" s="200"/>
      <c r="FJ230" s="200"/>
      <c r="FK230" s="200"/>
      <c r="FL230" s="200"/>
      <c r="FN230" s="6">
        <v>3406.5112480391244</v>
      </c>
      <c r="FZ230" s="6">
        <v>58800.000000000007</v>
      </c>
      <c r="GB230" s="6">
        <v>58800.000000000007</v>
      </c>
      <c r="GC230" s="6">
        <v>31683.833996598634</v>
      </c>
      <c r="GN230" s="6">
        <v>849927</v>
      </c>
      <c r="GQ230" s="6">
        <v>1040</v>
      </c>
      <c r="GS230" s="6">
        <v>555358</v>
      </c>
      <c r="GT230" s="6">
        <v>1406325</v>
      </c>
      <c r="GU230" s="5">
        <v>94.577795615429125</v>
      </c>
      <c r="HL230" s="15">
        <v>111.18164511677628</v>
      </c>
      <c r="HM230" s="15">
        <v>429.58213296581596</v>
      </c>
      <c r="HO230" s="15">
        <v>111.18164511677628</v>
      </c>
      <c r="HP230" s="15">
        <v>429.58213296581596</v>
      </c>
      <c r="HY230" s="6">
        <v>29932.472000000002</v>
      </c>
      <c r="HZ230" s="6">
        <f t="shared" si="371"/>
        <v>29932.472000000002</v>
      </c>
      <c r="IA230" s="6">
        <v>20055.233360950013</v>
      </c>
      <c r="IF230" s="5">
        <v>14.372597989104415</v>
      </c>
      <c r="IJ230" s="5">
        <v>14.372597989104415</v>
      </c>
      <c r="IK230" s="34">
        <f>326/0.00793</f>
        <v>41109.709962168978</v>
      </c>
      <c r="IN230" s="5">
        <v>82.838594499999999</v>
      </c>
      <c r="IP230" s="5">
        <v>82.838594499999999</v>
      </c>
      <c r="IQ230" s="6">
        <v>285991.92117707833</v>
      </c>
      <c r="JC230" s="6">
        <v>360132.95999999996</v>
      </c>
      <c r="JD230" s="6">
        <v>360132.95999999996</v>
      </c>
      <c r="JE230" s="15">
        <v>287.32833202370017</v>
      </c>
      <c r="JG230" s="6">
        <v>105399</v>
      </c>
      <c r="JJ230" s="35"/>
      <c r="JM230" s="6">
        <v>24390</v>
      </c>
      <c r="JO230" s="6">
        <v>121700</v>
      </c>
      <c r="JQ230" s="15">
        <v>144.51669023069761</v>
      </c>
      <c r="JR230" s="6">
        <v>182509</v>
      </c>
      <c r="JT230" s="15">
        <v>233.5753743650998</v>
      </c>
      <c r="JV230" s="6">
        <v>433998</v>
      </c>
      <c r="JW230" s="15">
        <v>233.5753743650998</v>
      </c>
      <c r="KE230" s="6">
        <v>8032.905999999999</v>
      </c>
      <c r="KG230" s="6">
        <v>1182.7605103308817</v>
      </c>
      <c r="KI230" s="6">
        <v>8032.905999999999</v>
      </c>
      <c r="KJ230" s="6">
        <v>1182.7605103308817</v>
      </c>
      <c r="KL230" s="6">
        <v>33127</v>
      </c>
      <c r="KR230" s="6">
        <v>48381</v>
      </c>
      <c r="KV230" s="6">
        <v>38000</v>
      </c>
      <c r="KX230" s="15">
        <v>604.00166147455866</v>
      </c>
      <c r="KY230" s="6">
        <v>25631.200000000001</v>
      </c>
      <c r="LA230" s="6">
        <v>1155.2528949093291</v>
      </c>
      <c r="LC230" s="6">
        <v>145139.20000000001</v>
      </c>
      <c r="LD230" s="6">
        <v>1155.2528949093291</v>
      </c>
      <c r="LH230" s="6">
        <v>260029.59175757578</v>
      </c>
      <c r="LJ230" s="6">
        <v>1062.5097764043294</v>
      </c>
      <c r="LL230" s="6">
        <v>33127</v>
      </c>
      <c r="LR230" s="6">
        <v>27515</v>
      </c>
      <c r="LV230" s="6">
        <v>289100</v>
      </c>
      <c r="LX230" s="6">
        <v>1300.8567805531629</v>
      </c>
      <c r="LY230" s="6">
        <v>97328.238000000012</v>
      </c>
      <c r="MA230" s="6">
        <v>1702.171809583155</v>
      </c>
      <c r="MC230" s="6">
        <v>447070.23800000001</v>
      </c>
    </row>
    <row r="231" spans="1:355" x14ac:dyDescent="0.25">
      <c r="A231" s="2">
        <v>2019</v>
      </c>
      <c r="B231" s="6">
        <v>14988.608352837809</v>
      </c>
      <c r="C231" s="6">
        <v>41326.127695310388</v>
      </c>
      <c r="D231" s="6">
        <v>24006.376212063489</v>
      </c>
      <c r="E231" s="6">
        <v>1883.132586331579</v>
      </c>
      <c r="F231" s="6">
        <v>8544.6840275887789</v>
      </c>
      <c r="G231" s="6">
        <v>218339.72768908969</v>
      </c>
      <c r="H231" s="6">
        <v>15551.736740200469</v>
      </c>
      <c r="I231" s="6">
        <v>324640.3933034222</v>
      </c>
      <c r="J231" s="6">
        <v>64686.48759773541</v>
      </c>
      <c r="K231" s="6">
        <v>350922.03663158132</v>
      </c>
      <c r="M231" s="6">
        <v>833897.59999999986</v>
      </c>
      <c r="N231" s="6">
        <v>155864</v>
      </c>
      <c r="P231" s="6">
        <v>94281</v>
      </c>
      <c r="Q231" s="6">
        <v>58954</v>
      </c>
      <c r="R231" s="6">
        <v>106734.89999999998</v>
      </c>
      <c r="S231" s="6">
        <v>75357</v>
      </c>
      <c r="T231" s="6">
        <v>1325088.5</v>
      </c>
      <c r="U231" s="15">
        <v>750.82800871791687</v>
      </c>
      <c r="V231" s="6">
        <v>875115.03234429006</v>
      </c>
      <c r="W231" s="209"/>
      <c r="X231" s="6">
        <v>40794596.956</v>
      </c>
      <c r="AA231" s="6">
        <v>52548000</v>
      </c>
      <c r="AB231" s="34">
        <v>12201189.91</v>
      </c>
      <c r="AC231" s="6">
        <f t="shared" si="368"/>
        <v>105543786.866</v>
      </c>
      <c r="AD231" s="4">
        <v>41.0157909137628</v>
      </c>
      <c r="AE231" s="5">
        <v>40.272940060323748</v>
      </c>
      <c r="AG231" s="6">
        <v>6545000</v>
      </c>
      <c r="AI231" s="6">
        <v>14014470.482999999</v>
      </c>
      <c r="AJ231" s="6"/>
      <c r="AK231" s="6">
        <v>20559470.482999999</v>
      </c>
      <c r="AL231" s="15">
        <v>333.43820504384996</v>
      </c>
      <c r="AN231" s="6">
        <v>323724291.84408635</v>
      </c>
      <c r="AO231" s="6">
        <v>258150072.00000003</v>
      </c>
      <c r="AQ231" s="6">
        <v>500533.33333333203</v>
      </c>
      <c r="AS231" s="6">
        <v>7607092.6829268206</v>
      </c>
      <c r="AT231" s="6">
        <v>589981989.86034656</v>
      </c>
      <c r="AU231" s="4">
        <v>161.20210612620653</v>
      </c>
      <c r="AW231" s="6">
        <v>42256000</v>
      </c>
      <c r="BC231" s="6">
        <v>5740.6404999999995</v>
      </c>
      <c r="BD231" s="6"/>
      <c r="BE231" s="6">
        <v>5740.6404999999995</v>
      </c>
      <c r="BF231" s="6">
        <v>45427.798692497825</v>
      </c>
      <c r="BH231" s="6">
        <v>222595.62400000001</v>
      </c>
      <c r="BI231" s="6">
        <v>208872.52000000002</v>
      </c>
      <c r="BK231" s="6">
        <v>1509.1239183526229</v>
      </c>
      <c r="BL231" s="6">
        <v>321013</v>
      </c>
      <c r="BM231" s="6">
        <v>171167.2259782601</v>
      </c>
      <c r="BO231" s="6">
        <v>925157.49389661301</v>
      </c>
      <c r="BP231" s="6">
        <v>8639.0924550505806</v>
      </c>
      <c r="BQ231" s="6">
        <v>927840.57948858989</v>
      </c>
      <c r="BT231" s="6">
        <v>12999000</v>
      </c>
      <c r="BV231" s="6">
        <v>12999000</v>
      </c>
      <c r="BW231" s="4">
        <v>19.302379122948434</v>
      </c>
      <c r="BX231" s="6">
        <v>12999000</v>
      </c>
      <c r="CC231" s="6">
        <v>2251172.1213439158</v>
      </c>
      <c r="CD231" s="6">
        <v>5750000</v>
      </c>
      <c r="CE231" s="6">
        <v>909044407.12630308</v>
      </c>
      <c r="CG231" s="6">
        <v>917045579.24764705</v>
      </c>
      <c r="CH231" s="4">
        <v>115.11391013808108</v>
      </c>
      <c r="CO231" s="6">
        <v>559757.24</v>
      </c>
      <c r="CP231" s="6">
        <v>5539590</v>
      </c>
      <c r="CR231" s="6">
        <v>6099347.2400000002</v>
      </c>
      <c r="CS231" s="15">
        <f>2265350512/6589739</f>
        <v>343.76938327906464</v>
      </c>
      <c r="CT231" s="6">
        <v>6099347.2400000002</v>
      </c>
      <c r="CX231" s="6">
        <v>153502.27000000002</v>
      </c>
      <c r="CY231" s="6">
        <v>153502.27000000002</v>
      </c>
      <c r="CZ231" s="6">
        <v>5248.2782510179968</v>
      </c>
      <c r="DA231" s="6">
        <v>20390.556369245805</v>
      </c>
      <c r="DB231" s="6">
        <v>149929</v>
      </c>
      <c r="DD231" s="6">
        <v>298546.67599999998</v>
      </c>
      <c r="DE231" s="6">
        <v>95625.999999999985</v>
      </c>
      <c r="DG231" s="6">
        <v>44335.627350000002</v>
      </c>
      <c r="DI231" s="6">
        <v>7156</v>
      </c>
      <c r="DJ231" s="6">
        <v>55321</v>
      </c>
      <c r="DK231" s="6">
        <v>500985.30335</v>
      </c>
      <c r="DL231" s="6">
        <v>2899.2471580934161</v>
      </c>
      <c r="DM231" s="6">
        <v>468889.35321140004</v>
      </c>
      <c r="DO231" s="6">
        <v>751129.41500000004</v>
      </c>
      <c r="DP231" s="6">
        <v>124724.62776699029</v>
      </c>
      <c r="DR231" s="6">
        <v>101614</v>
      </c>
      <c r="DT231" s="6">
        <v>88670.999999999985</v>
      </c>
      <c r="DU231" s="6">
        <v>271182</v>
      </c>
      <c r="DV231" s="6">
        <v>1337321.0427669904</v>
      </c>
      <c r="DW231" s="6">
        <v>3672.3428507582839</v>
      </c>
      <c r="DX231" s="6">
        <v>1169806.8503027</v>
      </c>
      <c r="DZ231" s="4">
        <v>0.36855000000000004</v>
      </c>
      <c r="EC231" s="6">
        <v>7418</v>
      </c>
      <c r="ED231" s="5">
        <v>99.343999999999994</v>
      </c>
      <c r="EF231" s="6">
        <v>7517.7125500000002</v>
      </c>
      <c r="EG231" s="6">
        <v>28825.263642122809</v>
      </c>
      <c r="EJ231" s="6">
        <v>5973.9494600015996</v>
      </c>
      <c r="EL231" s="6">
        <v>1750.635792</v>
      </c>
      <c r="EM231" s="6">
        <v>7724.5852520015997</v>
      </c>
      <c r="EN231" s="6">
        <v>91850.496235979517</v>
      </c>
      <c r="EO231" s="6">
        <v>7798</v>
      </c>
      <c r="FA231" s="6">
        <v>4638.875</v>
      </c>
      <c r="FF231" s="6">
        <v>4638.875</v>
      </c>
      <c r="FG231" s="6">
        <v>10000</v>
      </c>
      <c r="FI231" s="200"/>
      <c r="FJ231" s="200"/>
      <c r="FK231" s="200"/>
      <c r="FL231" s="200"/>
      <c r="FN231" s="6">
        <v>3043.4397912964296</v>
      </c>
      <c r="FZ231" s="6">
        <v>45000</v>
      </c>
      <c r="GB231" s="6">
        <v>45000</v>
      </c>
      <c r="GC231" s="6">
        <v>29274.523133333332</v>
      </c>
      <c r="GN231" s="6">
        <v>720186</v>
      </c>
      <c r="GQ231" s="2">
        <v>462</v>
      </c>
      <c r="GS231" s="6">
        <v>259834.99999999997</v>
      </c>
      <c r="GT231" s="6">
        <v>980483</v>
      </c>
      <c r="GU231" s="5">
        <v>98.802787493949992</v>
      </c>
      <c r="HL231" s="5">
        <v>99.351850146960373</v>
      </c>
      <c r="HM231" s="15">
        <v>383.87433155359355</v>
      </c>
      <c r="HO231" s="5">
        <v>99.351850146960373</v>
      </c>
      <c r="HP231" s="15">
        <v>383.87433155359355</v>
      </c>
      <c r="HY231" s="6">
        <v>25954.592000000001</v>
      </c>
      <c r="HZ231" s="6">
        <f t="shared" si="371"/>
        <v>25954.592000000001</v>
      </c>
      <c r="IA231" s="6">
        <v>21420.382895792733</v>
      </c>
      <c r="IF231" s="5">
        <v>14.372597989104415</v>
      </c>
      <c r="IJ231" s="5">
        <v>14.372597989104415</v>
      </c>
      <c r="IK231" s="34">
        <f>270/0.00793</f>
        <v>34047.919293820938</v>
      </c>
      <c r="IN231" s="15">
        <v>174.04255680000003</v>
      </c>
      <c r="IP231" s="15">
        <v>174.04255680000003</v>
      </c>
      <c r="IQ231" s="6">
        <v>233998.95243492126</v>
      </c>
      <c r="JC231" s="6">
        <v>352977.57999999996</v>
      </c>
      <c r="JD231" s="6">
        <v>352977.57999999996</v>
      </c>
      <c r="JE231" s="15">
        <v>311.0296634849264</v>
      </c>
      <c r="JG231" s="6">
        <v>132689</v>
      </c>
      <c r="JJ231" s="35"/>
      <c r="JO231" s="6">
        <v>107000</v>
      </c>
      <c r="JQ231" s="15">
        <v>155.87125387844497</v>
      </c>
      <c r="JR231" s="6">
        <v>256000.87</v>
      </c>
      <c r="JT231" s="15">
        <v>193.45507693001201</v>
      </c>
      <c r="JV231" s="6">
        <v>495689.87</v>
      </c>
      <c r="JW231" s="15">
        <v>193.45507693001201</v>
      </c>
      <c r="KE231" s="6">
        <v>21137</v>
      </c>
      <c r="KG231" s="6">
        <v>1065.3124852154988</v>
      </c>
      <c r="KI231" s="6">
        <v>21137</v>
      </c>
      <c r="KJ231" s="6">
        <v>1065.3124852154988</v>
      </c>
      <c r="KL231" s="6">
        <v>37323</v>
      </c>
      <c r="KV231" s="6">
        <v>31200</v>
      </c>
      <c r="KX231" s="15">
        <v>770.01630780991206</v>
      </c>
      <c r="KY231" s="6">
        <v>27164.11</v>
      </c>
      <c r="LA231" s="6">
        <v>1258.2781471581436</v>
      </c>
      <c r="LC231" s="6">
        <v>95687.11</v>
      </c>
      <c r="LD231" s="6">
        <v>1258.2781471581436</v>
      </c>
      <c r="LH231" s="6">
        <v>212722.40645061526</v>
      </c>
      <c r="LJ231" s="6">
        <v>1029.6103608243482</v>
      </c>
      <c r="LL231" s="6">
        <v>37323</v>
      </c>
      <c r="LV231" s="6">
        <v>260200</v>
      </c>
      <c r="LX231" s="6">
        <v>1498.8958549110528</v>
      </c>
      <c r="LY231" s="6">
        <v>178149.33</v>
      </c>
      <c r="MA231" s="6">
        <v>1658.7097857735419</v>
      </c>
      <c r="MC231" s="6">
        <v>475672.32999999996</v>
      </c>
    </row>
    <row r="232" spans="1:355" x14ac:dyDescent="0.25">
      <c r="A232" s="2">
        <v>2020</v>
      </c>
      <c r="B232" s="6">
        <v>13479.903268197468</v>
      </c>
      <c r="C232" s="6">
        <v>38071.677954635561</v>
      </c>
      <c r="D232" s="6">
        <v>25871.682620156607</v>
      </c>
      <c r="E232" s="6">
        <v>3256.7202942388599</v>
      </c>
      <c r="F232" s="6">
        <v>11839.599387261571</v>
      </c>
      <c r="G232" s="6">
        <v>220010.59448862</v>
      </c>
      <c r="H232" s="6">
        <v>15421.3820828441</v>
      </c>
      <c r="I232" s="6">
        <v>327951.56009595416</v>
      </c>
      <c r="J232" s="6">
        <v>82637.944879947245</v>
      </c>
      <c r="K232" s="6">
        <v>354119.85513569077</v>
      </c>
      <c r="M232" s="6">
        <v>867551.93363933393</v>
      </c>
      <c r="N232" s="6">
        <v>155516.47876147501</v>
      </c>
      <c r="P232" s="6">
        <v>104595</v>
      </c>
      <c r="Q232" s="6">
        <v>43940.760541465686</v>
      </c>
      <c r="R232" s="6">
        <v>118983.4633577097</v>
      </c>
      <c r="S232" s="6">
        <v>46756</v>
      </c>
      <c r="T232" s="6">
        <v>1337343.636299985</v>
      </c>
      <c r="U232" s="15">
        <v>948.91882004107242</v>
      </c>
      <c r="V232" s="6">
        <v>905888.47002810007</v>
      </c>
      <c r="W232" s="209"/>
      <c r="X232" s="6">
        <v>37489531.477000006</v>
      </c>
      <c r="AA232" s="6">
        <v>53838000</v>
      </c>
      <c r="AB232" s="34">
        <v>12299279.42</v>
      </c>
      <c r="AC232" s="6">
        <f t="shared" si="368"/>
        <v>103626810.897</v>
      </c>
      <c r="AD232" s="4">
        <v>40.434765034880598</v>
      </c>
      <c r="AE232" s="5">
        <v>39.800561340988459</v>
      </c>
      <c r="AG232" s="6">
        <v>6876000</v>
      </c>
      <c r="AI232" s="6">
        <v>14242609.690000001</v>
      </c>
      <c r="AJ232" s="6"/>
      <c r="AK232" s="6">
        <v>21118609.690000001</v>
      </c>
      <c r="AL232" s="15">
        <v>270.32922795073887</v>
      </c>
      <c r="AN232" s="6">
        <v>282840552.12949854</v>
      </c>
      <c r="AO232" s="6">
        <v>251821157.99999997</v>
      </c>
      <c r="AQ232" s="6">
        <v>500533.33333333203</v>
      </c>
      <c r="AR232" s="6">
        <v>5000</v>
      </c>
      <c r="AS232" s="6">
        <v>6758410.9756097598</v>
      </c>
      <c r="AT232" s="6">
        <v>541925654.43844151</v>
      </c>
      <c r="AU232" s="4">
        <v>116.78642039499358</v>
      </c>
      <c r="AW232" s="6">
        <v>43345000</v>
      </c>
      <c r="BC232" s="6">
        <v>5625.5949999999993</v>
      </c>
      <c r="BD232" s="6"/>
      <c r="BE232" s="6">
        <v>5625.5949999999993</v>
      </c>
      <c r="BF232" s="6">
        <v>49918.32561711251</v>
      </c>
      <c r="BH232" s="6">
        <v>212171.37500000003</v>
      </c>
      <c r="BI232" s="6">
        <v>220716.04</v>
      </c>
      <c r="BK232" s="6">
        <v>2221.6950315768777</v>
      </c>
      <c r="BL232" s="6">
        <v>289354.3</v>
      </c>
      <c r="BM232" s="6">
        <v>155058.5107933098</v>
      </c>
      <c r="BO232" s="6">
        <v>879521.92082488805</v>
      </c>
      <c r="BP232" s="6">
        <v>8907.3582606741329</v>
      </c>
      <c r="BQ232" s="6">
        <v>895767.3120562348</v>
      </c>
      <c r="BT232" s="6">
        <v>10945000</v>
      </c>
      <c r="BV232" s="6">
        <v>10945000</v>
      </c>
      <c r="BW232" s="4">
        <v>13.68532111127859</v>
      </c>
      <c r="BX232" s="6">
        <v>10945000</v>
      </c>
      <c r="CC232" s="6">
        <v>2553304.3383712079</v>
      </c>
      <c r="CD232" s="6">
        <v>5750000</v>
      </c>
      <c r="CE232" s="6">
        <v>909759918.32174802</v>
      </c>
      <c r="CG232" s="6">
        <v>918063222.66011918</v>
      </c>
      <c r="CH232" s="4">
        <v>134.81243435622096</v>
      </c>
      <c r="CO232" s="6">
        <v>544180.68000000005</v>
      </c>
      <c r="CP232" s="6">
        <v>6031519</v>
      </c>
      <c r="CR232" s="6">
        <v>6575699.6799999997</v>
      </c>
      <c r="CS232" s="15">
        <f>1609821632/6248295</f>
        <v>257.64174578825106</v>
      </c>
      <c r="CT232" s="6">
        <v>6575699.6799999997</v>
      </c>
      <c r="CX232" s="6">
        <v>165478.12899999999</v>
      </c>
      <c r="CY232" s="6">
        <v>165478.12899999999</v>
      </c>
      <c r="CZ232" s="6">
        <v>3865.4990120725997</v>
      </c>
      <c r="DA232" s="6">
        <v>19897.708841474603</v>
      </c>
      <c r="DB232" s="6">
        <v>158127.90000000002</v>
      </c>
      <c r="DD232" s="6">
        <v>298841.16185186699</v>
      </c>
      <c r="DE232" s="6">
        <v>98373.694999999992</v>
      </c>
      <c r="DG232" s="6">
        <v>36783.1855</v>
      </c>
      <c r="DI232" s="6">
        <v>5384.5752563476581</v>
      </c>
      <c r="DJ232" s="6">
        <v>54888</v>
      </c>
      <c r="DK232" s="6">
        <v>494270.61760821467</v>
      </c>
      <c r="DL232" s="6">
        <v>2660.5859980973983</v>
      </c>
      <c r="DM232" s="6">
        <v>477617.1026527689</v>
      </c>
      <c r="DO232" s="6">
        <v>748352.68227829994</v>
      </c>
      <c r="DP232" s="6">
        <v>119418.17</v>
      </c>
      <c r="DR232" s="6">
        <v>88016.536213838801</v>
      </c>
      <c r="DT232" s="6">
        <v>79780.414947509693</v>
      </c>
      <c r="DU232" s="6">
        <v>279342</v>
      </c>
      <c r="DV232" s="6">
        <v>1314909.8034396484</v>
      </c>
      <c r="DW232" s="6">
        <v>3297.5335330913235</v>
      </c>
      <c r="DX232" s="6">
        <v>1251553.633595</v>
      </c>
      <c r="DZ232" s="4">
        <v>0.8547499999999999</v>
      </c>
      <c r="EC232" s="6">
        <v>7798</v>
      </c>
      <c r="ED232" s="15">
        <v>112.17400000000001</v>
      </c>
      <c r="EF232" s="6">
        <v>7911.0287500000004</v>
      </c>
      <c r="EG232" s="6">
        <v>25870.199876689538</v>
      </c>
      <c r="EJ232" s="6">
        <v>5697.8584988688008</v>
      </c>
      <c r="EL232" s="6">
        <v>1573.9245555840002</v>
      </c>
      <c r="EM232" s="6">
        <v>7271.7830544528006</v>
      </c>
      <c r="EN232" s="6">
        <v>106865.52917875149</v>
      </c>
      <c r="EO232" s="6">
        <v>7349</v>
      </c>
      <c r="FA232" s="6">
        <v>6288.4268657423872</v>
      </c>
      <c r="FF232" s="6">
        <v>6288.4268657423872</v>
      </c>
      <c r="FG232" s="6">
        <v>10000</v>
      </c>
      <c r="FI232" s="200"/>
      <c r="FJ232" s="200"/>
      <c r="FK232" s="200"/>
      <c r="FL232" s="200"/>
      <c r="FN232" s="6">
        <v>2732.5403726861609</v>
      </c>
      <c r="FZ232" s="6">
        <v>39700</v>
      </c>
      <c r="GB232" s="6">
        <v>39700</v>
      </c>
      <c r="GC232" s="6">
        <v>20724.705667506296</v>
      </c>
      <c r="GN232" s="6">
        <v>933248</v>
      </c>
      <c r="GQ232" s="6">
        <v>1034</v>
      </c>
      <c r="GS232" s="6">
        <v>353186</v>
      </c>
      <c r="GT232" s="6">
        <v>1287468</v>
      </c>
      <c r="GU232" s="15">
        <v>110.37833475610871</v>
      </c>
      <c r="HL232" s="15">
        <v>107.2522613650271</v>
      </c>
      <c r="HM232" s="15">
        <v>414.399833301652</v>
      </c>
      <c r="HO232" s="15">
        <v>107.2522613650271</v>
      </c>
      <c r="HP232" s="15">
        <v>414.399833301652</v>
      </c>
      <c r="HX232" s="6">
        <v>6322.2</v>
      </c>
      <c r="HY232" s="6">
        <v>22984.121239999997</v>
      </c>
      <c r="HZ232" s="6">
        <f t="shared" si="371"/>
        <v>29306.321239999997</v>
      </c>
      <c r="IA232" s="6">
        <v>22348.636061210913</v>
      </c>
      <c r="IC232" s="5">
        <v>56.536369919173993</v>
      </c>
      <c r="IF232" s="5">
        <v>14.372597989104415</v>
      </c>
      <c r="IJ232" s="5">
        <v>70.908967908278413</v>
      </c>
      <c r="IK232" s="34">
        <f t="shared" ref="IK232:IK233" si="372">270/0.00793</f>
        <v>34047.919293820938</v>
      </c>
      <c r="IN232" s="5">
        <v>88.531476400000003</v>
      </c>
      <c r="IP232" s="5">
        <v>88.531476400000003</v>
      </c>
      <c r="IQ232" s="6">
        <v>229894.23795762163</v>
      </c>
      <c r="JC232" s="6">
        <v>296050.51</v>
      </c>
      <c r="JD232" s="6">
        <v>296050.51</v>
      </c>
      <c r="JE232" s="15">
        <v>363.75670562914814</v>
      </c>
      <c r="JG232" s="6">
        <v>149718</v>
      </c>
      <c r="JJ232" s="35"/>
      <c r="JO232" s="6">
        <v>67700</v>
      </c>
      <c r="JR232" s="6">
        <v>332818.63</v>
      </c>
      <c r="JT232" s="15">
        <v>232.7673844459969</v>
      </c>
      <c r="JV232" s="6">
        <v>550236.63</v>
      </c>
      <c r="JW232" s="15">
        <v>232.7673844459969</v>
      </c>
      <c r="KE232" s="6">
        <v>25037.457999999999</v>
      </c>
      <c r="KG232" s="6">
        <v>1084.0635974306977</v>
      </c>
      <c r="KI232" s="6">
        <v>25037.457999999999</v>
      </c>
      <c r="KJ232" s="6">
        <v>1084.0635974306977</v>
      </c>
      <c r="KL232" s="6">
        <v>32346</v>
      </c>
      <c r="KV232" s="6">
        <v>24500</v>
      </c>
      <c r="KY232" s="6">
        <v>43342.26</v>
      </c>
      <c r="LA232" s="15">
        <v>871.2964711577107</v>
      </c>
      <c r="LC232" s="6">
        <v>100188.26000000001</v>
      </c>
      <c r="LD232" s="15">
        <v>871.2964711577107</v>
      </c>
      <c r="LH232" s="6">
        <v>317820.11660606059</v>
      </c>
      <c r="LJ232" s="6">
        <v>1019.7929873950302</v>
      </c>
      <c r="LL232" s="6">
        <v>32346</v>
      </c>
      <c r="LV232" s="6">
        <v>114900</v>
      </c>
      <c r="LY232" s="6">
        <v>189982.07</v>
      </c>
      <c r="MA232" s="6">
        <v>1495.5839569492005</v>
      </c>
      <c r="MC232" s="6">
        <v>337228.07</v>
      </c>
      <c r="MM232" s="6">
        <v>10537</v>
      </c>
      <c r="MQ232" s="6">
        <v>10537</v>
      </c>
    </row>
    <row r="233" spans="1:355" x14ac:dyDescent="0.25">
      <c r="A233" s="2">
        <v>2021</v>
      </c>
      <c r="B233" s="6">
        <v>13144.82554839311</v>
      </c>
      <c r="C233" s="6">
        <v>31928.182079733764</v>
      </c>
      <c r="D233" s="6">
        <v>21880.654142639611</v>
      </c>
      <c r="E233" s="15">
        <v>694.04290724166594</v>
      </c>
      <c r="F233" s="6">
        <v>12008.771179521471</v>
      </c>
      <c r="G233" s="6">
        <v>217647.20885204861</v>
      </c>
      <c r="H233" s="6">
        <v>14276.494327504022</v>
      </c>
      <c r="I233" s="6">
        <v>311580.17903708224</v>
      </c>
      <c r="J233" s="6">
        <v>76898.585157694048</v>
      </c>
      <c r="K233" s="6">
        <v>324125.3409722012</v>
      </c>
      <c r="M233" s="6">
        <v>895367.69184689608</v>
      </c>
      <c r="N233" s="6">
        <v>167758.4167574296</v>
      </c>
      <c r="P233" s="6">
        <v>105865.99999999999</v>
      </c>
      <c r="Q233" s="6">
        <v>46840.999999999993</v>
      </c>
      <c r="R233" s="6">
        <v>64537.500544577597</v>
      </c>
      <c r="S233" s="6">
        <v>49858.000000000007</v>
      </c>
      <c r="T233" s="6">
        <v>1330228.6091489028</v>
      </c>
      <c r="U233" s="6">
        <v>1077.2429584513825</v>
      </c>
      <c r="V233" s="6">
        <v>944991.39500000002</v>
      </c>
      <c r="W233" s="209"/>
      <c r="X233" s="6">
        <v>37122240.449999996</v>
      </c>
      <c r="AA233" s="6">
        <v>54381477</v>
      </c>
      <c r="AB233" s="34">
        <v>11762686.1</v>
      </c>
      <c r="AC233" s="6">
        <f t="shared" si="368"/>
        <v>103266403.54999998</v>
      </c>
      <c r="AD233" s="4">
        <v>40.274467223081672</v>
      </c>
      <c r="AE233" s="5">
        <v>35.782752437010608</v>
      </c>
      <c r="AG233" s="6">
        <v>6798000</v>
      </c>
      <c r="AI233" s="6">
        <v>14182620</v>
      </c>
      <c r="AJ233" s="6"/>
      <c r="AK233" s="6">
        <v>20980620</v>
      </c>
      <c r="AL233" s="15">
        <v>327.42968634952717</v>
      </c>
      <c r="AN233" s="6">
        <v>307886894.39476722</v>
      </c>
      <c r="AO233" s="6">
        <v>242291797</v>
      </c>
      <c r="AQ233" s="6">
        <v>500533.33333333203</v>
      </c>
      <c r="AR233" s="6">
        <v>8000</v>
      </c>
      <c r="AS233" s="6">
        <v>6105560.9756097598</v>
      </c>
      <c r="AT233" s="6">
        <v>556792785.70371044</v>
      </c>
      <c r="AU233" s="4">
        <v>173.62444593131815</v>
      </c>
      <c r="AW233" s="6">
        <v>43345000</v>
      </c>
      <c r="BC233" s="6">
        <v>5295.4609999999993</v>
      </c>
      <c r="BD233" s="6"/>
      <c r="BE233" s="6">
        <v>5295.4609999999993</v>
      </c>
      <c r="BF233" s="6">
        <v>71711.945192307161</v>
      </c>
      <c r="BH233" s="6">
        <v>206412.17625000002</v>
      </c>
      <c r="BI233" s="6">
        <v>190335.08000000002</v>
      </c>
      <c r="BK233" s="6">
        <v>2308.1521984723277</v>
      </c>
      <c r="BL233" s="6">
        <v>268089</v>
      </c>
      <c r="BM233" s="6">
        <v>146000.45100402832</v>
      </c>
      <c r="BO233" s="6">
        <v>813144.85945250001</v>
      </c>
      <c r="BP233" s="6">
        <v>12332.139178244521</v>
      </c>
      <c r="BQ233" s="6">
        <v>827850.57341390802</v>
      </c>
      <c r="BT233" s="6"/>
      <c r="BV233" s="6"/>
      <c r="BW233" s="4">
        <v>24.551155005579336</v>
      </c>
      <c r="CC233" s="6">
        <v>2823833.8588670227</v>
      </c>
      <c r="CD233" s="6">
        <v>5750000</v>
      </c>
      <c r="CE233" s="6">
        <v>911085189.45948899</v>
      </c>
      <c r="CF233" s="6">
        <v>2500300</v>
      </c>
      <c r="CG233" s="6">
        <v>922159323.31835604</v>
      </c>
      <c r="CH233" s="4">
        <v>177.41371961806013</v>
      </c>
      <c r="CO233" s="6">
        <v>523389.97500000003</v>
      </c>
      <c r="CP233" s="6">
        <v>5952987</v>
      </c>
      <c r="CR233" s="6">
        <v>6476376.9749999996</v>
      </c>
      <c r="CS233" s="15">
        <f>1465728648/6817183</f>
        <v>215.00503184379824</v>
      </c>
      <c r="CT233" s="6">
        <v>6476376.9749999996</v>
      </c>
      <c r="CX233" s="6">
        <v>150298.95800000001</v>
      </c>
      <c r="CY233" s="6">
        <v>150298.95800000001</v>
      </c>
      <c r="CZ233" s="15">
        <v>577.34199999997509</v>
      </c>
      <c r="DA233" s="6">
        <v>24849.515000555959</v>
      </c>
      <c r="DB233" s="6">
        <v>148559.29999999999</v>
      </c>
      <c r="DD233" s="6">
        <v>296916.35688827909</v>
      </c>
      <c r="DE233" s="6">
        <v>95526.512499999997</v>
      </c>
      <c r="DG233" s="6">
        <v>39622.383012234699</v>
      </c>
      <c r="DI233" s="6">
        <v>5972.9941253662109</v>
      </c>
      <c r="DJ233" s="6">
        <v>49525.000000000007</v>
      </c>
      <c r="DK233" s="6">
        <v>487563.24652588001</v>
      </c>
      <c r="DL233" s="6">
        <v>2950.2984250344753</v>
      </c>
      <c r="DM233" s="6">
        <v>483247.78607537842</v>
      </c>
      <c r="DO233" s="6">
        <v>756141.36069239001</v>
      </c>
      <c r="DP233" s="6">
        <v>118698.97</v>
      </c>
      <c r="DR233" s="6">
        <v>91314.54388481981</v>
      </c>
      <c r="DT233" s="6">
        <v>76132.210723877011</v>
      </c>
      <c r="DU233" s="6">
        <v>280687</v>
      </c>
      <c r="DV233" s="6">
        <v>1322974.0853010868</v>
      </c>
      <c r="DW233" s="6">
        <v>4018.160844786843</v>
      </c>
      <c r="DX233" s="6">
        <v>1227163.9620000001</v>
      </c>
      <c r="DZ233" s="4">
        <v>0.91325000000000001</v>
      </c>
      <c r="EC233" s="6">
        <v>8452</v>
      </c>
      <c r="ED233" s="5">
        <v>71.509999999999991</v>
      </c>
      <c r="EF233" s="6">
        <v>8524.4232499999998</v>
      </c>
      <c r="EG233" s="6">
        <v>44249.189122404881</v>
      </c>
      <c r="EJ233" s="6">
        <v>4041.5276873519997</v>
      </c>
      <c r="EL233" s="5">
        <v>33.992927999999999</v>
      </c>
      <c r="EM233" s="6">
        <v>4075.5206153519998</v>
      </c>
      <c r="EN233" s="6">
        <v>94123.603608220204</v>
      </c>
      <c r="EO233" s="6">
        <v>4076</v>
      </c>
      <c r="FA233" s="6">
        <v>5445.7808880884622</v>
      </c>
      <c r="FF233" s="6">
        <v>5445.7808880884622</v>
      </c>
      <c r="FG233" s="6">
        <v>10563.380281690141</v>
      </c>
      <c r="FI233" s="200"/>
      <c r="FJ233" s="200"/>
      <c r="FK233" s="200"/>
      <c r="FL233" s="200"/>
      <c r="FN233" s="6">
        <v>3212.3628725520907</v>
      </c>
      <c r="FZ233" s="6">
        <v>54999.999999999993</v>
      </c>
      <c r="GB233" s="6">
        <v>54999.999999999993</v>
      </c>
      <c r="GC233" s="6">
        <v>46831.94067272728</v>
      </c>
      <c r="GN233" s="2">
        <v>24</v>
      </c>
      <c r="GQ233" s="2">
        <v>695</v>
      </c>
      <c r="GS233" s="6">
        <v>435737</v>
      </c>
      <c r="GT233" s="6">
        <v>436456</v>
      </c>
      <c r="GU233" s="15">
        <v>100.38633976725284</v>
      </c>
      <c r="HL233" s="5">
        <v>96.704225652857929</v>
      </c>
      <c r="HM233" s="15">
        <v>373.64447593062209</v>
      </c>
      <c r="HO233" s="5">
        <v>96.704225652857929</v>
      </c>
      <c r="HP233" s="15">
        <v>373.64447593062209</v>
      </c>
      <c r="HX233" s="6">
        <v>9867.6</v>
      </c>
      <c r="HY233" s="6">
        <v>28436.900249999999</v>
      </c>
      <c r="HZ233" s="6">
        <f t="shared" si="371"/>
        <v>38304.500249999997</v>
      </c>
      <c r="IA233" s="6">
        <v>43276.812504361173</v>
      </c>
      <c r="IC233" s="5">
        <v>75</v>
      </c>
      <c r="IF233" s="5">
        <v>14.372597989104415</v>
      </c>
      <c r="IJ233" s="5">
        <v>89.37259798910442</v>
      </c>
      <c r="IK233" s="34">
        <f t="shared" si="372"/>
        <v>34047.919293820938</v>
      </c>
      <c r="IN233" s="15">
        <v>112.96492749999999</v>
      </c>
      <c r="IP233" s="15">
        <v>112.96492749999999</v>
      </c>
      <c r="IQ233" s="6">
        <v>211480.55577634595</v>
      </c>
      <c r="JC233" s="6">
        <v>321339.88</v>
      </c>
      <c r="JD233" s="6">
        <v>321339.88</v>
      </c>
      <c r="JE233" s="15">
        <v>435.00747232476226</v>
      </c>
      <c r="JG233" s="6">
        <v>56998.727271579177</v>
      </c>
      <c r="JJ233" s="35"/>
      <c r="JO233" s="6">
        <v>127700</v>
      </c>
      <c r="JR233" s="6">
        <v>264448.03000000003</v>
      </c>
      <c r="JT233" s="15">
        <v>282.09824062595584</v>
      </c>
      <c r="JV233" s="6">
        <v>449146.75727157923</v>
      </c>
      <c r="JW233" s="15">
        <v>282.09824062595584</v>
      </c>
      <c r="KE233" s="6">
        <v>17924.073</v>
      </c>
      <c r="KG233" s="6">
        <v>1219.5422881841644</v>
      </c>
      <c r="KI233" s="6">
        <v>17924.073</v>
      </c>
      <c r="KJ233" s="6">
        <v>1219.5422881841644</v>
      </c>
      <c r="KL233" s="6">
        <v>11334.607863539775</v>
      </c>
      <c r="KV233" s="6">
        <v>30300</v>
      </c>
      <c r="KY233" s="6">
        <v>66100.759999999995</v>
      </c>
      <c r="LA233" s="6">
        <v>1139.2844953673755</v>
      </c>
      <c r="LC233" s="6">
        <v>107735.36786353977</v>
      </c>
      <c r="LD233" s="6">
        <v>1139.2844953673755</v>
      </c>
      <c r="LH233" s="6">
        <v>261988.06489696971</v>
      </c>
      <c r="LJ233" s="15">
        <v>908.31843548699999</v>
      </c>
      <c r="LL233" s="6">
        <v>11334.607863539775</v>
      </c>
      <c r="LV233" s="6">
        <v>271200</v>
      </c>
      <c r="LY233" s="6">
        <v>265227.87</v>
      </c>
      <c r="MA233" s="6">
        <v>1709.7575680866419</v>
      </c>
      <c r="MC233" s="6">
        <v>547762.47786353971</v>
      </c>
      <c r="MM233" s="6">
        <v>16446</v>
      </c>
      <c r="MQ233" s="6">
        <v>16446</v>
      </c>
    </row>
    <row r="234" spans="1:355" x14ac:dyDescent="0.25">
      <c r="FI234" s="200"/>
      <c r="FJ234" s="200"/>
      <c r="FK234" s="200"/>
      <c r="FL234" s="200"/>
    </row>
    <row r="235" spans="1:355" x14ac:dyDescent="0.25">
      <c r="FI235" s="200"/>
      <c r="FJ235" s="200"/>
      <c r="FK235" s="200"/>
      <c r="FL235" s="200"/>
    </row>
    <row r="236" spans="1:355" x14ac:dyDescent="0.25">
      <c r="FI236" s="200"/>
      <c r="FJ236" s="200"/>
      <c r="FK236" s="200"/>
      <c r="FL236" s="200"/>
    </row>
    <row r="237" spans="1:355" x14ac:dyDescent="0.25">
      <c r="FI237" s="200"/>
      <c r="FJ237" s="200"/>
      <c r="FK237" s="200"/>
      <c r="FL237" s="200"/>
    </row>
    <row r="238" spans="1:355" x14ac:dyDescent="0.25">
      <c r="FI238" s="200"/>
      <c r="FJ238" s="200"/>
      <c r="FK238" s="200"/>
      <c r="FL238" s="200"/>
    </row>
    <row r="239" spans="1:355" x14ac:dyDescent="0.25">
      <c r="FI239" s="200"/>
      <c r="FJ239" s="200"/>
      <c r="FK239" s="200"/>
      <c r="FL239" s="200"/>
    </row>
    <row r="240" spans="1:355" x14ac:dyDescent="0.25">
      <c r="FI240" s="200"/>
      <c r="FJ240" s="200"/>
      <c r="FK240" s="200"/>
      <c r="FL240" s="200"/>
    </row>
    <row r="241" spans="165:168" x14ac:dyDescent="0.25">
      <c r="FI241" s="200"/>
      <c r="FJ241" s="200"/>
      <c r="FK241" s="200"/>
      <c r="FL241" s="200"/>
    </row>
    <row r="242" spans="165:168" x14ac:dyDescent="0.25">
      <c r="FI242" s="200"/>
      <c r="FJ242" s="200"/>
      <c r="FK242" s="200"/>
      <c r="FL242" s="200"/>
    </row>
  </sheetData>
  <mergeCells count="5">
    <mergeCell ref="HG8:HK8"/>
    <mergeCell ref="HB8:HF8"/>
    <mergeCell ref="GW8:HA8"/>
    <mergeCell ref="HL8:HN8"/>
    <mergeCell ref="HO8:HT8"/>
  </mergeCells>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37D0-2904-4176-82E7-9DF812DBFA96}">
  <sheetPr>
    <pageSetUpPr autoPageBreaks="0"/>
  </sheetPr>
  <dimension ref="A1:DM349"/>
  <sheetViews>
    <sheetView workbookViewId="0">
      <pane xSplit="1" ySplit="6" topLeftCell="B7" activePane="bottomRight" state="frozen"/>
      <selection pane="topRight" activeCell="B1" sqref="B1"/>
      <selection pane="bottomLeft" activeCell="A7" sqref="A7"/>
      <selection pane="bottomRight" activeCell="B7" sqref="B7"/>
    </sheetView>
  </sheetViews>
  <sheetFormatPr defaultColWidth="9.77734375" defaultRowHeight="13.2" x14ac:dyDescent="0.25"/>
  <cols>
    <col min="1" max="1" width="7.77734375" style="2" customWidth="1"/>
    <col min="2" max="9" width="12.77734375" style="2" customWidth="1"/>
    <col min="10" max="16" width="14.77734375" style="2" customWidth="1"/>
    <col min="17" max="19" width="12.77734375" style="2" customWidth="1"/>
    <col min="20" max="21" width="14.77734375" style="2" customWidth="1"/>
    <col min="22" max="39" width="12.77734375" style="2" customWidth="1"/>
    <col min="40" max="40" width="16.77734375" style="2" customWidth="1"/>
    <col min="41" max="50" width="12.77734375" style="2" customWidth="1"/>
    <col min="51" max="51" width="2.77734375" style="2" customWidth="1"/>
    <col min="52" max="54" width="9.77734375" style="2"/>
    <col min="55" max="55" width="2.77734375" style="2" customWidth="1"/>
    <col min="56" max="57" width="16.77734375" style="2" customWidth="1"/>
    <col min="58" max="62" width="12.77734375" style="2" customWidth="1"/>
    <col min="63" max="63" width="10.77734375" style="2" customWidth="1"/>
    <col min="64" max="64" width="14.77734375" style="2" customWidth="1"/>
    <col min="65" max="65" width="16.77734375" style="2" customWidth="1"/>
    <col min="66" max="66" width="12.77734375" style="2" customWidth="1"/>
    <col min="67" max="67" width="10.77734375" style="2" customWidth="1"/>
    <col min="68" max="69" width="12.77734375" style="2" customWidth="1"/>
    <col min="70" max="71" width="9.77734375" style="2"/>
    <col min="72" max="72" width="2.77734375" style="2" customWidth="1"/>
    <col min="73" max="83" width="12.77734375" style="2" customWidth="1"/>
    <col min="84" max="84" width="2.77734375" style="2" customWidth="1"/>
    <col min="85" max="94" width="12.77734375" style="2" customWidth="1"/>
    <col min="95" max="99" width="14.77734375" style="2" customWidth="1"/>
    <col min="100" max="100" width="18.77734375" style="2" customWidth="1"/>
    <col min="101" max="102" width="12.77734375" style="2" customWidth="1"/>
    <col min="103" max="103" width="10.77734375" style="2" customWidth="1"/>
    <col min="104" max="104" width="2.77734375" style="2" customWidth="1"/>
    <col min="105" max="115" width="12.77734375" style="2" customWidth="1"/>
    <col min="116" max="117" width="9.77734375" style="2"/>
    <col min="118" max="118" width="2.77734375" style="2" customWidth="1"/>
    <col min="119" max="16384" width="9.77734375" style="2"/>
  </cols>
  <sheetData>
    <row r="1" spans="1:117" x14ac:dyDescent="0.25">
      <c r="B1" s="161" t="s">
        <v>796</v>
      </c>
      <c r="C1" s="161" t="s">
        <v>796</v>
      </c>
      <c r="D1" s="161" t="s">
        <v>796</v>
      </c>
      <c r="E1" s="161" t="s">
        <v>796</v>
      </c>
      <c r="F1" s="161" t="s">
        <v>796</v>
      </c>
      <c r="G1" s="161" t="s">
        <v>796</v>
      </c>
      <c r="H1" s="161" t="s">
        <v>796</v>
      </c>
      <c r="I1" s="161" t="s">
        <v>796</v>
      </c>
      <c r="J1" s="161" t="s">
        <v>796</v>
      </c>
      <c r="K1" s="161" t="s">
        <v>796</v>
      </c>
      <c r="L1" s="161" t="s">
        <v>796</v>
      </c>
      <c r="M1" s="161" t="s">
        <v>796</v>
      </c>
      <c r="N1" s="161" t="s">
        <v>796</v>
      </c>
      <c r="O1" s="161" t="s">
        <v>796</v>
      </c>
      <c r="P1" s="161" t="s">
        <v>796</v>
      </c>
      <c r="Q1" s="161" t="s">
        <v>796</v>
      </c>
      <c r="R1" s="161" t="s">
        <v>796</v>
      </c>
      <c r="S1" s="161" t="s">
        <v>796</v>
      </c>
      <c r="T1" s="161" t="s">
        <v>796</v>
      </c>
      <c r="U1" s="161" t="s">
        <v>796</v>
      </c>
      <c r="V1" s="161" t="s">
        <v>796</v>
      </c>
      <c r="W1" s="161" t="s">
        <v>796</v>
      </c>
      <c r="X1" s="161" t="s">
        <v>796</v>
      </c>
      <c r="Y1" s="161" t="s">
        <v>796</v>
      </c>
      <c r="Z1" s="161" t="s">
        <v>796</v>
      </c>
      <c r="AA1" s="161" t="s">
        <v>796</v>
      </c>
      <c r="AB1" s="161" t="s">
        <v>796</v>
      </c>
      <c r="AC1" s="161" t="s">
        <v>796</v>
      </c>
      <c r="AD1" s="161" t="s">
        <v>796</v>
      </c>
      <c r="AE1" s="161" t="s">
        <v>796</v>
      </c>
      <c r="AF1" s="161" t="s">
        <v>796</v>
      </c>
      <c r="AG1" s="161" t="s">
        <v>796</v>
      </c>
      <c r="AH1" s="161" t="s">
        <v>796</v>
      </c>
      <c r="AI1" s="161" t="s">
        <v>796</v>
      </c>
      <c r="AJ1" s="161" t="s">
        <v>796</v>
      </c>
      <c r="AK1" s="161" t="s">
        <v>796</v>
      </c>
      <c r="AL1" s="161" t="s">
        <v>796</v>
      </c>
      <c r="AM1" s="161" t="s">
        <v>796</v>
      </c>
      <c r="AN1" s="161" t="s">
        <v>796</v>
      </c>
      <c r="AO1" s="161" t="s">
        <v>796</v>
      </c>
      <c r="AP1" s="161" t="s">
        <v>796</v>
      </c>
      <c r="AQ1" s="161" t="s">
        <v>796</v>
      </c>
      <c r="AR1" s="161" t="s">
        <v>796</v>
      </c>
      <c r="AS1" s="161" t="s">
        <v>796</v>
      </c>
      <c r="AT1" s="161" t="s">
        <v>796</v>
      </c>
      <c r="AU1" s="161" t="s">
        <v>796</v>
      </c>
      <c r="AV1" s="161" t="s">
        <v>796</v>
      </c>
      <c r="AW1" s="161" t="s">
        <v>796</v>
      </c>
      <c r="AX1" s="161" t="s">
        <v>796</v>
      </c>
      <c r="AZ1" s="157" t="s">
        <v>795</v>
      </c>
      <c r="BA1" s="157" t="s">
        <v>795</v>
      </c>
      <c r="BB1" s="157" t="s">
        <v>795</v>
      </c>
      <c r="BD1" s="45" t="s">
        <v>794</v>
      </c>
      <c r="BE1" s="45" t="s">
        <v>794</v>
      </c>
      <c r="BF1" s="45" t="s">
        <v>794</v>
      </c>
      <c r="BG1" s="45" t="s">
        <v>794</v>
      </c>
      <c r="BH1" s="45" t="s">
        <v>794</v>
      </c>
      <c r="BI1" s="45" t="s">
        <v>794</v>
      </c>
      <c r="BJ1" s="45" t="s">
        <v>794</v>
      </c>
      <c r="BK1" s="45" t="s">
        <v>794</v>
      </c>
      <c r="BL1" s="45" t="s">
        <v>794</v>
      </c>
      <c r="BM1" s="45" t="s">
        <v>794</v>
      </c>
      <c r="BN1" s="45" t="s">
        <v>794</v>
      </c>
      <c r="BO1" s="45" t="s">
        <v>794</v>
      </c>
      <c r="BP1" s="45" t="s">
        <v>794</v>
      </c>
      <c r="BQ1" s="45" t="s">
        <v>794</v>
      </c>
      <c r="BR1" s="45" t="s">
        <v>794</v>
      </c>
      <c r="BS1" s="45" t="s">
        <v>794</v>
      </c>
      <c r="BU1" s="156" t="s">
        <v>798</v>
      </c>
      <c r="BV1" s="156" t="s">
        <v>798</v>
      </c>
      <c r="BW1" s="156" t="s">
        <v>798</v>
      </c>
      <c r="BX1" s="156" t="s">
        <v>798</v>
      </c>
      <c r="BY1" s="156" t="s">
        <v>798</v>
      </c>
      <c r="BZ1" s="156" t="s">
        <v>798</v>
      </c>
      <c r="CA1" s="156" t="s">
        <v>798</v>
      </c>
      <c r="CB1" s="156" t="s">
        <v>798</v>
      </c>
      <c r="CC1" s="156" t="s">
        <v>798</v>
      </c>
      <c r="CD1" s="156" t="s">
        <v>798</v>
      </c>
      <c r="CE1" s="156" t="s">
        <v>798</v>
      </c>
      <c r="CG1" s="44" t="s">
        <v>792</v>
      </c>
      <c r="CH1" s="44" t="s">
        <v>792</v>
      </c>
      <c r="CI1" s="44" t="s">
        <v>792</v>
      </c>
      <c r="CJ1" s="44" t="s">
        <v>792</v>
      </c>
      <c r="CK1" s="44" t="s">
        <v>792</v>
      </c>
      <c r="CL1" s="44" t="s">
        <v>792</v>
      </c>
      <c r="CM1" s="44" t="s">
        <v>792</v>
      </c>
      <c r="CN1" s="44" t="s">
        <v>792</v>
      </c>
      <c r="CO1" s="44" t="s">
        <v>792</v>
      </c>
      <c r="CP1" s="44" t="s">
        <v>792</v>
      </c>
      <c r="CQ1" s="44" t="s">
        <v>792</v>
      </c>
      <c r="CR1" s="44" t="s">
        <v>792</v>
      </c>
      <c r="CS1" s="44" t="s">
        <v>792</v>
      </c>
      <c r="CT1" s="44" t="s">
        <v>792</v>
      </c>
      <c r="CU1" s="44" t="s">
        <v>792</v>
      </c>
      <c r="CV1" s="44" t="s">
        <v>792</v>
      </c>
      <c r="CW1" s="44" t="s">
        <v>792</v>
      </c>
      <c r="CX1" s="44" t="s">
        <v>792</v>
      </c>
      <c r="CY1" s="44" t="s">
        <v>792</v>
      </c>
      <c r="DA1" s="160" t="s">
        <v>797</v>
      </c>
      <c r="DB1" s="160" t="s">
        <v>797</v>
      </c>
      <c r="DC1" s="160" t="s">
        <v>797</v>
      </c>
      <c r="DD1" s="160" t="s">
        <v>797</v>
      </c>
      <c r="DE1" s="160" t="s">
        <v>797</v>
      </c>
      <c r="DF1" s="160" t="s">
        <v>797</v>
      </c>
      <c r="DG1" s="160" t="s">
        <v>797</v>
      </c>
      <c r="DH1" s="160" t="s">
        <v>797</v>
      </c>
      <c r="DI1" s="160" t="s">
        <v>797</v>
      </c>
      <c r="DJ1" s="160" t="s">
        <v>797</v>
      </c>
      <c r="DK1" s="160" t="s">
        <v>797</v>
      </c>
      <c r="DL1" s="160" t="s">
        <v>797</v>
      </c>
      <c r="DM1" s="160" t="s">
        <v>797</v>
      </c>
    </row>
    <row r="2" spans="1:117" x14ac:dyDescent="0.25">
      <c r="A2" s="24" t="s">
        <v>1164</v>
      </c>
      <c r="B2" s="37">
        <f>SUM(B7:B121)</f>
        <v>4851.3165329905742</v>
      </c>
      <c r="C2" s="177">
        <f>C181/B2</f>
        <v>70.313192822951763</v>
      </c>
      <c r="D2" s="9">
        <f>SUM(D7:D121)</f>
        <v>19.850723482771386</v>
      </c>
      <c r="E2" s="177">
        <f>E181/D2</f>
        <v>70</v>
      </c>
      <c r="F2" s="32">
        <f>SUM(F7:F121)</f>
        <v>362.56957767718893</v>
      </c>
      <c r="G2" s="177">
        <f>G181/F2</f>
        <v>49.957966688497052</v>
      </c>
      <c r="H2" s="9">
        <f>SUM(H7:H121)</f>
        <v>71.080724769523002</v>
      </c>
      <c r="I2" s="177">
        <f>I181/H2</f>
        <v>70</v>
      </c>
      <c r="J2" s="32">
        <f>SUM(J7:J121)</f>
        <v>113.60155603995791</v>
      </c>
      <c r="K2" s="177">
        <f>K181/J2</f>
        <v>70.000000000000014</v>
      </c>
      <c r="L2" s="32">
        <f>SUM(L7:L121)</f>
        <v>128.7785337910654</v>
      </c>
      <c r="M2" s="177">
        <f>M181/L2</f>
        <v>65.148441199299683</v>
      </c>
      <c r="N2" s="9">
        <f>SUM(N7:N121)</f>
        <v>6.4746379166098871</v>
      </c>
      <c r="O2" s="177">
        <f>O181/N2</f>
        <v>70</v>
      </c>
      <c r="P2" s="9">
        <f>SUM(P7:P121)</f>
        <v>41.95315160270389</v>
      </c>
      <c r="Q2" s="177">
        <f>Q181/P2</f>
        <v>73.162893225838289</v>
      </c>
      <c r="R2" s="37">
        <f>SUM(R7:R121)</f>
        <v>2577.107005786665</v>
      </c>
      <c r="S2" s="177">
        <f>S181/R2</f>
        <v>73.290146701486478</v>
      </c>
      <c r="T2" s="32">
        <f>SUM(T7:T121)</f>
        <v>411.26929477270539</v>
      </c>
      <c r="U2" s="177">
        <f>U181/T2</f>
        <v>64.820346276906378</v>
      </c>
      <c r="V2" s="37">
        <f>SUM(V7:V121)</f>
        <v>74018.947212000057</v>
      </c>
      <c r="W2" s="177">
        <f>W181/V2</f>
        <v>72.532631228502609</v>
      </c>
      <c r="X2" s="37">
        <f>SUM(X7:X121)</f>
        <v>9744.357551211604</v>
      </c>
      <c r="Y2" s="177">
        <f>Y181/X2</f>
        <v>72.390248865112056</v>
      </c>
      <c r="Z2" s="37">
        <f>SUM(Z7:Z121)</f>
        <v>1036.2274008321954</v>
      </c>
      <c r="AA2" s="177">
        <f>AA181/Z2</f>
        <v>72.493136641634635</v>
      </c>
      <c r="AB2" s="9">
        <f>SUM(AB7:AB121)</f>
        <v>59.929673996506239</v>
      </c>
      <c r="AC2" s="177">
        <f>AC181/AB2</f>
        <v>69.999999999999986</v>
      </c>
      <c r="AD2" s="9">
        <f>SUM(AD7:AD121)</f>
        <v>12.140577039755351</v>
      </c>
      <c r="AE2" s="177">
        <f>AE181/AD2</f>
        <v>69.383231952197974</v>
      </c>
      <c r="AF2" s="37">
        <f>SUM(AF7:AF121)</f>
        <v>1794.7685425021041</v>
      </c>
      <c r="AG2" s="177">
        <f>AG181/AF2</f>
        <v>70.212923321838062</v>
      </c>
      <c r="AH2" s="37">
        <f>SUM(AH7:AH121)</f>
        <v>532.63092868120748</v>
      </c>
      <c r="AI2" s="177">
        <f>AI181/AH2</f>
        <v>70</v>
      </c>
      <c r="AJ2" s="37">
        <f>SUM(AJ7:AJ121)</f>
        <v>75729.208234784965</v>
      </c>
      <c r="AK2" s="177">
        <f>AK181/AJ2</f>
        <v>72.48639219260285</v>
      </c>
      <c r="AL2" s="37">
        <f>SUM(AL7:AL121)</f>
        <v>10824.061357203473</v>
      </c>
      <c r="AM2" s="177">
        <f>AM181/AL2</f>
        <v>70.031135004586417</v>
      </c>
      <c r="AN2" s="37">
        <f>SUM(AN7:AN121)</f>
        <v>19549.114267647587</v>
      </c>
      <c r="AO2" s="177">
        <f>AO181/AN2</f>
        <v>72.527529780256558</v>
      </c>
      <c r="AP2" s="32">
        <f>SUM(AP7:AP121)</f>
        <v>207.51461393897245</v>
      </c>
      <c r="AQ2" s="177">
        <f>AQ181/AP2</f>
        <v>69.999999999999972</v>
      </c>
      <c r="AR2" s="32">
        <f>SUM(AR7:AR121)</f>
        <v>187.40043660849469</v>
      </c>
      <c r="AS2" s="177">
        <f>AS181/AR2</f>
        <v>70.006343208273776</v>
      </c>
      <c r="AT2" s="37">
        <f>SUM(AT7:AT139)</f>
        <v>59282.711457214536</v>
      </c>
      <c r="AU2" s="177">
        <f>AU181/AT2</f>
        <v>51.017921682587279</v>
      </c>
      <c r="AV2" s="37">
        <f>SUM(AV7:AV174)</f>
        <v>282683.55992165196</v>
      </c>
      <c r="AW2" s="177">
        <f>AW181/AV2</f>
        <v>67.412019969214512</v>
      </c>
      <c r="AX2" s="37">
        <f>SUM(AX7:AX174)</f>
        <v>190562.69786407056</v>
      </c>
      <c r="AZ2" s="37">
        <f>SUM(AZ7:AZ174)</f>
        <v>16171.41724024312</v>
      </c>
      <c r="BA2" s="177">
        <f>BA181/AZ2</f>
        <v>66.196503034914855</v>
      </c>
      <c r="BB2" s="37">
        <f>SUM(BB7:BB174)</f>
        <v>10704.912704226283</v>
      </c>
      <c r="BD2" s="146">
        <f t="shared" ref="BD2:BJ2" si="0">SUM(BD7:BD174)</f>
        <v>56103.519999999975</v>
      </c>
      <c r="BE2" s="146">
        <f t="shared" si="0"/>
        <v>24779.51299512</v>
      </c>
      <c r="BF2" s="146">
        <f t="shared" si="0"/>
        <v>4608.7148668493455</v>
      </c>
      <c r="BG2" s="146">
        <f t="shared" si="0"/>
        <v>295442.50035839999</v>
      </c>
      <c r="BH2" s="180">
        <f t="shared" si="0"/>
        <v>175.71839468485837</v>
      </c>
      <c r="BI2" s="146">
        <f t="shared" si="0"/>
        <v>4210.0579573326149</v>
      </c>
      <c r="BJ2" s="180">
        <f t="shared" si="0"/>
        <v>661.22753200000022</v>
      </c>
      <c r="BK2" s="146">
        <f t="shared" ref="BK2:BP2" si="1">SUM(BK7:BK174)</f>
        <v>3127.7218367999999</v>
      </c>
      <c r="BL2" s="180">
        <f>SUM(BL7:BL174)</f>
        <v>560.7216623999999</v>
      </c>
      <c r="BM2" s="146">
        <f t="shared" si="1"/>
        <v>2329.4866457581993</v>
      </c>
      <c r="BN2" s="146">
        <f t="shared" si="1"/>
        <v>15662.093327221628</v>
      </c>
      <c r="BO2" s="146">
        <f t="shared" si="1"/>
        <v>5718.7205342552925</v>
      </c>
      <c r="BP2" s="146">
        <f t="shared" si="1"/>
        <v>55989.382664119345</v>
      </c>
      <c r="BS2" s="37">
        <f t="shared" ref="BS2:DM2" si="2">SUM(BS7:BS174)</f>
        <v>469369.37877494138</v>
      </c>
      <c r="BU2" s="37">
        <f t="shared" si="2"/>
        <v>56538.277319999972</v>
      </c>
      <c r="BV2" s="37">
        <f t="shared" si="2"/>
        <v>78136.246478408095</v>
      </c>
      <c r="BW2" s="37">
        <f t="shared" si="2"/>
        <v>58799.401654799978</v>
      </c>
      <c r="BX2" s="37">
        <f t="shared" si="2"/>
        <v>8100.1196293714293</v>
      </c>
      <c r="BY2" s="37">
        <f t="shared" si="2"/>
        <v>7888.7124643999978</v>
      </c>
      <c r="BZ2" s="32">
        <f t="shared" si="2"/>
        <v>181.60776479999998</v>
      </c>
      <c r="CA2" s="9">
        <f t="shared" si="2"/>
        <v>69.184926399999995</v>
      </c>
      <c r="CB2" s="37">
        <f t="shared" si="2"/>
        <v>29541.507721820504</v>
      </c>
      <c r="CC2" s="37">
        <f t="shared" si="2"/>
        <v>262662.84300333326</v>
      </c>
      <c r="CE2" s="37">
        <f t="shared" si="2"/>
        <v>179538.16056837665</v>
      </c>
      <c r="CG2" s="37">
        <f t="shared" si="2"/>
        <v>594.36577683404266</v>
      </c>
      <c r="CH2" s="37">
        <f t="shared" si="2"/>
        <v>11041.028783165961</v>
      </c>
      <c r="CI2" s="37">
        <f t="shared" si="2"/>
        <v>36686.261423953234</v>
      </c>
      <c r="CJ2" s="177">
        <f>CJ181/CI2</f>
        <v>68.956393707325844</v>
      </c>
      <c r="CK2" s="37">
        <f t="shared" si="2"/>
        <v>25297.522864000002</v>
      </c>
      <c r="CL2" s="32">
        <f t="shared" si="2"/>
        <v>388.60984000000002</v>
      </c>
      <c r="CM2" s="37">
        <f t="shared" si="2"/>
        <v>3480.5221599999986</v>
      </c>
      <c r="CN2" s="37">
        <f t="shared" si="2"/>
        <v>17459.008952165565</v>
      </c>
      <c r="CO2" s="177">
        <f>CO181/CN2</f>
        <v>67.632438040163649</v>
      </c>
      <c r="CP2" s="37">
        <f t="shared" si="2"/>
        <v>11807.953411999997</v>
      </c>
      <c r="CQ2" s="10">
        <f t="shared" si="2"/>
        <v>0.31496000000000002</v>
      </c>
      <c r="CR2" s="9">
        <f t="shared" si="2"/>
        <v>5.5473600000000003</v>
      </c>
      <c r="CS2" s="9">
        <f t="shared" si="2"/>
        <v>16.48968</v>
      </c>
      <c r="CT2" s="177">
        <f>CT181/CS2</f>
        <v>65.780996337646343</v>
      </c>
      <c r="CU2" s="9">
        <f t="shared" si="2"/>
        <v>10.847075796889602</v>
      </c>
      <c r="CW2" s="37">
        <f t="shared" si="2"/>
        <v>54823.581484690221</v>
      </c>
      <c r="CX2" s="177">
        <f>CX181/CW2</f>
        <v>68.54641257301148</v>
      </c>
      <c r="CY2" s="37">
        <f t="shared" si="2"/>
        <v>37579.598351796885</v>
      </c>
      <c r="DA2" s="37">
        <f t="shared" si="2"/>
        <v>1347.1144000000002</v>
      </c>
      <c r="DB2" s="32">
        <f t="shared" si="2"/>
        <v>945.95695999999975</v>
      </c>
      <c r="DC2" s="32">
        <f t="shared" si="2"/>
        <v>353.12095999999991</v>
      </c>
      <c r="DD2" s="32">
        <f t="shared" si="2"/>
        <v>186.51728</v>
      </c>
      <c r="DE2" s="32">
        <f t="shared" si="2"/>
        <v>119.67464</v>
      </c>
      <c r="DF2" s="9">
        <f t="shared" si="2"/>
        <v>52.394319999999993</v>
      </c>
      <c r="DG2" s="9">
        <f t="shared" si="2"/>
        <v>53.116479999999996</v>
      </c>
      <c r="DH2" s="9">
        <f t="shared" si="2"/>
        <v>40.812719999999999</v>
      </c>
      <c r="DI2" s="9">
        <f t="shared" si="2"/>
        <v>36.454079999999998</v>
      </c>
      <c r="DJ2" s="32">
        <f t="shared" si="2"/>
        <v>945.34736000000044</v>
      </c>
      <c r="DK2" s="37">
        <f t="shared" si="2"/>
        <v>8503.8575667655587</v>
      </c>
      <c r="DL2" s="179">
        <v>70</v>
      </c>
      <c r="DM2" s="37">
        <f t="shared" si="2"/>
        <v>5952.7002967358949</v>
      </c>
    </row>
    <row r="3" spans="1:117" x14ac:dyDescent="0.25">
      <c r="A3" s="63" t="s">
        <v>1471</v>
      </c>
      <c r="B3" s="71" t="s">
        <v>588</v>
      </c>
      <c r="C3" s="71" t="s">
        <v>588</v>
      </c>
      <c r="D3" s="71" t="s">
        <v>588</v>
      </c>
      <c r="E3" s="71" t="s">
        <v>588</v>
      </c>
      <c r="F3" s="71" t="s">
        <v>588</v>
      </c>
      <c r="G3" s="71" t="s">
        <v>588</v>
      </c>
      <c r="H3" s="71" t="s">
        <v>588</v>
      </c>
      <c r="I3" s="71" t="s">
        <v>588</v>
      </c>
      <c r="J3" s="65" t="s">
        <v>590</v>
      </c>
      <c r="K3" s="65" t="s">
        <v>590</v>
      </c>
      <c r="L3" s="65" t="s">
        <v>590</v>
      </c>
      <c r="M3" s="65" t="s">
        <v>590</v>
      </c>
      <c r="N3" s="65" t="s">
        <v>590</v>
      </c>
      <c r="O3" s="65" t="s">
        <v>590</v>
      </c>
      <c r="P3" s="65" t="s">
        <v>590</v>
      </c>
      <c r="Q3" s="65" t="s">
        <v>590</v>
      </c>
      <c r="R3" s="162" t="s">
        <v>589</v>
      </c>
      <c r="S3" s="162" t="s">
        <v>589</v>
      </c>
      <c r="T3" s="151" t="s">
        <v>593</v>
      </c>
      <c r="U3" s="151" t="s">
        <v>593</v>
      </c>
      <c r="V3" s="153" t="s">
        <v>591</v>
      </c>
      <c r="W3" s="153" t="s">
        <v>591</v>
      </c>
      <c r="X3" s="153" t="s">
        <v>591</v>
      </c>
      <c r="Y3" s="153" t="s">
        <v>591</v>
      </c>
      <c r="Z3" s="153" t="s">
        <v>591</v>
      </c>
      <c r="AA3" s="153" t="s">
        <v>591</v>
      </c>
      <c r="AB3" s="153" t="s">
        <v>591</v>
      </c>
      <c r="AC3" s="161" t="s">
        <v>591</v>
      </c>
      <c r="AD3" s="153" t="s">
        <v>591</v>
      </c>
      <c r="AE3" s="153" t="s">
        <v>591</v>
      </c>
      <c r="AF3" s="153" t="s">
        <v>591</v>
      </c>
      <c r="AG3" s="153" t="s">
        <v>591</v>
      </c>
      <c r="AH3" s="153" t="s">
        <v>591</v>
      </c>
      <c r="AI3" s="161" t="s">
        <v>591</v>
      </c>
      <c r="AJ3" s="149" t="s">
        <v>595</v>
      </c>
      <c r="AK3" s="149" t="s">
        <v>595</v>
      </c>
      <c r="AL3" s="149" t="s">
        <v>595</v>
      </c>
      <c r="AM3" s="149" t="s">
        <v>595</v>
      </c>
      <c r="AN3" s="149" t="s">
        <v>595</v>
      </c>
      <c r="AO3" s="149" t="s">
        <v>595</v>
      </c>
      <c r="AP3" s="65" t="s">
        <v>597</v>
      </c>
      <c r="AQ3" s="65" t="s">
        <v>597</v>
      </c>
      <c r="AR3" s="153" t="s">
        <v>596</v>
      </c>
      <c r="AS3" s="153" t="s">
        <v>596</v>
      </c>
      <c r="AT3" s="163" t="s">
        <v>948</v>
      </c>
      <c r="AU3" s="163" t="s">
        <v>948</v>
      </c>
      <c r="BD3" s="173" t="s">
        <v>1473</v>
      </c>
      <c r="BE3" s="173" t="s">
        <v>1473</v>
      </c>
      <c r="BF3" s="173" t="s">
        <v>1473</v>
      </c>
      <c r="BG3" s="65" t="s">
        <v>1468</v>
      </c>
      <c r="BH3" s="65" t="s">
        <v>1468</v>
      </c>
      <c r="BI3" s="65" t="s">
        <v>1468</v>
      </c>
      <c r="BJ3" s="155" t="s">
        <v>1474</v>
      </c>
      <c r="BK3" s="64" t="s">
        <v>1475</v>
      </c>
      <c r="BL3" s="64" t="s">
        <v>1475</v>
      </c>
      <c r="BM3" s="64" t="s">
        <v>1475</v>
      </c>
      <c r="BN3" s="64" t="s">
        <v>1475</v>
      </c>
      <c r="BO3" s="64" t="s">
        <v>1475</v>
      </c>
      <c r="BP3" s="166" t="s">
        <v>1469</v>
      </c>
      <c r="BU3" s="71" t="s">
        <v>1476</v>
      </c>
      <c r="BV3" s="65" t="s">
        <v>1477</v>
      </c>
      <c r="BW3" s="65" t="s">
        <v>1477</v>
      </c>
      <c r="BX3" s="276" t="s">
        <v>1480</v>
      </c>
      <c r="BY3" s="276"/>
      <c r="BZ3" s="159" t="s">
        <v>457</v>
      </c>
      <c r="CA3" s="159" t="s">
        <v>457</v>
      </c>
      <c r="CB3" s="161" t="s">
        <v>8</v>
      </c>
      <c r="CG3" s="45" t="s">
        <v>1481</v>
      </c>
      <c r="CH3" s="45" t="s">
        <v>1481</v>
      </c>
      <c r="CI3" s="45" t="s">
        <v>1481</v>
      </c>
      <c r="CJ3" s="45" t="s">
        <v>1481</v>
      </c>
      <c r="CK3" s="45" t="s">
        <v>1481</v>
      </c>
      <c r="CL3" s="162" t="s">
        <v>1493</v>
      </c>
      <c r="CM3" s="162" t="s">
        <v>1493</v>
      </c>
      <c r="CN3" s="162" t="s">
        <v>1493</v>
      </c>
      <c r="CO3" s="162" t="s">
        <v>1493</v>
      </c>
      <c r="CP3" s="162" t="s">
        <v>1493</v>
      </c>
      <c r="CQ3" s="154" t="s">
        <v>594</v>
      </c>
      <c r="CR3" s="154" t="s">
        <v>594</v>
      </c>
      <c r="CS3" s="154" t="s">
        <v>594</v>
      </c>
      <c r="CT3" s="154" t="s">
        <v>594</v>
      </c>
      <c r="CU3" s="154" t="s">
        <v>594</v>
      </c>
      <c r="CV3" s="154" t="s">
        <v>594</v>
      </c>
      <c r="DA3" s="2" t="s">
        <v>1260</v>
      </c>
      <c r="DB3" s="2" t="s">
        <v>1509</v>
      </c>
      <c r="DC3" s="2" t="s">
        <v>1497</v>
      </c>
      <c r="DD3" s="2" t="s">
        <v>1498</v>
      </c>
      <c r="DE3" s="2" t="s">
        <v>1499</v>
      </c>
      <c r="DF3" s="2" t="s">
        <v>1500</v>
      </c>
      <c r="DG3" s="2" t="s">
        <v>1501</v>
      </c>
      <c r="DH3" s="2" t="s">
        <v>1502</v>
      </c>
      <c r="DI3" s="2" t="s">
        <v>1510</v>
      </c>
      <c r="DJ3" s="2" t="s">
        <v>594</v>
      </c>
    </row>
    <row r="4" spans="1:117" x14ac:dyDescent="0.25">
      <c r="A4" s="176" t="s">
        <v>1356</v>
      </c>
      <c r="B4" s="164" t="s">
        <v>1442</v>
      </c>
      <c r="C4" s="164" t="s">
        <v>1442</v>
      </c>
      <c r="D4" s="164" t="s">
        <v>1443</v>
      </c>
      <c r="E4" s="164" t="s">
        <v>1443</v>
      </c>
      <c r="F4" s="164" t="s">
        <v>1444</v>
      </c>
      <c r="G4" s="164" t="s">
        <v>1444</v>
      </c>
      <c r="H4" s="164" t="s">
        <v>1445</v>
      </c>
      <c r="I4" s="164" t="s">
        <v>1445</v>
      </c>
      <c r="J4" s="164" t="s">
        <v>1446</v>
      </c>
      <c r="K4" s="164" t="s">
        <v>1446</v>
      </c>
      <c r="L4" s="164" t="s">
        <v>1447</v>
      </c>
      <c r="M4" s="164" t="s">
        <v>1447</v>
      </c>
      <c r="N4" s="164" t="s">
        <v>1448</v>
      </c>
      <c r="O4" s="164" t="s">
        <v>1448</v>
      </c>
      <c r="P4" s="164" t="s">
        <v>1449</v>
      </c>
      <c r="Q4" s="164" t="s">
        <v>1449</v>
      </c>
      <c r="R4" s="164" t="s">
        <v>1450</v>
      </c>
      <c r="S4" s="164" t="s">
        <v>1450</v>
      </c>
      <c r="T4" s="164" t="s">
        <v>1451</v>
      </c>
      <c r="U4" s="164" t="s">
        <v>1451</v>
      </c>
      <c r="V4" s="165" t="s">
        <v>1452</v>
      </c>
      <c r="W4" s="165" t="s">
        <v>1452</v>
      </c>
      <c r="X4" s="65" t="s">
        <v>1453</v>
      </c>
      <c r="Y4" s="65" t="s">
        <v>1453</v>
      </c>
      <c r="Z4" s="69" t="s">
        <v>1454</v>
      </c>
      <c r="AA4" s="69" t="s">
        <v>1454</v>
      </c>
      <c r="AB4" s="150" t="s">
        <v>1455</v>
      </c>
      <c r="AC4" s="157" t="s">
        <v>1455</v>
      </c>
      <c r="AD4" s="152" t="s">
        <v>1456</v>
      </c>
      <c r="AE4" s="152" t="s">
        <v>1456</v>
      </c>
      <c r="AF4" s="166" t="s">
        <v>1457</v>
      </c>
      <c r="AG4" s="166" t="s">
        <v>1457</v>
      </c>
      <c r="AH4" s="45" t="s">
        <v>594</v>
      </c>
      <c r="AI4" s="45" t="s">
        <v>594</v>
      </c>
      <c r="AJ4" s="60" t="s">
        <v>1458</v>
      </c>
      <c r="AK4" s="60" t="s">
        <v>1458</v>
      </c>
      <c r="AL4" s="274" t="s">
        <v>1465</v>
      </c>
      <c r="AM4" s="274"/>
      <c r="AN4" s="275" t="s">
        <v>1466</v>
      </c>
      <c r="AO4" s="275"/>
      <c r="AP4" s="167" t="s">
        <v>1459</v>
      </c>
      <c r="AQ4" s="167" t="s">
        <v>1459</v>
      </c>
      <c r="AR4" s="45" t="s">
        <v>1460</v>
      </c>
      <c r="AS4" s="45" t="s">
        <v>1460</v>
      </c>
      <c r="AT4" s="152" t="s">
        <v>948</v>
      </c>
      <c r="AU4" s="152" t="s">
        <v>948</v>
      </c>
      <c r="AV4" s="158" t="s">
        <v>1467</v>
      </c>
      <c r="AW4" s="158" t="s">
        <v>1467</v>
      </c>
      <c r="AX4" s="158" t="s">
        <v>1467</v>
      </c>
      <c r="AZ4" s="158" t="s">
        <v>1467</v>
      </c>
      <c r="BA4" s="158" t="s">
        <v>1467</v>
      </c>
      <c r="BB4" s="158" t="s">
        <v>1467</v>
      </c>
      <c r="BD4" s="71" t="s">
        <v>1472</v>
      </c>
      <c r="BE4" s="65" t="s">
        <v>945</v>
      </c>
      <c r="BF4" s="173" t="s">
        <v>8</v>
      </c>
      <c r="BG4" s="2" t="s">
        <v>939</v>
      </c>
      <c r="BH4" s="2" t="s">
        <v>965</v>
      </c>
      <c r="BI4" s="2" t="s">
        <v>8</v>
      </c>
      <c r="BJ4" s="155" t="s">
        <v>589</v>
      </c>
      <c r="BK4" s="2" t="s">
        <v>952</v>
      </c>
      <c r="BL4" s="2" t="s">
        <v>962</v>
      </c>
      <c r="BM4" s="2" t="s">
        <v>953</v>
      </c>
      <c r="BN4" s="2" t="s">
        <v>976</v>
      </c>
      <c r="BO4" s="2" t="s">
        <v>8</v>
      </c>
      <c r="BQ4" s="158" t="s">
        <v>1467</v>
      </c>
      <c r="BR4" s="158" t="s">
        <v>1467</v>
      </c>
      <c r="BS4" s="158" t="s">
        <v>1467</v>
      </c>
      <c r="CC4" s="158" t="s">
        <v>1467</v>
      </c>
      <c r="CD4" s="158" t="s">
        <v>1467</v>
      </c>
      <c r="CE4" s="158" t="s">
        <v>1467</v>
      </c>
      <c r="CI4" s="178" t="s">
        <v>1164</v>
      </c>
      <c r="CJ4" s="178" t="s">
        <v>1164</v>
      </c>
      <c r="CK4" s="178" t="s">
        <v>1164</v>
      </c>
      <c r="CN4" s="178" t="s">
        <v>1164</v>
      </c>
      <c r="CO4" s="178" t="s">
        <v>1164</v>
      </c>
      <c r="CP4" s="178" t="s">
        <v>1164</v>
      </c>
      <c r="CS4" s="178" t="s">
        <v>1164</v>
      </c>
      <c r="CT4" s="178" t="s">
        <v>1164</v>
      </c>
      <c r="CU4" s="178" t="s">
        <v>1164</v>
      </c>
      <c r="CW4" s="158" t="s">
        <v>1467</v>
      </c>
      <c r="CX4" s="158" t="s">
        <v>1467</v>
      </c>
      <c r="CY4" s="158" t="s">
        <v>1467</v>
      </c>
      <c r="DB4" s="2" t="s">
        <v>1503</v>
      </c>
      <c r="DC4" s="2" t="s">
        <v>1470</v>
      </c>
      <c r="DD4" s="2" t="s">
        <v>1504</v>
      </c>
      <c r="DE4" s="2" t="s">
        <v>1470</v>
      </c>
      <c r="DF4" s="2" t="s">
        <v>1505</v>
      </c>
      <c r="DG4" s="2" t="s">
        <v>1506</v>
      </c>
      <c r="DH4" s="2" t="s">
        <v>1507</v>
      </c>
      <c r="DI4" s="2" t="s">
        <v>1511</v>
      </c>
      <c r="DJ4" s="2" t="s">
        <v>1508</v>
      </c>
      <c r="DK4" s="158" t="s">
        <v>1467</v>
      </c>
      <c r="DL4" s="158" t="s">
        <v>1467</v>
      </c>
      <c r="DM4" s="158" t="s">
        <v>1467</v>
      </c>
    </row>
    <row r="5" spans="1:117" x14ac:dyDescent="0.25">
      <c r="B5" s="24" t="s">
        <v>1461</v>
      </c>
      <c r="C5" s="24" t="s">
        <v>1461</v>
      </c>
      <c r="D5" s="24" t="s">
        <v>1461</v>
      </c>
      <c r="E5" s="24" t="s">
        <v>1461</v>
      </c>
      <c r="F5" s="24" t="s">
        <v>1461</v>
      </c>
      <c r="G5" s="24" t="s">
        <v>1461</v>
      </c>
      <c r="H5" s="24" t="s">
        <v>1461</v>
      </c>
      <c r="I5" s="24" t="s">
        <v>1461</v>
      </c>
      <c r="J5" s="24" t="s">
        <v>1461</v>
      </c>
      <c r="K5" s="24" t="s">
        <v>1461</v>
      </c>
      <c r="L5" s="24" t="s">
        <v>1461</v>
      </c>
      <c r="M5" s="24" t="s">
        <v>1461</v>
      </c>
      <c r="N5" s="24" t="s">
        <v>1461</v>
      </c>
      <c r="O5" s="24" t="s">
        <v>1461</v>
      </c>
      <c r="P5" s="24" t="s">
        <v>1461</v>
      </c>
      <c r="Q5" s="24" t="s">
        <v>1461</v>
      </c>
      <c r="R5" s="24" t="s">
        <v>1461</v>
      </c>
      <c r="S5" s="24" t="s">
        <v>1461</v>
      </c>
      <c r="T5" s="24" t="s">
        <v>1461</v>
      </c>
      <c r="U5" s="24" t="s">
        <v>1461</v>
      </c>
      <c r="V5" s="24" t="s">
        <v>1461</v>
      </c>
      <c r="W5" s="24" t="s">
        <v>1461</v>
      </c>
      <c r="X5" s="24" t="s">
        <v>1461</v>
      </c>
      <c r="Y5" s="24" t="s">
        <v>1461</v>
      </c>
      <c r="Z5" s="24" t="s">
        <v>1461</v>
      </c>
      <c r="AA5" s="24" t="s">
        <v>1461</v>
      </c>
      <c r="AB5" s="24" t="s">
        <v>1461</v>
      </c>
      <c r="AC5" s="24" t="s">
        <v>1461</v>
      </c>
      <c r="AD5" s="24" t="s">
        <v>1461</v>
      </c>
      <c r="AE5" s="24" t="s">
        <v>1461</v>
      </c>
      <c r="AF5" s="24" t="s">
        <v>1461</v>
      </c>
      <c r="AG5" s="24" t="s">
        <v>1461</v>
      </c>
      <c r="AH5" s="24" t="s">
        <v>1461</v>
      </c>
      <c r="AI5" s="24" t="s">
        <v>1461</v>
      </c>
      <c r="AJ5" s="24" t="s">
        <v>1461</v>
      </c>
      <c r="AK5" s="24" t="s">
        <v>1461</v>
      </c>
      <c r="AL5" s="24" t="s">
        <v>1461</v>
      </c>
      <c r="AM5" s="24" t="s">
        <v>1461</v>
      </c>
      <c r="AN5" s="24" t="s">
        <v>1461</v>
      </c>
      <c r="AO5" s="24" t="s">
        <v>1461</v>
      </c>
      <c r="AP5" s="24" t="s">
        <v>1461</v>
      </c>
      <c r="AQ5" s="24" t="s">
        <v>1461</v>
      </c>
      <c r="AR5" s="24" t="s">
        <v>1461</v>
      </c>
      <c r="AS5" s="24" t="s">
        <v>1461</v>
      </c>
      <c r="AT5" s="127" t="s">
        <v>1462</v>
      </c>
      <c r="AU5" s="127" t="s">
        <v>1462</v>
      </c>
      <c r="BV5" s="127" t="s">
        <v>1479</v>
      </c>
      <c r="BW5" s="24" t="s">
        <v>1478</v>
      </c>
      <c r="BX5" s="127" t="s">
        <v>1479</v>
      </c>
      <c r="BY5" s="24" t="s">
        <v>1478</v>
      </c>
      <c r="BZ5" s="127" t="s">
        <v>1479</v>
      </c>
      <c r="CA5" s="24" t="s">
        <v>1478</v>
      </c>
      <c r="CG5" s="127" t="s">
        <v>1479</v>
      </c>
      <c r="CH5" s="24" t="s">
        <v>1478</v>
      </c>
      <c r="CL5" s="127" t="s">
        <v>1479</v>
      </c>
      <c r="CM5" s="24" t="s">
        <v>1478</v>
      </c>
      <c r="CQ5" s="127" t="s">
        <v>1479</v>
      </c>
      <c r="CR5" s="24" t="s">
        <v>1478</v>
      </c>
    </row>
    <row r="6" spans="1:117" x14ac:dyDescent="0.25">
      <c r="B6" s="2" t="s">
        <v>1464</v>
      </c>
      <c r="C6" s="164" t="s">
        <v>1463</v>
      </c>
      <c r="D6" s="2" t="s">
        <v>1464</v>
      </c>
      <c r="E6" s="164" t="s">
        <v>1463</v>
      </c>
      <c r="F6" s="2" t="s">
        <v>1464</v>
      </c>
      <c r="G6" s="164" t="s">
        <v>1463</v>
      </c>
      <c r="H6" s="2" t="s">
        <v>1464</v>
      </c>
      <c r="I6" s="164" t="s">
        <v>1463</v>
      </c>
      <c r="J6" s="2" t="s">
        <v>1464</v>
      </c>
      <c r="K6" s="164" t="s">
        <v>1463</v>
      </c>
      <c r="L6" s="2" t="s">
        <v>1464</v>
      </c>
      <c r="M6" s="164" t="s">
        <v>1463</v>
      </c>
      <c r="N6" s="2" t="s">
        <v>1464</v>
      </c>
      <c r="O6" s="164" t="s">
        <v>1463</v>
      </c>
      <c r="P6" s="2" t="s">
        <v>1464</v>
      </c>
      <c r="Q6" s="164" t="s">
        <v>1463</v>
      </c>
      <c r="R6" s="2" t="s">
        <v>1464</v>
      </c>
      <c r="S6" s="164" t="s">
        <v>1463</v>
      </c>
      <c r="T6" s="2" t="s">
        <v>1464</v>
      </c>
      <c r="U6" s="164" t="s">
        <v>1463</v>
      </c>
      <c r="V6" s="2" t="s">
        <v>1464</v>
      </c>
      <c r="W6" s="164" t="s">
        <v>1463</v>
      </c>
      <c r="X6" s="2" t="s">
        <v>1464</v>
      </c>
      <c r="Y6" s="164" t="s">
        <v>1463</v>
      </c>
      <c r="Z6" s="2" t="s">
        <v>1464</v>
      </c>
      <c r="AA6" s="164" t="s">
        <v>1463</v>
      </c>
      <c r="AB6" s="2" t="s">
        <v>1464</v>
      </c>
      <c r="AC6" s="164" t="s">
        <v>1463</v>
      </c>
      <c r="AD6" s="2" t="s">
        <v>1464</v>
      </c>
      <c r="AE6" s="164" t="s">
        <v>1463</v>
      </c>
      <c r="AF6" s="2" t="s">
        <v>1464</v>
      </c>
      <c r="AG6" s="164" t="s">
        <v>1463</v>
      </c>
      <c r="AH6" s="2" t="s">
        <v>1464</v>
      </c>
      <c r="AI6" s="164" t="s">
        <v>1463</v>
      </c>
      <c r="AJ6" s="2" t="s">
        <v>1464</v>
      </c>
      <c r="AK6" s="164" t="s">
        <v>1463</v>
      </c>
      <c r="AL6" s="2" t="s">
        <v>1464</v>
      </c>
      <c r="AM6" s="164" t="s">
        <v>1463</v>
      </c>
      <c r="AN6" s="2" t="s">
        <v>1464</v>
      </c>
      <c r="AO6" s="164" t="s">
        <v>1463</v>
      </c>
      <c r="AP6" s="2" t="s">
        <v>1464</v>
      </c>
      <c r="AQ6" s="164" t="s">
        <v>1463</v>
      </c>
      <c r="AR6" s="2" t="s">
        <v>1464</v>
      </c>
      <c r="AS6" s="164" t="s">
        <v>1463</v>
      </c>
      <c r="AT6" s="2" t="s">
        <v>1464</v>
      </c>
      <c r="AU6" s="164" t="s">
        <v>1463</v>
      </c>
      <c r="AV6" s="2" t="s">
        <v>1464</v>
      </c>
      <c r="AW6" s="164" t="s">
        <v>1463</v>
      </c>
      <c r="AX6" s="2" t="s">
        <v>1145</v>
      </c>
      <c r="AZ6" s="2" t="s">
        <v>1464</v>
      </c>
      <c r="BA6" s="164" t="s">
        <v>1463</v>
      </c>
      <c r="BB6" s="2" t="s">
        <v>1145</v>
      </c>
      <c r="BD6" s="2" t="s">
        <v>1145</v>
      </c>
      <c r="BE6" s="2" t="s">
        <v>1145</v>
      </c>
      <c r="BF6" s="2" t="s">
        <v>1145</v>
      </c>
      <c r="BG6" s="2" t="s">
        <v>1145</v>
      </c>
      <c r="BH6" s="2" t="s">
        <v>1145</v>
      </c>
      <c r="BI6" s="2" t="s">
        <v>1145</v>
      </c>
      <c r="BJ6" s="2" t="s">
        <v>1145</v>
      </c>
      <c r="BK6" s="2" t="s">
        <v>1145</v>
      </c>
      <c r="BL6" s="2" t="s">
        <v>1145</v>
      </c>
      <c r="BM6" s="2" t="s">
        <v>1145</v>
      </c>
      <c r="BN6" s="2" t="s">
        <v>1145</v>
      </c>
      <c r="BO6" s="2" t="s">
        <v>1145</v>
      </c>
      <c r="BP6" s="2" t="s">
        <v>1145</v>
      </c>
      <c r="BQ6" s="2" t="s">
        <v>1464</v>
      </c>
      <c r="BR6" s="164" t="s">
        <v>1463</v>
      </c>
      <c r="BS6" s="2" t="s">
        <v>1145</v>
      </c>
      <c r="BU6" s="2" t="s">
        <v>1464</v>
      </c>
      <c r="BV6" s="2" t="s">
        <v>1464</v>
      </c>
      <c r="BW6" s="2" t="s">
        <v>1464</v>
      </c>
      <c r="BX6" s="2" t="s">
        <v>1464</v>
      </c>
      <c r="BY6" s="2" t="s">
        <v>1464</v>
      </c>
      <c r="BZ6" s="2" t="s">
        <v>1464</v>
      </c>
      <c r="CA6" s="2" t="s">
        <v>1464</v>
      </c>
      <c r="CB6" s="2" t="s">
        <v>1464</v>
      </c>
      <c r="CC6" s="2" t="s">
        <v>1464</v>
      </c>
      <c r="CD6" s="164" t="s">
        <v>1463</v>
      </c>
      <c r="CE6" s="2" t="s">
        <v>1145</v>
      </c>
      <c r="CG6" s="2" t="s">
        <v>1464</v>
      </c>
      <c r="CH6" s="2" t="s">
        <v>1464</v>
      </c>
      <c r="CI6" s="2" t="s">
        <v>1464</v>
      </c>
      <c r="CJ6" s="164" t="s">
        <v>1463</v>
      </c>
      <c r="CK6" s="2" t="s">
        <v>1145</v>
      </c>
      <c r="CL6" s="2" t="s">
        <v>1464</v>
      </c>
      <c r="CM6" s="2" t="s">
        <v>1464</v>
      </c>
      <c r="CN6" s="2" t="s">
        <v>1464</v>
      </c>
      <c r="CO6" s="164" t="s">
        <v>1463</v>
      </c>
      <c r="CP6" s="2" t="s">
        <v>1145</v>
      </c>
      <c r="CQ6" s="2" t="s">
        <v>1464</v>
      </c>
      <c r="CR6" s="2" t="s">
        <v>1464</v>
      </c>
      <c r="CS6" s="2" t="s">
        <v>1464</v>
      </c>
      <c r="CT6" s="164" t="s">
        <v>1463</v>
      </c>
      <c r="CU6" s="2" t="s">
        <v>1145</v>
      </c>
      <c r="CV6" s="2" t="s">
        <v>1494</v>
      </c>
      <c r="CW6" s="2" t="s">
        <v>1464</v>
      </c>
      <c r="CX6" s="164" t="s">
        <v>1463</v>
      </c>
      <c r="CY6" s="2" t="s">
        <v>1145</v>
      </c>
      <c r="DA6" s="2" t="s">
        <v>1464</v>
      </c>
      <c r="DB6" s="2" t="s">
        <v>1464</v>
      </c>
      <c r="DC6" s="2" t="s">
        <v>1464</v>
      </c>
      <c r="DD6" s="2" t="s">
        <v>1464</v>
      </c>
      <c r="DE6" s="2" t="s">
        <v>1464</v>
      </c>
      <c r="DF6" s="2" t="s">
        <v>1464</v>
      </c>
      <c r="DG6" s="2" t="s">
        <v>1464</v>
      </c>
      <c r="DH6" s="2" t="s">
        <v>1464</v>
      </c>
      <c r="DI6" s="2" t="s">
        <v>1464</v>
      </c>
      <c r="DJ6" s="2" t="s">
        <v>1464</v>
      </c>
      <c r="DK6" s="2" t="s">
        <v>1464</v>
      </c>
      <c r="DL6" s="164" t="s">
        <v>1463</v>
      </c>
      <c r="DM6" s="2" t="s">
        <v>1145</v>
      </c>
    </row>
    <row r="7" spans="1:117" x14ac:dyDescent="0.25">
      <c r="A7" s="2">
        <v>1854</v>
      </c>
      <c r="AZ7" s="5">
        <v>89.509599999999992</v>
      </c>
      <c r="BA7" s="127">
        <v>70</v>
      </c>
      <c r="BB7" s="25">
        <v>62.656719999999993</v>
      </c>
    </row>
    <row r="8" spans="1:117" x14ac:dyDescent="0.25">
      <c r="A8" s="2">
        <v>1855</v>
      </c>
      <c r="AZ8" s="5">
        <v>60.604399999999998</v>
      </c>
      <c r="BA8" s="127">
        <v>70</v>
      </c>
      <c r="BB8" s="25">
        <v>42.423079999999999</v>
      </c>
    </row>
    <row r="9" spans="1:117" x14ac:dyDescent="0.25">
      <c r="A9" s="2">
        <v>1856</v>
      </c>
      <c r="AZ9" s="15">
        <v>564.94679999999994</v>
      </c>
      <c r="BA9" s="127">
        <v>70</v>
      </c>
      <c r="BB9" s="169">
        <v>395.46276</v>
      </c>
    </row>
    <row r="10" spans="1:117" x14ac:dyDescent="0.25">
      <c r="A10" s="2">
        <v>1857</v>
      </c>
      <c r="AZ10" s="15">
        <v>718.87079999999992</v>
      </c>
      <c r="BA10" s="127">
        <v>70</v>
      </c>
      <c r="BB10" s="169">
        <v>503.2095599999999</v>
      </c>
    </row>
    <row r="11" spans="1:117" x14ac:dyDescent="0.25">
      <c r="A11" s="2">
        <v>1858</v>
      </c>
      <c r="AZ11" s="15">
        <v>363.57560000000001</v>
      </c>
      <c r="BA11" s="127">
        <v>70</v>
      </c>
      <c r="BB11" s="169">
        <v>254.50292000000002</v>
      </c>
    </row>
    <row r="12" spans="1:117" x14ac:dyDescent="0.25">
      <c r="A12" s="2">
        <v>1859</v>
      </c>
      <c r="AZ12" s="15">
        <v>110.89640000000001</v>
      </c>
      <c r="BA12" s="127">
        <v>70</v>
      </c>
      <c r="BB12" s="25">
        <v>77.62748000000002</v>
      </c>
    </row>
    <row r="13" spans="1:117" x14ac:dyDescent="0.25">
      <c r="A13" s="2">
        <v>1860</v>
      </c>
      <c r="AZ13" s="5">
        <v>99.110799999999998</v>
      </c>
      <c r="BA13" s="127">
        <v>70</v>
      </c>
      <c r="BB13" s="25">
        <v>69.377559999999988</v>
      </c>
    </row>
    <row r="14" spans="1:117" x14ac:dyDescent="0.25">
      <c r="A14" s="2">
        <v>1861</v>
      </c>
      <c r="AZ14" s="15">
        <v>151.13</v>
      </c>
      <c r="BA14" s="127">
        <v>70</v>
      </c>
      <c r="BB14" s="169">
        <v>105.791</v>
      </c>
    </row>
    <row r="15" spans="1:117" x14ac:dyDescent="0.25">
      <c r="A15" s="2">
        <v>1862</v>
      </c>
      <c r="AZ15" s="5">
        <v>69.291200000000003</v>
      </c>
      <c r="BA15" s="127">
        <v>70</v>
      </c>
      <c r="BB15" s="25">
        <v>48.503839999999997</v>
      </c>
    </row>
    <row r="16" spans="1:117" x14ac:dyDescent="0.25">
      <c r="A16" s="2">
        <v>1863</v>
      </c>
      <c r="AZ16" s="5">
        <v>79.248000000000005</v>
      </c>
      <c r="BA16" s="127">
        <v>70</v>
      </c>
      <c r="BB16" s="25">
        <v>55.473600000000005</v>
      </c>
    </row>
    <row r="17" spans="1:83" x14ac:dyDescent="0.25">
      <c r="A17" s="2">
        <v>1864</v>
      </c>
      <c r="AZ17" s="5">
        <v>94.995999999999995</v>
      </c>
      <c r="BA17" s="127">
        <v>70</v>
      </c>
      <c r="BB17" s="25">
        <v>66.497199999999992</v>
      </c>
    </row>
    <row r="18" spans="1:83" x14ac:dyDescent="0.25">
      <c r="A18" s="2">
        <v>1865</v>
      </c>
      <c r="AZ18" s="5">
        <v>16.662399999999998</v>
      </c>
      <c r="BA18" s="127">
        <v>70</v>
      </c>
      <c r="BB18" s="25">
        <v>11.663679999999999</v>
      </c>
    </row>
    <row r="19" spans="1:83" x14ac:dyDescent="0.25">
      <c r="A19" s="2">
        <v>1866</v>
      </c>
      <c r="AZ19" s="5">
        <v>93.929200000000009</v>
      </c>
      <c r="BA19" s="127">
        <v>70</v>
      </c>
      <c r="BB19" s="25">
        <v>65.750440000000012</v>
      </c>
    </row>
    <row r="20" spans="1:83" x14ac:dyDescent="0.25">
      <c r="A20" s="2">
        <v>1867</v>
      </c>
      <c r="AZ20" s="171">
        <v>180.34</v>
      </c>
      <c r="BA20" s="127">
        <v>70</v>
      </c>
      <c r="BB20" s="169">
        <v>126.23800000000001</v>
      </c>
    </row>
    <row r="21" spans="1:83" x14ac:dyDescent="0.25">
      <c r="A21" s="2">
        <v>1868</v>
      </c>
      <c r="AZ21" s="171">
        <v>223.87559999999999</v>
      </c>
      <c r="BA21" s="127">
        <v>70</v>
      </c>
      <c r="BB21" s="169">
        <v>156.71292</v>
      </c>
    </row>
    <row r="22" spans="1:83" x14ac:dyDescent="0.25">
      <c r="A22" s="2">
        <v>1869</v>
      </c>
      <c r="AZ22" s="171">
        <v>273.35480000000001</v>
      </c>
      <c r="BA22" s="127">
        <v>70</v>
      </c>
      <c r="BB22" s="169">
        <v>191.34835999999999</v>
      </c>
    </row>
    <row r="23" spans="1:83" x14ac:dyDescent="0.25">
      <c r="A23" s="2">
        <v>1870</v>
      </c>
      <c r="AZ23" s="15">
        <v>149.09800000000001</v>
      </c>
      <c r="BA23" s="127">
        <v>70</v>
      </c>
      <c r="BB23" s="169">
        <v>104.3686</v>
      </c>
    </row>
    <row r="24" spans="1:83" x14ac:dyDescent="0.25">
      <c r="A24" s="2">
        <v>1871</v>
      </c>
      <c r="AZ24" s="15">
        <v>254</v>
      </c>
      <c r="BA24" s="2">
        <v>68</v>
      </c>
      <c r="BB24" s="15">
        <v>172.72</v>
      </c>
    </row>
    <row r="25" spans="1:83" x14ac:dyDescent="0.25">
      <c r="A25" s="2">
        <v>1872</v>
      </c>
      <c r="V25" s="127">
        <v>127</v>
      </c>
      <c r="W25" s="127">
        <v>72.5</v>
      </c>
      <c r="AJ25" s="127">
        <v>635</v>
      </c>
      <c r="AK25" s="127">
        <v>72.5</v>
      </c>
      <c r="AN25" s="169">
        <v>132.08000000000001</v>
      </c>
      <c r="AO25" s="127">
        <v>72.5</v>
      </c>
      <c r="AV25" s="15">
        <f t="shared" ref="AV25:AV71" si="3">B25+D25+F25+H25+J25+L25+N25+P25+R25+T25+V25+X25+Z25+AB25+AD25+AF25+AH25+AJ25+AL25+AN25+AP25+AR25+AT25</f>
        <v>894.08</v>
      </c>
      <c r="AW25" s="2">
        <f t="shared" ref="AW25:AW71" si="4">(C25*B25+E25*D25+G25*F25+I25*H25+K25*J25+M25*L25+O25*N25+Q25*P25+S25*R25+U25*T25+W25*V25+Y25*X25+AA25*Z25+AC25*AB25+AE25*AD25+AG25*AF25+AI25*AH25+AK25*AJ25+AM25*AL25+AO25*AN25+AQ25*AP25+AS25*AR25+AU25*AT25)/AV25</f>
        <v>72.5</v>
      </c>
      <c r="AX25" s="15">
        <f>AV25*AW25/100</f>
        <v>648.20800000000008</v>
      </c>
      <c r="AZ25" s="15">
        <v>299.66919999999999</v>
      </c>
      <c r="BA25" s="2">
        <v>72.5</v>
      </c>
      <c r="BB25" s="15">
        <v>217.26016999999999</v>
      </c>
      <c r="BU25" s="6">
        <v>1429.5119999999999</v>
      </c>
      <c r="CC25" s="6">
        <v>1429.5119999999999</v>
      </c>
      <c r="CD25" s="127">
        <v>70</v>
      </c>
      <c r="CE25" s="115">
        <v>1000.6583999999999</v>
      </c>
    </row>
    <row r="26" spans="1:83" x14ac:dyDescent="0.25">
      <c r="A26" s="2">
        <v>1873</v>
      </c>
      <c r="V26" s="115">
        <v>1295.4000000000001</v>
      </c>
      <c r="W26" s="127">
        <v>72.5</v>
      </c>
      <c r="AJ26" s="115">
        <v>1778</v>
      </c>
      <c r="AK26" s="127">
        <v>72.5</v>
      </c>
      <c r="AN26" s="115">
        <v>1295.4000000000001</v>
      </c>
      <c r="AO26" s="127">
        <v>72.5</v>
      </c>
      <c r="AV26" s="6">
        <f t="shared" si="3"/>
        <v>4368.8</v>
      </c>
      <c r="AW26" s="2">
        <f t="shared" si="4"/>
        <v>72.5</v>
      </c>
      <c r="AX26" s="6">
        <f>AV26*AW26/100</f>
        <v>3167.38</v>
      </c>
      <c r="AZ26" s="15">
        <v>177.5968</v>
      </c>
      <c r="BA26" s="2">
        <v>70</v>
      </c>
      <c r="BB26" s="15">
        <v>124.31775999999999</v>
      </c>
      <c r="BU26" s="6">
        <v>9081.0079999999998</v>
      </c>
      <c r="CC26" s="6">
        <v>9081.0079999999998</v>
      </c>
      <c r="CD26" s="127">
        <v>70</v>
      </c>
      <c r="CE26" s="115">
        <v>6356.7055999999993</v>
      </c>
    </row>
    <row r="27" spans="1:83" x14ac:dyDescent="0.25">
      <c r="A27" s="2">
        <v>1874</v>
      </c>
      <c r="V27" s="115">
        <v>1270</v>
      </c>
      <c r="W27" s="127">
        <v>72.5</v>
      </c>
      <c r="AJ27" s="115">
        <v>2524.7600000000002</v>
      </c>
      <c r="AK27" s="127">
        <v>72.5</v>
      </c>
      <c r="AN27" s="115">
        <v>1270</v>
      </c>
      <c r="AO27" s="127">
        <v>72.5</v>
      </c>
      <c r="AV27" s="6">
        <f t="shared" si="3"/>
        <v>5064.76</v>
      </c>
      <c r="AW27" s="2">
        <f t="shared" si="4"/>
        <v>72.499999999999986</v>
      </c>
      <c r="AX27" s="6">
        <f t="shared" ref="AX27:AX90" si="5">AV27*AW27/100</f>
        <v>3671.9509999999991</v>
      </c>
      <c r="AZ27" s="15">
        <v>114.50320000000001</v>
      </c>
      <c r="BA27" s="5">
        <f>(73*204.6+68.5*85.5)/(204.6+85.5)</f>
        <v>71.673733195449842</v>
      </c>
      <c r="BB27" s="5">
        <v>82.068718068252323</v>
      </c>
      <c r="BD27" s="15">
        <v>223.52</v>
      </c>
      <c r="BF27" s="5">
        <v>5.08</v>
      </c>
      <c r="BP27" s="2">
        <v>25</v>
      </c>
      <c r="BS27" s="15">
        <v>253.60000000000002</v>
      </c>
      <c r="BU27" s="6">
        <v>5793.232</v>
      </c>
      <c r="CC27" s="6">
        <v>5793.232</v>
      </c>
      <c r="CD27" s="127">
        <v>70</v>
      </c>
      <c r="CE27" s="115">
        <v>4055.2624000000001</v>
      </c>
    </row>
    <row r="28" spans="1:83" x14ac:dyDescent="0.25">
      <c r="A28" s="2">
        <v>1875</v>
      </c>
      <c r="V28" s="6">
        <v>1700.7840000000001</v>
      </c>
      <c r="W28" s="127">
        <v>72.5</v>
      </c>
      <c r="AJ28" s="6">
        <v>3088.64</v>
      </c>
      <c r="AK28" s="127">
        <v>72.5</v>
      </c>
      <c r="AN28" s="6">
        <v>1584.96</v>
      </c>
      <c r="AO28" s="127">
        <v>72.5</v>
      </c>
      <c r="AV28" s="6">
        <f t="shared" si="3"/>
        <v>6374.384</v>
      </c>
      <c r="AW28" s="2">
        <f t="shared" si="4"/>
        <v>72.5</v>
      </c>
      <c r="AX28" s="6">
        <f t="shared" si="5"/>
        <v>4621.4284000000007</v>
      </c>
      <c r="AZ28" s="5">
        <v>66.548000000000002</v>
      </c>
      <c r="BA28" s="2">
        <v>72.5</v>
      </c>
      <c r="BB28" s="5">
        <v>48.247300000000003</v>
      </c>
      <c r="BD28" s="15">
        <v>288.54399999999998</v>
      </c>
      <c r="BF28" s="5">
        <v>5.08</v>
      </c>
      <c r="BP28" s="2">
        <v>300</v>
      </c>
      <c r="BS28" s="15">
        <v>593.62400000000002</v>
      </c>
      <c r="BU28" s="6">
        <v>4546.6000000000004</v>
      </c>
      <c r="CC28" s="6">
        <v>4546.6000000000004</v>
      </c>
      <c r="CD28" s="127">
        <v>70</v>
      </c>
      <c r="CE28" s="115">
        <v>3182.62</v>
      </c>
    </row>
    <row r="29" spans="1:83" x14ac:dyDescent="0.25">
      <c r="A29" s="2">
        <v>1876</v>
      </c>
      <c r="V29" s="6">
        <v>2336.8000000000002</v>
      </c>
      <c r="W29" s="127">
        <v>72.5</v>
      </c>
      <c r="X29" s="6">
        <v>1016</v>
      </c>
      <c r="Y29" s="127">
        <v>72.5</v>
      </c>
      <c r="AJ29" s="6">
        <v>3056.636</v>
      </c>
      <c r="AK29" s="127">
        <v>72.5</v>
      </c>
      <c r="AN29" s="6">
        <v>1408.1759999999999</v>
      </c>
      <c r="AO29" s="127">
        <v>72.5</v>
      </c>
      <c r="AV29" s="6">
        <f t="shared" si="3"/>
        <v>7817.6119999999992</v>
      </c>
      <c r="AW29" s="2">
        <f t="shared" si="4"/>
        <v>72.5</v>
      </c>
      <c r="AX29" s="6">
        <f t="shared" si="5"/>
        <v>5667.7686999999996</v>
      </c>
      <c r="AZ29" s="5">
        <v>27.432000000000002</v>
      </c>
      <c r="BA29" s="2">
        <v>70</v>
      </c>
      <c r="BB29" s="5">
        <v>19.202400000000001</v>
      </c>
      <c r="BD29" s="15">
        <v>611.63200000000006</v>
      </c>
      <c r="BF29" s="5">
        <v>5.08</v>
      </c>
      <c r="BP29" s="2">
        <v>650</v>
      </c>
      <c r="BS29" s="6">
        <v>1266.712</v>
      </c>
      <c r="BU29" s="6">
        <v>4384.04</v>
      </c>
      <c r="CC29" s="6">
        <v>4384.04</v>
      </c>
      <c r="CD29" s="127">
        <v>70</v>
      </c>
      <c r="CE29" s="115">
        <v>3068.828</v>
      </c>
    </row>
    <row r="30" spans="1:83" x14ac:dyDescent="0.25">
      <c r="A30" s="2">
        <v>1877</v>
      </c>
      <c r="V30" s="6">
        <v>1828.8</v>
      </c>
      <c r="W30" s="127">
        <v>72.5</v>
      </c>
      <c r="X30" s="15">
        <v>101.6</v>
      </c>
      <c r="Y30" s="127">
        <v>72.5</v>
      </c>
      <c r="AJ30" s="6">
        <v>1776.9839999999999</v>
      </c>
      <c r="AK30" s="127">
        <v>72.5</v>
      </c>
      <c r="AN30" s="6">
        <v>1417.32</v>
      </c>
      <c r="AO30" s="127">
        <v>72.5</v>
      </c>
      <c r="AV30" s="6">
        <f t="shared" si="3"/>
        <v>5124.7039999999997</v>
      </c>
      <c r="AW30" s="2">
        <f t="shared" si="4"/>
        <v>72.5</v>
      </c>
      <c r="AX30" s="6">
        <f t="shared" si="5"/>
        <v>3715.4103999999998</v>
      </c>
      <c r="AZ30" s="5">
        <v>96.164400000000001</v>
      </c>
      <c r="BA30" s="2">
        <v>70</v>
      </c>
      <c r="BB30" s="5">
        <v>67.315079999999995</v>
      </c>
      <c r="BD30" s="6">
        <v>1296.4159999999999</v>
      </c>
      <c r="BF30" s="5">
        <v>5.08</v>
      </c>
      <c r="BI30" s="5">
        <v>25.4</v>
      </c>
      <c r="BP30" s="2">
        <v>850</v>
      </c>
      <c r="BS30" s="6">
        <v>2176.8959999999997</v>
      </c>
      <c r="BU30" s="6">
        <v>3388.36</v>
      </c>
      <c r="CC30" s="6">
        <v>3388.36</v>
      </c>
      <c r="CD30" s="127">
        <v>70</v>
      </c>
      <c r="CE30" s="115">
        <v>2371.8520000000003</v>
      </c>
    </row>
    <row r="31" spans="1:83" x14ac:dyDescent="0.25">
      <c r="A31" s="2">
        <v>1878</v>
      </c>
      <c r="V31" s="6">
        <v>1524</v>
      </c>
      <c r="W31" s="127">
        <v>72.5</v>
      </c>
      <c r="X31" s="15">
        <v>304.8</v>
      </c>
      <c r="Y31" s="127">
        <v>72.5</v>
      </c>
      <c r="AJ31" s="6">
        <v>1966.9760000000001</v>
      </c>
      <c r="AK31" s="127">
        <v>72.5</v>
      </c>
      <c r="AN31" s="6">
        <v>1124.712</v>
      </c>
      <c r="AO31" s="127">
        <v>72.5</v>
      </c>
      <c r="AV31" s="6">
        <f t="shared" si="3"/>
        <v>4920.4879999999994</v>
      </c>
      <c r="AW31" s="2">
        <f t="shared" si="4"/>
        <v>72.500000000000014</v>
      </c>
      <c r="AX31" s="6">
        <f t="shared" si="5"/>
        <v>3567.3537999999999</v>
      </c>
      <c r="AZ31" s="5">
        <v>73.101200000000006</v>
      </c>
      <c r="BA31" s="2">
        <v>70</v>
      </c>
      <c r="BB31" s="5">
        <v>51.170840000000005</v>
      </c>
      <c r="BD31" s="6">
        <v>1550.4159999999999</v>
      </c>
      <c r="BF31" s="5">
        <v>5.08</v>
      </c>
      <c r="BI31" s="5">
        <v>76.2</v>
      </c>
      <c r="BP31" s="2">
        <v>800</v>
      </c>
      <c r="BS31" s="6">
        <v>2431.6959999999999</v>
      </c>
      <c r="BU31" s="6">
        <v>2894.5839999999998</v>
      </c>
      <c r="CC31" s="6">
        <v>2894.5839999999998</v>
      </c>
      <c r="CD31" s="127">
        <v>70</v>
      </c>
      <c r="CE31" s="115">
        <v>2026.2087999999997</v>
      </c>
    </row>
    <row r="32" spans="1:83" x14ac:dyDescent="0.25">
      <c r="A32" s="2">
        <v>1879</v>
      </c>
      <c r="V32" s="6">
        <v>1051.56</v>
      </c>
      <c r="W32" s="127">
        <v>72.5</v>
      </c>
      <c r="X32" s="15">
        <v>304.8</v>
      </c>
      <c r="Y32" s="127">
        <v>72.5</v>
      </c>
      <c r="AJ32" s="6">
        <v>2758.694</v>
      </c>
      <c r="AK32" s="127">
        <v>72.5</v>
      </c>
      <c r="AN32" s="15">
        <v>720.34400000000005</v>
      </c>
      <c r="AO32" s="127">
        <v>72.5</v>
      </c>
      <c r="AV32" s="6">
        <f t="shared" si="3"/>
        <v>4835.3980000000001</v>
      </c>
      <c r="AW32" s="2">
        <f t="shared" si="4"/>
        <v>72.5</v>
      </c>
      <c r="AX32" s="6">
        <f t="shared" si="5"/>
        <v>3505.6635499999998</v>
      </c>
      <c r="AZ32" s="5">
        <v>24.384</v>
      </c>
      <c r="BA32" s="2">
        <v>70</v>
      </c>
      <c r="BB32" s="5">
        <v>17.0688</v>
      </c>
      <c r="BD32" s="6">
        <v>1830.8320000000001</v>
      </c>
      <c r="BF32" s="5">
        <v>5.08</v>
      </c>
      <c r="BI32" s="15">
        <v>127</v>
      </c>
      <c r="BP32" s="2">
        <v>750</v>
      </c>
      <c r="BS32" s="6">
        <v>2712.9120000000003</v>
      </c>
      <c r="BU32" s="6">
        <v>2789.9360000000001</v>
      </c>
      <c r="BV32" s="5">
        <v>31.496000000000002</v>
      </c>
      <c r="BW32" s="15">
        <v>101.6</v>
      </c>
      <c r="CC32" s="6">
        <v>2923.0320000000002</v>
      </c>
      <c r="CD32" s="127">
        <v>70</v>
      </c>
      <c r="CE32" s="115">
        <v>2046.1224000000002</v>
      </c>
    </row>
    <row r="33" spans="1:117" x14ac:dyDescent="0.25">
      <c r="A33" s="2">
        <v>1880</v>
      </c>
      <c r="V33" s="6">
        <v>1749.5520000000001</v>
      </c>
      <c r="W33" s="127">
        <v>72.5</v>
      </c>
      <c r="X33" s="15">
        <v>267.97000000000003</v>
      </c>
      <c r="Y33" s="127">
        <v>72.5</v>
      </c>
      <c r="AJ33" s="6">
        <v>3755.39</v>
      </c>
      <c r="AK33" s="127">
        <v>72.5</v>
      </c>
      <c r="AN33" s="15">
        <v>687.83199999999999</v>
      </c>
      <c r="AO33" s="127">
        <v>72.5</v>
      </c>
      <c r="AV33" s="6">
        <f t="shared" si="3"/>
        <v>6460.7440000000006</v>
      </c>
      <c r="AW33" s="2">
        <f t="shared" si="4"/>
        <v>72.5</v>
      </c>
      <c r="AX33" s="6">
        <f t="shared" si="5"/>
        <v>4684.0394000000006</v>
      </c>
      <c r="AZ33" s="5">
        <v>98.552000000000007</v>
      </c>
      <c r="BA33" s="2">
        <v>61.5</v>
      </c>
      <c r="BB33" s="5">
        <v>60.609480000000005</v>
      </c>
      <c r="BD33" s="6">
        <v>1757.68</v>
      </c>
      <c r="BF33" s="5">
        <v>5.08</v>
      </c>
      <c r="BI33" s="15">
        <v>152.4</v>
      </c>
      <c r="BP33" s="2">
        <v>650</v>
      </c>
      <c r="BS33" s="6">
        <v>2565.16</v>
      </c>
      <c r="BU33" s="15">
        <v>2696.4640000000004</v>
      </c>
      <c r="BV33" s="5">
        <v>94.488</v>
      </c>
      <c r="BW33" s="15">
        <v>101.6</v>
      </c>
      <c r="CC33" s="6">
        <v>2892.5520000000001</v>
      </c>
      <c r="CD33" s="127">
        <v>70</v>
      </c>
      <c r="CE33" s="115">
        <v>2024.7864000000002</v>
      </c>
    </row>
    <row r="34" spans="1:117" x14ac:dyDescent="0.25">
      <c r="A34" s="2">
        <v>1881</v>
      </c>
      <c r="V34" s="6">
        <v>2540</v>
      </c>
      <c r="W34" s="127">
        <v>72.5</v>
      </c>
      <c r="X34" s="2">
        <v>508</v>
      </c>
      <c r="Y34" s="127">
        <v>72.5</v>
      </c>
      <c r="AJ34" s="6">
        <v>4104.1319999999996</v>
      </c>
      <c r="AK34" s="127">
        <v>72.5</v>
      </c>
      <c r="AN34" s="15">
        <v>553.72</v>
      </c>
      <c r="AO34" s="127">
        <v>72.5</v>
      </c>
      <c r="AV34" s="6">
        <f t="shared" si="3"/>
        <v>7705.8519999999999</v>
      </c>
      <c r="AW34" s="2">
        <f t="shared" si="4"/>
        <v>72.499999999999986</v>
      </c>
      <c r="AX34" s="6">
        <f t="shared" si="5"/>
        <v>5586.7426999999989</v>
      </c>
      <c r="AZ34" s="15">
        <v>124.968</v>
      </c>
      <c r="BA34" s="2">
        <v>62.5</v>
      </c>
      <c r="BB34" s="5">
        <v>78.105000000000004</v>
      </c>
      <c r="BD34" s="6">
        <v>1700.7840000000001</v>
      </c>
      <c r="BF34" s="5">
        <v>5.08</v>
      </c>
      <c r="BI34" s="15">
        <v>203.2</v>
      </c>
      <c r="BP34" s="2">
        <v>500</v>
      </c>
      <c r="BS34" s="6">
        <v>2409.0640000000003</v>
      </c>
      <c r="BU34" s="6">
        <v>2308.3520000000003</v>
      </c>
      <c r="BV34" s="6">
        <v>1101.3440000000001</v>
      </c>
      <c r="BW34" s="15">
        <v>101.6</v>
      </c>
      <c r="CC34" s="6">
        <v>3511.2960000000003</v>
      </c>
      <c r="CD34" s="127">
        <v>70</v>
      </c>
      <c r="CE34" s="115">
        <v>2457.9072000000001</v>
      </c>
    </row>
    <row r="35" spans="1:117" x14ac:dyDescent="0.25">
      <c r="A35" s="2">
        <v>1882</v>
      </c>
      <c r="V35" s="6">
        <v>3160.268</v>
      </c>
      <c r="W35" s="127">
        <v>72.5</v>
      </c>
      <c r="X35" s="15">
        <v>358.64800000000002</v>
      </c>
      <c r="Y35" s="127">
        <v>72.5</v>
      </c>
      <c r="AJ35" s="6">
        <v>3207.5120000000002</v>
      </c>
      <c r="AK35" s="127">
        <v>72.5</v>
      </c>
      <c r="AN35" s="15">
        <v>624.84</v>
      </c>
      <c r="AO35" s="127">
        <v>72.5</v>
      </c>
      <c r="AV35" s="6">
        <f t="shared" si="3"/>
        <v>7351.268</v>
      </c>
      <c r="AW35" s="2">
        <f t="shared" si="4"/>
        <v>72.5</v>
      </c>
      <c r="AX35" s="6">
        <f t="shared" si="5"/>
        <v>5329.6693000000005</v>
      </c>
      <c r="AZ35" s="6">
        <v>1095.0447999999999</v>
      </c>
      <c r="BA35" s="2">
        <v>62.5</v>
      </c>
      <c r="BB35" s="15">
        <v>684.40299999999991</v>
      </c>
      <c r="BD35" s="6">
        <v>1790.192</v>
      </c>
      <c r="BF35" s="5">
        <v>5.08</v>
      </c>
      <c r="BI35" s="15">
        <v>152.4</v>
      </c>
      <c r="BP35" s="2">
        <v>450</v>
      </c>
      <c r="BS35" s="6">
        <v>2397.672</v>
      </c>
      <c r="BU35" s="6">
        <v>2490.2160000000003</v>
      </c>
      <c r="BV35" s="6">
        <v>1635.76</v>
      </c>
      <c r="BW35" s="15">
        <v>203.2</v>
      </c>
      <c r="CC35" s="6">
        <v>4329.1760000000004</v>
      </c>
      <c r="CD35" s="127">
        <v>70</v>
      </c>
      <c r="CE35" s="115">
        <v>3030.4232000000002</v>
      </c>
      <c r="DK35" s="5">
        <v>27.299703264094955</v>
      </c>
      <c r="DL35" s="26">
        <v>70</v>
      </c>
      <c r="DM35" s="25">
        <f>DK35*DL35/100</f>
        <v>19.109792284866469</v>
      </c>
    </row>
    <row r="36" spans="1:117" x14ac:dyDescent="0.25">
      <c r="A36" s="2">
        <v>1883</v>
      </c>
      <c r="V36" s="6">
        <v>2549.1440000000002</v>
      </c>
      <c r="W36" s="127">
        <v>72.5</v>
      </c>
      <c r="X36" s="15">
        <v>306.83199999999999</v>
      </c>
      <c r="Y36" s="127">
        <v>72.5</v>
      </c>
      <c r="AJ36" s="6">
        <v>2549.1440000000002</v>
      </c>
      <c r="AK36" s="127">
        <v>72.5</v>
      </c>
      <c r="AN36" s="15">
        <v>457.2</v>
      </c>
      <c r="AO36" s="127">
        <v>72.5</v>
      </c>
      <c r="AV36" s="6">
        <f t="shared" si="3"/>
        <v>5862.3200000000006</v>
      </c>
      <c r="AW36" s="2">
        <f t="shared" si="4"/>
        <v>72.5</v>
      </c>
      <c r="AX36" s="6">
        <f t="shared" si="5"/>
        <v>4250.1820000000007</v>
      </c>
      <c r="AZ36" s="5">
        <v>95.7072</v>
      </c>
      <c r="BA36" s="2">
        <v>62.5</v>
      </c>
      <c r="BB36" s="5">
        <v>59.817</v>
      </c>
      <c r="BD36" s="6">
        <v>1753.616</v>
      </c>
      <c r="BF36" s="5">
        <v>5.08</v>
      </c>
      <c r="BI36" s="15">
        <v>127</v>
      </c>
      <c r="BP36" s="2">
        <v>425</v>
      </c>
      <c r="BS36" s="6">
        <v>2310.6959999999999</v>
      </c>
      <c r="BU36" s="15">
        <v>830.072</v>
      </c>
      <c r="BV36" s="6">
        <v>2759.4560000000001</v>
      </c>
      <c r="BW36" s="15">
        <v>609.6</v>
      </c>
      <c r="CC36" s="6">
        <v>4199.1280000000006</v>
      </c>
      <c r="CD36" s="127">
        <v>70</v>
      </c>
      <c r="CE36" s="115">
        <v>2939.3896000000004</v>
      </c>
      <c r="DK36" s="5">
        <v>7.71513353115727</v>
      </c>
      <c r="DL36" s="26">
        <v>70</v>
      </c>
      <c r="DM36" s="25">
        <f t="shared" ref="DM36:DM51" si="6">DK36*DL36/100</f>
        <v>5.4005934718100885</v>
      </c>
    </row>
    <row r="37" spans="1:117" x14ac:dyDescent="0.25">
      <c r="A37" s="2">
        <v>1884</v>
      </c>
      <c r="V37" s="6">
        <v>2430.2719999999999</v>
      </c>
      <c r="W37" s="127">
        <v>72.5</v>
      </c>
      <c r="X37" s="15">
        <v>134.11199999999999</v>
      </c>
      <c r="Y37" s="127">
        <v>72.5</v>
      </c>
      <c r="AJ37" s="6">
        <v>2276.8560000000002</v>
      </c>
      <c r="AK37" s="127">
        <v>72.5</v>
      </c>
      <c r="AN37" s="15">
        <v>497.84000000000003</v>
      </c>
      <c r="AO37" s="127">
        <v>72.5</v>
      </c>
      <c r="AV37" s="6">
        <f t="shared" si="3"/>
        <v>5339.08</v>
      </c>
      <c r="AW37" s="2">
        <f t="shared" si="4"/>
        <v>72.500000000000014</v>
      </c>
      <c r="AX37" s="6">
        <f t="shared" si="5"/>
        <v>3870.8330000000005</v>
      </c>
      <c r="AZ37" s="5">
        <v>45.516799999999996</v>
      </c>
      <c r="BA37" s="127">
        <v>65</v>
      </c>
      <c r="BB37" s="5">
        <v>29.585919999999998</v>
      </c>
      <c r="BD37" s="6">
        <v>1869.44</v>
      </c>
      <c r="BF37" s="5">
        <v>5.08</v>
      </c>
      <c r="BI37" s="5">
        <v>50.8</v>
      </c>
      <c r="BP37" s="2">
        <v>400</v>
      </c>
      <c r="BS37" s="6">
        <v>2325.3199999999997</v>
      </c>
      <c r="BU37" s="15">
        <v>948.94399999999996</v>
      </c>
      <c r="BV37" s="6">
        <v>1932.559</v>
      </c>
      <c r="BW37" s="15">
        <v>457.2</v>
      </c>
      <c r="CB37" s="5">
        <v>98.425000000000637</v>
      </c>
      <c r="CC37" s="6">
        <v>3437.1280000000002</v>
      </c>
      <c r="CD37" s="127">
        <v>70</v>
      </c>
      <c r="CE37" s="115">
        <v>2405.9896000000003</v>
      </c>
      <c r="DK37" s="5">
        <v>33.82789317507418</v>
      </c>
      <c r="DL37" s="26">
        <v>70</v>
      </c>
      <c r="DM37" s="25">
        <f t="shared" si="6"/>
        <v>23.679525222551923</v>
      </c>
    </row>
    <row r="38" spans="1:117" x14ac:dyDescent="0.25">
      <c r="A38" s="2">
        <v>1885</v>
      </c>
      <c r="V38" s="6">
        <v>1863.3440000000001</v>
      </c>
      <c r="W38" s="127">
        <v>72.5</v>
      </c>
      <c r="X38" s="15">
        <v>162.56</v>
      </c>
      <c r="Y38" s="127">
        <v>72.5</v>
      </c>
      <c r="AF38" s="168">
        <v>5.08</v>
      </c>
      <c r="AG38" s="127">
        <v>70</v>
      </c>
      <c r="AJ38" s="6">
        <v>2545.3339999999998</v>
      </c>
      <c r="AK38" s="127">
        <v>72.5</v>
      </c>
      <c r="AN38" s="15">
        <v>315.976</v>
      </c>
      <c r="AO38" s="127">
        <v>72.5</v>
      </c>
      <c r="AV38" s="6">
        <f t="shared" si="3"/>
        <v>4892.293999999999</v>
      </c>
      <c r="AW38" s="5">
        <f t="shared" si="4"/>
        <v>72.497404080785017</v>
      </c>
      <c r="AX38" s="6">
        <f t="shared" si="5"/>
        <v>3546.7861499999999</v>
      </c>
      <c r="BD38" s="6">
        <v>1950.72</v>
      </c>
      <c r="BF38" s="5">
        <v>5.08</v>
      </c>
      <c r="BI38" s="5">
        <v>5.08</v>
      </c>
      <c r="BP38" s="2">
        <v>400</v>
      </c>
      <c r="BS38" s="6">
        <v>2360.88</v>
      </c>
      <c r="BU38" s="15">
        <v>511.048</v>
      </c>
      <c r="BV38" s="6">
        <v>2129.2820000000002</v>
      </c>
      <c r="BW38" s="15">
        <v>254</v>
      </c>
      <c r="CB38" s="15">
        <v>410.7180000000003</v>
      </c>
      <c r="CC38" s="6">
        <v>3305.0480000000002</v>
      </c>
      <c r="CD38" s="127">
        <v>70</v>
      </c>
      <c r="CE38" s="115">
        <v>2313.5336000000002</v>
      </c>
      <c r="DK38" s="5">
        <v>2.9673590504451037</v>
      </c>
      <c r="DL38" s="26">
        <v>70</v>
      </c>
      <c r="DM38" s="25">
        <f t="shared" si="6"/>
        <v>2.0771513353115725</v>
      </c>
    </row>
    <row r="39" spans="1:117" x14ac:dyDescent="0.25">
      <c r="A39" s="2">
        <v>1886</v>
      </c>
      <c r="V39" s="6">
        <v>1675.384</v>
      </c>
      <c r="W39" s="127">
        <v>72.5</v>
      </c>
      <c r="X39" s="15">
        <v>231.54640000000001</v>
      </c>
      <c r="Y39" s="127">
        <v>72.5</v>
      </c>
      <c r="AF39" s="25">
        <v>6.0960000000000001</v>
      </c>
      <c r="AG39" s="127">
        <v>70</v>
      </c>
      <c r="AJ39" s="6">
        <v>1924.4055999999998</v>
      </c>
      <c r="AK39" s="127">
        <v>72.5</v>
      </c>
      <c r="AN39" s="15">
        <v>311.91199999999998</v>
      </c>
      <c r="AO39" s="127">
        <v>72.5</v>
      </c>
      <c r="AV39" s="6">
        <f t="shared" si="3"/>
        <v>4149.3440000000001</v>
      </c>
      <c r="AW39" s="5">
        <f t="shared" si="4"/>
        <v>72.496327130264433</v>
      </c>
      <c r="AX39" s="6">
        <f t="shared" si="5"/>
        <v>3008.1219999999994</v>
      </c>
      <c r="AZ39" s="5">
        <v>1.524</v>
      </c>
      <c r="BA39" s="127">
        <v>65</v>
      </c>
      <c r="BB39" s="25">
        <v>0.99060000000000004</v>
      </c>
      <c r="BD39" s="6">
        <v>1792.2239999999999</v>
      </c>
      <c r="BF39" s="5">
        <v>5.08</v>
      </c>
      <c r="BI39" s="5">
        <v>5.08</v>
      </c>
      <c r="BP39" s="2">
        <v>375</v>
      </c>
      <c r="BS39" s="6">
        <v>2177.384</v>
      </c>
      <c r="BU39" s="15">
        <v>436.88</v>
      </c>
      <c r="BV39" s="6">
        <v>2233.5744</v>
      </c>
      <c r="BW39" s="15">
        <v>254</v>
      </c>
      <c r="CB39" s="15">
        <v>278.99359999999979</v>
      </c>
      <c r="CC39" s="6">
        <v>3203.4479999999999</v>
      </c>
      <c r="CD39" s="127">
        <v>70</v>
      </c>
      <c r="CE39" s="115">
        <v>2242.4135999999999</v>
      </c>
      <c r="DK39" s="5">
        <v>10.682492581602373</v>
      </c>
      <c r="DL39" s="26">
        <v>70</v>
      </c>
      <c r="DM39" s="25">
        <f t="shared" si="6"/>
        <v>7.4777448071216615</v>
      </c>
    </row>
    <row r="40" spans="1:117" x14ac:dyDescent="0.25">
      <c r="A40" s="2">
        <v>1887</v>
      </c>
      <c r="V40" s="6">
        <v>1280.1600000000001</v>
      </c>
      <c r="W40" s="127">
        <v>72.5</v>
      </c>
      <c r="X40" s="15">
        <v>173.73599999999999</v>
      </c>
      <c r="Y40" s="127">
        <v>72.5</v>
      </c>
      <c r="AF40" s="168">
        <v>7.62</v>
      </c>
      <c r="AG40" s="127">
        <v>70</v>
      </c>
      <c r="AJ40" s="6">
        <v>2681.732</v>
      </c>
      <c r="AK40" s="127">
        <v>72.5</v>
      </c>
      <c r="AN40" s="15">
        <v>274.32</v>
      </c>
      <c r="AO40" s="127">
        <v>72.5</v>
      </c>
      <c r="AR40" s="5">
        <v>6.0960000000000001</v>
      </c>
      <c r="AS40" s="127">
        <v>70</v>
      </c>
      <c r="AV40" s="6">
        <f t="shared" si="3"/>
        <v>4423.6639999999989</v>
      </c>
      <c r="AW40" s="5">
        <f t="shared" si="4"/>
        <v>72.492248507119896</v>
      </c>
      <c r="AX40" s="6">
        <f t="shared" si="5"/>
        <v>3206.8134999999993</v>
      </c>
      <c r="AZ40" s="5">
        <v>7.1120000000000001</v>
      </c>
      <c r="BA40" s="127">
        <v>65</v>
      </c>
      <c r="BB40" s="25">
        <v>4.6228000000000007</v>
      </c>
      <c r="BD40" s="6">
        <v>1751.5840000000001</v>
      </c>
      <c r="BF40" s="5">
        <v>5.08</v>
      </c>
      <c r="BI40" s="5">
        <v>5.08</v>
      </c>
      <c r="BP40" s="2">
        <v>375</v>
      </c>
      <c r="BS40" s="6">
        <v>2136.7439999999997</v>
      </c>
      <c r="BU40" s="15">
        <v>361.69600000000003</v>
      </c>
      <c r="BV40" s="6">
        <v>1531.7850999999998</v>
      </c>
      <c r="BW40" s="15">
        <v>304.8</v>
      </c>
      <c r="CB40" s="6">
        <v>1133.1828999999998</v>
      </c>
      <c r="CC40" s="6">
        <v>3331.4639999999999</v>
      </c>
      <c r="CD40" s="127">
        <v>70</v>
      </c>
      <c r="CE40" s="115">
        <v>2332.0247999999997</v>
      </c>
      <c r="DK40" s="5">
        <v>27.893175074183976</v>
      </c>
      <c r="DL40" s="26">
        <v>70</v>
      </c>
      <c r="DM40" s="25">
        <f t="shared" si="6"/>
        <v>19.525222551928781</v>
      </c>
    </row>
    <row r="41" spans="1:117" x14ac:dyDescent="0.25">
      <c r="A41" s="2">
        <v>1888</v>
      </c>
      <c r="V41" s="6">
        <v>1023.112</v>
      </c>
      <c r="W41" s="127">
        <v>72.5</v>
      </c>
      <c r="X41" s="15">
        <v>199.39000000000001</v>
      </c>
      <c r="Y41" s="127">
        <v>72.5</v>
      </c>
      <c r="AF41" s="168">
        <v>19.558</v>
      </c>
      <c r="AG41" s="127">
        <v>70</v>
      </c>
      <c r="AJ41" s="6">
        <v>1054.0999999999999</v>
      </c>
      <c r="AK41" s="127">
        <v>72.5</v>
      </c>
      <c r="AN41" s="15">
        <v>206.24799999999999</v>
      </c>
      <c r="AO41" s="127">
        <v>72.5</v>
      </c>
      <c r="AR41" s="5">
        <v>27.9908</v>
      </c>
      <c r="AS41" s="127">
        <v>70</v>
      </c>
      <c r="AV41" s="6">
        <f t="shared" si="3"/>
        <v>2530.3987999999999</v>
      </c>
      <c r="AW41" s="5">
        <f t="shared" si="4"/>
        <v>72.453022424765621</v>
      </c>
      <c r="AX41" s="6">
        <f t="shared" si="5"/>
        <v>1833.3504100000002</v>
      </c>
      <c r="AZ41" s="5">
        <v>55.372</v>
      </c>
      <c r="BA41" s="127">
        <v>65</v>
      </c>
      <c r="BB41" s="25">
        <v>35.991799999999998</v>
      </c>
      <c r="BD41" s="6">
        <v>1790.192</v>
      </c>
      <c r="BF41" s="5">
        <v>5.08</v>
      </c>
      <c r="BI41" s="5">
        <v>5.08</v>
      </c>
      <c r="BP41" s="2">
        <v>375</v>
      </c>
      <c r="BS41" s="6">
        <v>2175.3519999999999</v>
      </c>
      <c r="BU41" s="15">
        <v>420.62400000000002</v>
      </c>
      <c r="BV41" s="6">
        <v>1412.3543</v>
      </c>
      <c r="BW41" s="15">
        <v>140.44930000000002</v>
      </c>
      <c r="CB41" s="6">
        <v>1669.9484000000002</v>
      </c>
      <c r="CC41" s="6">
        <v>3643.3760000000002</v>
      </c>
      <c r="CD41" s="127">
        <v>70</v>
      </c>
      <c r="CE41" s="115">
        <v>2550.3632000000002</v>
      </c>
      <c r="DK41" s="5">
        <v>84.866468842729716</v>
      </c>
      <c r="DL41" s="26">
        <v>70</v>
      </c>
      <c r="DM41" s="25">
        <f t="shared" si="6"/>
        <v>59.406528189910802</v>
      </c>
    </row>
    <row r="42" spans="1:117" x14ac:dyDescent="0.25">
      <c r="A42" s="2">
        <v>1889</v>
      </c>
      <c r="V42" s="6">
        <v>1373.6320000000001</v>
      </c>
      <c r="W42" s="127">
        <v>72.5</v>
      </c>
      <c r="X42" s="15">
        <v>145.03399999999999</v>
      </c>
      <c r="Y42" s="127">
        <v>72.5</v>
      </c>
      <c r="AF42" s="168">
        <v>26.416</v>
      </c>
      <c r="AG42" s="127">
        <v>70</v>
      </c>
      <c r="AJ42" s="6">
        <v>1577.848</v>
      </c>
      <c r="AK42" s="127">
        <v>72.5</v>
      </c>
      <c r="AN42" s="15">
        <v>258.06400000000002</v>
      </c>
      <c r="AO42" s="127">
        <v>72.5</v>
      </c>
      <c r="AR42" s="5">
        <v>13.766800000000002</v>
      </c>
      <c r="AS42" s="127">
        <v>70</v>
      </c>
      <c r="AV42" s="6">
        <f t="shared" si="3"/>
        <v>3394.7608</v>
      </c>
      <c r="AW42" s="5">
        <f t="shared" si="4"/>
        <v>72.470408224343828</v>
      </c>
      <c r="AX42" s="6">
        <f t="shared" si="5"/>
        <v>2460.1970100000003</v>
      </c>
      <c r="AZ42" s="15">
        <v>110.64240000000001</v>
      </c>
      <c r="BA42" s="127">
        <v>65</v>
      </c>
      <c r="BB42" s="25">
        <v>71.917560000000009</v>
      </c>
      <c r="BD42" s="6">
        <v>1672.336</v>
      </c>
      <c r="BF42" s="5">
        <v>5.08</v>
      </c>
      <c r="BI42" s="5">
        <v>5.08</v>
      </c>
      <c r="BP42" s="2">
        <v>375</v>
      </c>
      <c r="BS42" s="6">
        <v>2057.4960000000001</v>
      </c>
      <c r="BU42" s="15">
        <v>315.46800000000002</v>
      </c>
      <c r="BV42" s="6">
        <v>1585.1124000000002</v>
      </c>
      <c r="BW42" s="15">
        <v>211.7852</v>
      </c>
      <c r="CB42" s="15">
        <v>969.16240000000016</v>
      </c>
      <c r="CC42" s="6">
        <v>3081.5280000000002</v>
      </c>
      <c r="CD42" s="127">
        <v>70</v>
      </c>
      <c r="CE42" s="115">
        <v>2157.0696000000003</v>
      </c>
      <c r="CH42" s="25">
        <v>5.08</v>
      </c>
      <c r="CI42" s="5">
        <v>5.08</v>
      </c>
      <c r="CJ42" s="26">
        <v>70</v>
      </c>
      <c r="CK42" s="25">
        <v>3.556</v>
      </c>
      <c r="CW42" s="5">
        <f>CI42+CN42+CS42</f>
        <v>5.08</v>
      </c>
      <c r="CX42" s="2">
        <f>(CJ42*CI42+CO42*CN42+CT42*CS42)/CW42</f>
        <v>70</v>
      </c>
      <c r="CY42" s="5">
        <v>3.556</v>
      </c>
      <c r="DK42" s="5">
        <v>90.20771513353084</v>
      </c>
      <c r="DL42" s="26">
        <v>70</v>
      </c>
      <c r="DM42" s="25">
        <f t="shared" si="6"/>
        <v>63.145400593471585</v>
      </c>
    </row>
    <row r="43" spans="1:117" x14ac:dyDescent="0.25">
      <c r="A43" s="2">
        <v>1890</v>
      </c>
      <c r="T43" s="168">
        <v>38.608000000000004</v>
      </c>
      <c r="U43" s="127">
        <v>65</v>
      </c>
      <c r="V43" s="6">
        <v>1270.4064000000001</v>
      </c>
      <c r="W43" s="127">
        <v>72.5</v>
      </c>
      <c r="X43" s="15">
        <v>154.3304</v>
      </c>
      <c r="Y43" s="127">
        <v>72.5</v>
      </c>
      <c r="AF43" s="168">
        <v>20.40128</v>
      </c>
      <c r="AG43" s="127">
        <v>70</v>
      </c>
      <c r="AJ43" s="6">
        <v>1168.4000000000001</v>
      </c>
      <c r="AK43" s="127">
        <v>72.5</v>
      </c>
      <c r="AN43" s="15">
        <v>223.52</v>
      </c>
      <c r="AO43" s="127">
        <v>72.5</v>
      </c>
      <c r="AV43" s="6">
        <f t="shared" si="3"/>
        <v>2875.6660800000004</v>
      </c>
      <c r="AW43" s="5">
        <f t="shared" si="4"/>
        <v>72.381570672489204</v>
      </c>
      <c r="AX43" s="6">
        <f t="shared" si="5"/>
        <v>2081.452276</v>
      </c>
      <c r="AZ43" s="15">
        <v>924.05200000000002</v>
      </c>
      <c r="BA43" s="127">
        <v>65</v>
      </c>
      <c r="BB43" s="169">
        <v>600.63380000000006</v>
      </c>
      <c r="BD43" s="6">
        <v>1540.2560000000001</v>
      </c>
      <c r="BF43" s="5">
        <v>5.08</v>
      </c>
      <c r="BI43" s="5">
        <v>5.08</v>
      </c>
      <c r="BP43" s="2">
        <v>400</v>
      </c>
      <c r="BS43" s="6">
        <v>1950.4159999999999</v>
      </c>
      <c r="BU43" s="6">
        <v>281.43200000000002</v>
      </c>
      <c r="BV43" s="6">
        <v>1716.6590000000001</v>
      </c>
      <c r="BW43" s="15">
        <v>346.92589999999996</v>
      </c>
      <c r="CB43" s="15">
        <v>672.5030999999999</v>
      </c>
      <c r="CC43" s="6">
        <v>3017.52</v>
      </c>
      <c r="CD43" s="127">
        <v>70</v>
      </c>
      <c r="CE43" s="115">
        <v>2112.2640000000001</v>
      </c>
      <c r="CH43" s="25">
        <v>68.58</v>
      </c>
      <c r="CI43" s="5">
        <v>68.58</v>
      </c>
      <c r="CJ43" s="26">
        <v>70</v>
      </c>
      <c r="CK43" s="25">
        <v>48.005999999999993</v>
      </c>
      <c r="CW43" s="5">
        <f t="shared" ref="CW43:CW106" si="7">CI43+CN43+CS43</f>
        <v>68.58</v>
      </c>
      <c r="CX43" s="2">
        <f t="shared" ref="CX43:CX106" si="8">(CJ43*CI43+CO43*CN43+CT43*CS43)/CW43</f>
        <v>70</v>
      </c>
      <c r="CY43" s="5">
        <v>48.005999999999993</v>
      </c>
      <c r="DK43" s="15">
        <v>116.32047477744744</v>
      </c>
      <c r="DL43" s="26">
        <v>70</v>
      </c>
      <c r="DM43" s="25">
        <f t="shared" si="6"/>
        <v>81.424332344213212</v>
      </c>
    </row>
    <row r="44" spans="1:117" x14ac:dyDescent="0.25">
      <c r="A44" s="2">
        <v>1891</v>
      </c>
      <c r="V44" s="6">
        <v>1012.952</v>
      </c>
      <c r="W44" s="127">
        <v>72.5</v>
      </c>
      <c r="X44" s="5">
        <v>43.688000000000002</v>
      </c>
      <c r="Y44" s="127">
        <v>72.5</v>
      </c>
      <c r="AF44" s="25">
        <v>20.32</v>
      </c>
      <c r="AG44" s="127">
        <v>70</v>
      </c>
      <c r="AJ44" s="15">
        <v>988.56799999999998</v>
      </c>
      <c r="AK44" s="127">
        <v>72.5</v>
      </c>
      <c r="AN44" s="15">
        <v>243.84</v>
      </c>
      <c r="AO44" s="127">
        <v>72.5</v>
      </c>
      <c r="AV44" s="6">
        <f t="shared" si="3"/>
        <v>2309.3680000000004</v>
      </c>
      <c r="AW44" s="5">
        <f t="shared" si="4"/>
        <v>72.478002639683211</v>
      </c>
      <c r="AX44" s="6">
        <f t="shared" si="5"/>
        <v>1673.7837999999997</v>
      </c>
      <c r="AZ44" s="6">
        <v>1806.9052000000001</v>
      </c>
      <c r="BA44" s="127">
        <v>65</v>
      </c>
      <c r="BB44" s="115">
        <v>1174.48838</v>
      </c>
      <c r="BD44" s="6">
        <v>1603.248</v>
      </c>
      <c r="BF44" s="5">
        <v>5.08</v>
      </c>
      <c r="BI44" s="5">
        <v>5.08</v>
      </c>
      <c r="BP44" s="2">
        <v>375</v>
      </c>
      <c r="BS44" s="6">
        <v>1988.4079999999999</v>
      </c>
      <c r="BU44" s="6">
        <v>247.904</v>
      </c>
      <c r="BV44" s="6">
        <v>1080.1477</v>
      </c>
      <c r="BW44" s="15">
        <v>268.1859</v>
      </c>
      <c r="CB44" s="15">
        <v>675.53839999999991</v>
      </c>
      <c r="CC44" s="6">
        <v>2271.7759999999998</v>
      </c>
      <c r="CD44" s="127">
        <v>70</v>
      </c>
      <c r="CE44" s="115">
        <v>1590.2431999999999</v>
      </c>
      <c r="CG44" s="25">
        <v>1.016</v>
      </c>
      <c r="CH44" s="169">
        <v>206.24800000000002</v>
      </c>
      <c r="CI44" s="15">
        <v>207.26400000000001</v>
      </c>
      <c r="CJ44" s="26">
        <v>70</v>
      </c>
      <c r="CK44" s="169">
        <v>145.0848</v>
      </c>
      <c r="CW44" s="15">
        <f t="shared" si="7"/>
        <v>207.26400000000001</v>
      </c>
      <c r="CX44" s="2">
        <f t="shared" si="8"/>
        <v>70</v>
      </c>
      <c r="CY44" s="15">
        <v>145.0848</v>
      </c>
      <c r="DK44" s="5">
        <v>30.267062314540059</v>
      </c>
      <c r="DL44" s="26">
        <v>70</v>
      </c>
      <c r="DM44" s="25">
        <f t="shared" si="6"/>
        <v>21.186943620178042</v>
      </c>
    </row>
    <row r="45" spans="1:117" x14ac:dyDescent="0.25">
      <c r="A45" s="2">
        <v>1892</v>
      </c>
      <c r="T45" s="168">
        <v>14.478</v>
      </c>
      <c r="U45" s="127">
        <v>65</v>
      </c>
      <c r="V45" s="15">
        <v>609.6</v>
      </c>
      <c r="W45" s="127">
        <v>72.5</v>
      </c>
      <c r="X45" s="15">
        <v>165.608</v>
      </c>
      <c r="Y45" s="127">
        <v>72.5</v>
      </c>
      <c r="AF45" s="25">
        <v>10.16</v>
      </c>
      <c r="AG45" s="127">
        <v>70</v>
      </c>
      <c r="AJ45" s="6">
        <v>1080.008</v>
      </c>
      <c r="AK45" s="127">
        <v>72.5</v>
      </c>
      <c r="AL45" s="15">
        <v>426.72</v>
      </c>
      <c r="AM45" s="127">
        <v>70</v>
      </c>
      <c r="AN45" s="15">
        <v>230.63200000000001</v>
      </c>
      <c r="AO45" s="127">
        <v>72.5</v>
      </c>
      <c r="AP45" s="5">
        <v>6.35</v>
      </c>
      <c r="AQ45" s="127">
        <v>70</v>
      </c>
      <c r="AR45" s="5">
        <v>3.048</v>
      </c>
      <c r="AS45" s="127">
        <v>70</v>
      </c>
      <c r="AV45" s="6">
        <f t="shared" si="3"/>
        <v>2546.6039999999994</v>
      </c>
      <c r="AW45" s="5">
        <f t="shared" si="4"/>
        <v>72.019249950129677</v>
      </c>
      <c r="AX45" s="6">
        <f t="shared" si="5"/>
        <v>1834.0450999999998</v>
      </c>
      <c r="AZ45" s="15">
        <v>413.76600000000002</v>
      </c>
      <c r="BA45" s="127">
        <v>65</v>
      </c>
      <c r="BB45" s="169">
        <v>268.9479</v>
      </c>
      <c r="BD45" s="6">
        <v>1487.424</v>
      </c>
      <c r="BF45" s="5">
        <v>5.08</v>
      </c>
      <c r="BI45" s="5">
        <v>5.08</v>
      </c>
      <c r="BP45" s="2">
        <v>375</v>
      </c>
      <c r="BS45" s="6">
        <v>1872.5839999999998</v>
      </c>
      <c r="BU45" s="6">
        <v>249.93600000000001</v>
      </c>
      <c r="BV45" s="6">
        <v>1199.8579000000002</v>
      </c>
      <c r="BW45" s="15">
        <v>160.62960000000001</v>
      </c>
      <c r="CB45" s="15">
        <v>816.80050000000006</v>
      </c>
      <c r="CC45" s="6">
        <v>2427.2240000000002</v>
      </c>
      <c r="CD45" s="127">
        <v>70</v>
      </c>
      <c r="CE45" s="115">
        <v>1699.0568000000003</v>
      </c>
      <c r="CG45" s="25">
        <v>1.2380975999999999</v>
      </c>
      <c r="CH45" s="169">
        <v>268.4997424</v>
      </c>
      <c r="CI45" s="15">
        <v>269.73784000000001</v>
      </c>
      <c r="CJ45" s="26">
        <v>70</v>
      </c>
      <c r="CK45" s="169">
        <v>188.81648799999999</v>
      </c>
      <c r="CW45" s="15">
        <f t="shared" si="7"/>
        <v>269.73784000000001</v>
      </c>
      <c r="CX45" s="2">
        <f t="shared" si="8"/>
        <v>70</v>
      </c>
      <c r="CY45" s="15">
        <v>188.81648799999999</v>
      </c>
      <c r="DK45" s="5">
        <v>32.047477744807118</v>
      </c>
      <c r="DL45" s="26">
        <v>70</v>
      </c>
      <c r="DM45" s="25">
        <f t="shared" si="6"/>
        <v>22.433234421364983</v>
      </c>
    </row>
    <row r="46" spans="1:117" x14ac:dyDescent="0.25">
      <c r="A46" s="2">
        <v>1893</v>
      </c>
      <c r="V46" s="15">
        <v>711.2</v>
      </c>
      <c r="W46" s="127">
        <v>72.5</v>
      </c>
      <c r="X46" s="5">
        <v>81.534000000000006</v>
      </c>
      <c r="Y46" s="127">
        <v>72.5</v>
      </c>
      <c r="AF46" s="5">
        <v>6.9088000000000003</v>
      </c>
      <c r="AG46" s="127">
        <v>70</v>
      </c>
      <c r="AJ46" s="6">
        <v>1051.56</v>
      </c>
      <c r="AK46" s="127">
        <v>72.5</v>
      </c>
      <c r="AL46" s="15">
        <v>355.6</v>
      </c>
      <c r="AM46" s="127">
        <v>70</v>
      </c>
      <c r="AN46" s="15">
        <v>179.32400000000001</v>
      </c>
      <c r="AO46" s="127">
        <v>72.5</v>
      </c>
      <c r="AR46" s="4">
        <v>0.4572</v>
      </c>
      <c r="AS46" s="127">
        <v>70</v>
      </c>
      <c r="AV46" s="6">
        <f t="shared" si="3"/>
        <v>2386.5839999999998</v>
      </c>
      <c r="AW46" s="5">
        <f t="shared" si="4"/>
        <v>72.119785014899946</v>
      </c>
      <c r="AX46" s="6">
        <f t="shared" si="5"/>
        <v>1721.1992499999997</v>
      </c>
      <c r="AZ46" s="5">
        <v>53.594000000000001</v>
      </c>
      <c r="BA46" s="127">
        <v>65</v>
      </c>
      <c r="BB46" s="25">
        <v>34.836100000000002</v>
      </c>
      <c r="BD46" s="6">
        <v>1481.328</v>
      </c>
      <c r="BF46" s="5">
        <v>5.08</v>
      </c>
      <c r="BI46" s="5">
        <v>5.08</v>
      </c>
      <c r="BP46" s="2">
        <v>375</v>
      </c>
      <c r="BS46" s="6">
        <v>1866.4879999999998</v>
      </c>
      <c r="BU46" s="6">
        <v>339.34399999999999</v>
      </c>
      <c r="BV46" s="6">
        <v>1234.0209000000002</v>
      </c>
      <c r="BW46" s="15">
        <v>391.65530000000001</v>
      </c>
      <c r="CB46" s="15">
        <v>507.92379999999957</v>
      </c>
      <c r="CC46" s="6">
        <v>2472.944</v>
      </c>
      <c r="CD46" s="127">
        <v>70</v>
      </c>
      <c r="CE46" s="115">
        <v>1731.0608</v>
      </c>
      <c r="CG46" s="25">
        <v>1.5087457353599998</v>
      </c>
      <c r="CH46" s="169">
        <v>172.73525426463999</v>
      </c>
      <c r="CI46" s="15">
        <v>174.244</v>
      </c>
      <c r="CJ46" s="26">
        <v>70</v>
      </c>
      <c r="CK46" s="169">
        <v>121.9708</v>
      </c>
      <c r="CN46" s="5">
        <v>57.353200000000001</v>
      </c>
      <c r="CO46" s="26">
        <v>70</v>
      </c>
      <c r="CP46" s="25">
        <v>40.147240000000004</v>
      </c>
      <c r="CW46" s="15">
        <f t="shared" si="7"/>
        <v>231.59719999999999</v>
      </c>
      <c r="CX46" s="2">
        <f t="shared" si="8"/>
        <v>70</v>
      </c>
      <c r="CY46" s="15">
        <v>162.11803999999998</v>
      </c>
      <c r="DK46" s="5">
        <v>29.080118694362017</v>
      </c>
      <c r="DL46" s="26">
        <v>70</v>
      </c>
      <c r="DM46" s="25">
        <f t="shared" si="6"/>
        <v>20.35608308605341</v>
      </c>
    </row>
    <row r="47" spans="1:117" x14ac:dyDescent="0.25">
      <c r="A47" s="2">
        <v>1894</v>
      </c>
      <c r="V47" s="15">
        <v>753.87199999999996</v>
      </c>
      <c r="W47" s="127">
        <v>72.5</v>
      </c>
      <c r="X47" s="15">
        <v>121.92</v>
      </c>
      <c r="Y47" s="127">
        <v>72.5</v>
      </c>
      <c r="AF47" s="168">
        <v>19.994963880288957</v>
      </c>
      <c r="AG47" s="127">
        <v>70</v>
      </c>
      <c r="AJ47" s="6">
        <v>1126.2360000000001</v>
      </c>
      <c r="AK47" s="127">
        <v>72.5</v>
      </c>
      <c r="AL47" s="15">
        <v>355.6</v>
      </c>
      <c r="AM47" s="127">
        <v>70</v>
      </c>
      <c r="AN47" s="15">
        <v>159.25800000000001</v>
      </c>
      <c r="AO47" s="127">
        <v>72.5</v>
      </c>
      <c r="AR47" s="2">
        <v>25.4</v>
      </c>
      <c r="AS47" s="127">
        <v>70</v>
      </c>
      <c r="AV47" s="6">
        <f t="shared" si="3"/>
        <v>2562.2809638802887</v>
      </c>
      <c r="AW47" s="5">
        <f t="shared" si="4"/>
        <v>72.108751958183944</v>
      </c>
      <c r="AX47" s="6">
        <f t="shared" si="5"/>
        <v>1847.6288247162022</v>
      </c>
      <c r="AZ47" s="5">
        <v>60.96</v>
      </c>
      <c r="BA47" s="127">
        <v>65</v>
      </c>
      <c r="BB47" s="25">
        <v>39.624000000000002</v>
      </c>
      <c r="BD47" s="6">
        <v>1430.528</v>
      </c>
      <c r="BF47" s="5">
        <v>5.08</v>
      </c>
      <c r="BI47" s="5">
        <v>5.08</v>
      </c>
      <c r="BP47" s="2">
        <v>375</v>
      </c>
      <c r="BS47" s="6">
        <v>1815.6879999999999</v>
      </c>
      <c r="BU47" s="6">
        <v>174.75200000000001</v>
      </c>
      <c r="BV47" s="6">
        <v>1270.0762</v>
      </c>
      <c r="BW47" s="15">
        <v>721.62670000000003</v>
      </c>
      <c r="CB47" s="15">
        <v>750.48110000000042</v>
      </c>
      <c r="CC47" s="6">
        <v>2916.9360000000001</v>
      </c>
      <c r="CD47" s="127">
        <v>70</v>
      </c>
      <c r="CE47" s="115">
        <v>2041.8552000000002</v>
      </c>
      <c r="CG47" s="25">
        <v>1.8385575531096956</v>
      </c>
      <c r="CH47" s="169">
        <v>375.3514424468903</v>
      </c>
      <c r="CI47" s="15">
        <v>377.19</v>
      </c>
      <c r="CJ47" s="26">
        <v>70</v>
      </c>
      <c r="CK47" s="169">
        <v>264.03300000000002</v>
      </c>
      <c r="CN47" s="5">
        <v>19.304000000000002</v>
      </c>
      <c r="CO47" s="26">
        <v>70</v>
      </c>
      <c r="CP47" s="25">
        <v>13.512800000000002</v>
      </c>
      <c r="CW47" s="15">
        <f t="shared" si="7"/>
        <v>396.49400000000003</v>
      </c>
      <c r="CX47" s="2">
        <f t="shared" si="8"/>
        <v>69.999999999999986</v>
      </c>
      <c r="CY47" s="15">
        <v>277.54579999999999</v>
      </c>
      <c r="DK47" s="5">
        <v>32.640949554896139</v>
      </c>
      <c r="DL47" s="26">
        <v>70</v>
      </c>
      <c r="DM47" s="25">
        <f t="shared" si="6"/>
        <v>22.848664688427299</v>
      </c>
    </row>
    <row r="48" spans="1:117" x14ac:dyDescent="0.25">
      <c r="A48" s="2">
        <v>1895</v>
      </c>
      <c r="V48" s="15">
        <v>477.26600000000002</v>
      </c>
      <c r="W48" s="127">
        <v>72.5</v>
      </c>
      <c r="X48" s="15">
        <v>167.64000000000001</v>
      </c>
      <c r="Y48" s="127">
        <v>72.5</v>
      </c>
      <c r="AF48" s="5">
        <v>12.0396</v>
      </c>
      <c r="AG48" s="127">
        <v>70</v>
      </c>
      <c r="AJ48" s="15">
        <v>914.4</v>
      </c>
      <c r="AK48" s="127">
        <v>72.5</v>
      </c>
      <c r="AL48" s="15">
        <v>203.2</v>
      </c>
      <c r="AM48" s="127">
        <v>70</v>
      </c>
      <c r="AN48" s="5">
        <v>99.567999999999998</v>
      </c>
      <c r="AO48" s="127">
        <v>72.5</v>
      </c>
      <c r="AR48" s="4">
        <v>0.20320000000000002</v>
      </c>
      <c r="AS48" s="127">
        <v>70</v>
      </c>
      <c r="AV48" s="6">
        <f t="shared" si="3"/>
        <v>1874.3168000000001</v>
      </c>
      <c r="AW48" s="5">
        <f t="shared" si="4"/>
        <v>72.212638226365982</v>
      </c>
      <c r="AX48" s="6">
        <f t="shared" si="5"/>
        <v>1353.4936099999998</v>
      </c>
      <c r="AZ48" s="127">
        <v>60</v>
      </c>
      <c r="BA48" s="127">
        <v>65</v>
      </c>
      <c r="BB48" s="25">
        <v>39</v>
      </c>
      <c r="BD48" s="6">
        <v>1526.0319999999999</v>
      </c>
      <c r="BF48" s="5">
        <v>5.08</v>
      </c>
      <c r="BI48" s="5">
        <v>5.08</v>
      </c>
      <c r="BP48" s="2">
        <v>375</v>
      </c>
      <c r="BS48" s="6">
        <v>1911.1919999999998</v>
      </c>
      <c r="BU48" s="5">
        <v>94.488</v>
      </c>
      <c r="BV48" s="6">
        <v>1052.5252</v>
      </c>
      <c r="BW48" s="15">
        <v>519.16965000000005</v>
      </c>
      <c r="CB48" s="15">
        <v>481.64114999999993</v>
      </c>
      <c r="CC48" s="6">
        <v>2147.8240000000001</v>
      </c>
      <c r="CD48" s="127">
        <v>70</v>
      </c>
      <c r="CE48" s="115">
        <v>1503.4767999999999</v>
      </c>
      <c r="CG48" s="25">
        <v>2.240466234219475</v>
      </c>
      <c r="CH48" s="169">
        <v>279.34393376578049</v>
      </c>
      <c r="CI48" s="15">
        <v>281.58439999999996</v>
      </c>
      <c r="CJ48" s="26">
        <v>70</v>
      </c>
      <c r="CK48" s="169">
        <v>197.10907999999995</v>
      </c>
      <c r="CW48" s="15">
        <f t="shared" si="7"/>
        <v>281.58439999999996</v>
      </c>
      <c r="CX48" s="2">
        <f t="shared" si="8"/>
        <v>70</v>
      </c>
      <c r="CY48" s="15">
        <v>197.10907999999995</v>
      </c>
      <c r="DK48" s="5">
        <v>70.029673590504373</v>
      </c>
      <c r="DL48" s="26">
        <v>70</v>
      </c>
      <c r="DM48" s="25">
        <f t="shared" si="6"/>
        <v>49.020771513353068</v>
      </c>
    </row>
    <row r="49" spans="1:117" x14ac:dyDescent="0.25">
      <c r="A49" s="2">
        <v>1896</v>
      </c>
      <c r="V49" s="15">
        <v>638.048</v>
      </c>
      <c r="W49" s="127">
        <v>72.5</v>
      </c>
      <c r="X49" s="15">
        <v>177.8</v>
      </c>
      <c r="Y49" s="127">
        <v>72.5</v>
      </c>
      <c r="AB49" s="5">
        <v>12.192</v>
      </c>
      <c r="AC49" s="127">
        <v>70</v>
      </c>
      <c r="AF49" s="5">
        <v>12.2936</v>
      </c>
      <c r="AG49" s="127">
        <v>70</v>
      </c>
      <c r="AJ49" s="15">
        <v>734.56799999999998</v>
      </c>
      <c r="AK49" s="127">
        <v>72.5</v>
      </c>
      <c r="AL49" s="15">
        <v>304.8</v>
      </c>
      <c r="AM49" s="127">
        <v>70</v>
      </c>
      <c r="AN49" s="15">
        <v>152.4</v>
      </c>
      <c r="AO49" s="127">
        <v>72.5</v>
      </c>
      <c r="AV49" s="6">
        <f t="shared" si="3"/>
        <v>2032.1016</v>
      </c>
      <c r="AW49" s="5">
        <f t="shared" si="4"/>
        <v>72.094895255237233</v>
      </c>
      <c r="AX49" s="6">
        <f t="shared" si="5"/>
        <v>1465.04152</v>
      </c>
      <c r="AZ49" s="127">
        <v>60</v>
      </c>
      <c r="BA49" s="127">
        <v>65</v>
      </c>
      <c r="BB49" s="25">
        <v>39</v>
      </c>
      <c r="BD49" s="6">
        <v>1686.56</v>
      </c>
      <c r="BF49" s="5">
        <v>10.16</v>
      </c>
      <c r="BI49" s="5">
        <v>5.08</v>
      </c>
      <c r="BP49" s="2">
        <v>375</v>
      </c>
      <c r="BS49" s="6">
        <v>2076.8000000000002</v>
      </c>
      <c r="BU49" s="5">
        <v>97.536000000000001</v>
      </c>
      <c r="BV49" s="6">
        <v>759.09170000000006</v>
      </c>
      <c r="BW49" s="15">
        <v>316.71260000000001</v>
      </c>
      <c r="CB49" s="15">
        <v>405.52369999999996</v>
      </c>
      <c r="CC49" s="6">
        <v>1578.864</v>
      </c>
      <c r="CD49" s="127">
        <v>70</v>
      </c>
      <c r="CE49" s="115">
        <v>1105.2048</v>
      </c>
      <c r="CG49" s="25">
        <v>2.7302321530198519</v>
      </c>
      <c r="CH49" s="169">
        <v>136.71576784698016</v>
      </c>
      <c r="CI49" s="15">
        <v>139.446</v>
      </c>
      <c r="CJ49" s="26">
        <v>70</v>
      </c>
      <c r="CK49" s="25">
        <v>97.612199999999987</v>
      </c>
      <c r="CW49" s="15">
        <f t="shared" si="7"/>
        <v>139.446</v>
      </c>
      <c r="CX49" s="2">
        <f t="shared" si="8"/>
        <v>70</v>
      </c>
      <c r="CY49" s="5">
        <v>97.612199999999987</v>
      </c>
      <c r="DK49" s="5">
        <v>14.243323442136498</v>
      </c>
      <c r="DL49" s="26">
        <v>70</v>
      </c>
      <c r="DM49" s="25">
        <f t="shared" si="6"/>
        <v>9.9703264094955486</v>
      </c>
    </row>
    <row r="50" spans="1:117" x14ac:dyDescent="0.25">
      <c r="A50" s="2">
        <v>1897</v>
      </c>
      <c r="T50" s="168">
        <v>18.033999999999999</v>
      </c>
      <c r="U50" s="127">
        <v>65</v>
      </c>
      <c r="V50" s="15">
        <v>701.04</v>
      </c>
      <c r="W50" s="127">
        <v>72.5</v>
      </c>
      <c r="X50" s="5">
        <v>67.055999999999997</v>
      </c>
      <c r="Y50" s="127">
        <v>72.5</v>
      </c>
      <c r="AF50" s="5">
        <v>11.734800000000002</v>
      </c>
      <c r="AG50" s="127">
        <v>70</v>
      </c>
      <c r="AJ50" s="15">
        <v>609.6</v>
      </c>
      <c r="AK50" s="127">
        <v>72.5</v>
      </c>
      <c r="AL50" s="2">
        <v>254</v>
      </c>
      <c r="AM50" s="127">
        <v>70</v>
      </c>
      <c r="AN50" s="5">
        <v>81.28</v>
      </c>
      <c r="AO50" s="127">
        <v>72.5</v>
      </c>
      <c r="AP50" s="4">
        <v>0.70104000000000011</v>
      </c>
      <c r="AQ50" s="127">
        <v>70</v>
      </c>
      <c r="AV50" s="6">
        <f t="shared" si="3"/>
        <v>1743.4458399999999</v>
      </c>
      <c r="AW50" s="5">
        <f t="shared" si="4"/>
        <v>72.040367368108207</v>
      </c>
      <c r="AX50" s="6">
        <f t="shared" si="5"/>
        <v>1255.984788</v>
      </c>
      <c r="AZ50" s="5">
        <v>47.752000000000002</v>
      </c>
      <c r="BA50" s="127">
        <v>65</v>
      </c>
      <c r="BB50" s="25">
        <v>31.038800000000002</v>
      </c>
      <c r="BD50" s="6">
        <v>1692.6559999999999</v>
      </c>
      <c r="BF50" s="5">
        <v>15.24</v>
      </c>
      <c r="BI50" s="5">
        <v>5.08</v>
      </c>
      <c r="BP50" s="2">
        <v>375</v>
      </c>
      <c r="BS50" s="6">
        <v>2087.9759999999997</v>
      </c>
      <c r="BU50" s="5">
        <v>53.847999999999999</v>
      </c>
      <c r="BV50" s="6">
        <v>761.11099999999999</v>
      </c>
      <c r="BW50" s="15">
        <v>189.1919</v>
      </c>
      <c r="CB50" s="15">
        <v>218.09710000000007</v>
      </c>
      <c r="CC50" s="6">
        <v>1222.248</v>
      </c>
      <c r="CD50" s="127">
        <v>70</v>
      </c>
      <c r="CE50" s="169">
        <v>855.57360000000006</v>
      </c>
      <c r="CG50" s="25">
        <v>3.3270609016699915</v>
      </c>
      <c r="CH50" s="25">
        <v>93.751739098330006</v>
      </c>
      <c r="CI50" s="5">
        <v>97.078800000000001</v>
      </c>
      <c r="CJ50" s="26">
        <v>70</v>
      </c>
      <c r="CK50" s="25">
        <v>67.955159999999992</v>
      </c>
      <c r="CW50" s="5">
        <f t="shared" si="7"/>
        <v>97.078800000000001</v>
      </c>
      <c r="CX50" s="2">
        <f t="shared" si="8"/>
        <v>70</v>
      </c>
      <c r="CY50" s="5">
        <v>67.955159999999992</v>
      </c>
      <c r="DK50" s="4">
        <v>0.59347181008902072</v>
      </c>
      <c r="DL50" s="26">
        <v>70</v>
      </c>
      <c r="DM50" s="38">
        <f t="shared" si="6"/>
        <v>0.41543026706231451</v>
      </c>
    </row>
    <row r="51" spans="1:117" x14ac:dyDescent="0.25">
      <c r="A51" s="2">
        <v>1898</v>
      </c>
      <c r="T51" s="168">
        <v>19.925211428571426</v>
      </c>
      <c r="U51" s="127">
        <v>65</v>
      </c>
      <c r="V51" s="15">
        <v>548.64</v>
      </c>
      <c r="W51" s="127">
        <v>72.5</v>
      </c>
      <c r="X51" s="25">
        <v>78.231999999999999</v>
      </c>
      <c r="Y51" s="127">
        <v>72.5</v>
      </c>
      <c r="AF51" s="25">
        <v>10.16</v>
      </c>
      <c r="AG51" s="127">
        <v>70</v>
      </c>
      <c r="AJ51" s="15">
        <v>480.56799999999998</v>
      </c>
      <c r="AK51" s="127">
        <v>72.5</v>
      </c>
      <c r="AL51" s="15">
        <v>152.4</v>
      </c>
      <c r="AM51" s="127">
        <v>70</v>
      </c>
      <c r="AN51" s="5">
        <v>66.040000000000006</v>
      </c>
      <c r="AO51" s="127">
        <v>72.5</v>
      </c>
      <c r="AR51" s="5">
        <v>1.016</v>
      </c>
      <c r="AS51" s="127">
        <v>70</v>
      </c>
      <c r="AV51" s="6">
        <f t="shared" si="3"/>
        <v>1356.9812114285714</v>
      </c>
      <c r="AW51" s="5">
        <f t="shared" si="4"/>
        <v>72.088513767905113</v>
      </c>
      <c r="AX51" s="15">
        <f>AV51*AW51/100</f>
        <v>978.22758742857127</v>
      </c>
      <c r="AZ51" s="5">
        <v>88.9</v>
      </c>
      <c r="BA51" s="127">
        <v>65</v>
      </c>
      <c r="BB51" s="25">
        <v>57.784999999999997</v>
      </c>
      <c r="BD51" s="6">
        <v>1316.7360000000001</v>
      </c>
      <c r="BF51" s="5">
        <v>25.4</v>
      </c>
      <c r="BI51" s="5">
        <v>5.08</v>
      </c>
      <c r="BP51" s="2">
        <v>375</v>
      </c>
      <c r="BS51" s="6">
        <v>1722.2160000000001</v>
      </c>
      <c r="BU51" s="5">
        <v>91.44</v>
      </c>
      <c r="BV51" s="6">
        <v>517.10590000000002</v>
      </c>
      <c r="BW51" s="15">
        <v>265.50619999999998</v>
      </c>
      <c r="CB51" s="15">
        <v>167.34789999999998</v>
      </c>
      <c r="CC51" s="6">
        <v>1041.4000000000001</v>
      </c>
      <c r="CD51" s="127">
        <v>70</v>
      </c>
      <c r="CE51" s="169">
        <v>728.98</v>
      </c>
      <c r="CG51" s="25">
        <v>4.054356414775051</v>
      </c>
      <c r="CH51" s="25">
        <v>65.175883585224938</v>
      </c>
      <c r="CI51" s="5">
        <v>69.230239999999995</v>
      </c>
      <c r="CJ51" s="26">
        <v>70</v>
      </c>
      <c r="CK51" s="25">
        <v>48.461168000000001</v>
      </c>
      <c r="CW51" s="5">
        <f t="shared" si="7"/>
        <v>69.230239999999995</v>
      </c>
      <c r="CX51" s="2">
        <f t="shared" si="8"/>
        <v>70</v>
      </c>
      <c r="CY51" s="5">
        <v>48.461168000000001</v>
      </c>
      <c r="DK51" s="5">
        <v>1.1869436201780414</v>
      </c>
      <c r="DL51" s="26">
        <v>70</v>
      </c>
      <c r="DM51" s="38">
        <f t="shared" si="6"/>
        <v>0.83086053412462901</v>
      </c>
    </row>
    <row r="52" spans="1:117" x14ac:dyDescent="0.25">
      <c r="A52" s="2">
        <v>1899</v>
      </c>
      <c r="V52" s="15">
        <v>477.52</v>
      </c>
      <c r="W52" s="127">
        <v>72.5</v>
      </c>
      <c r="X52" s="5">
        <v>90.932000000000002</v>
      </c>
      <c r="Y52" s="127">
        <v>72.5</v>
      </c>
      <c r="Z52" s="15">
        <v>141.22399999999999</v>
      </c>
      <c r="AA52" s="127">
        <v>72.5</v>
      </c>
      <c r="AB52" s="5">
        <v>5.08</v>
      </c>
      <c r="AC52" s="127">
        <v>70</v>
      </c>
      <c r="AF52" s="5">
        <v>9.1440000000000001</v>
      </c>
      <c r="AG52" s="127">
        <v>70</v>
      </c>
      <c r="AJ52" s="169">
        <v>565.70880000000011</v>
      </c>
      <c r="AK52" s="127">
        <v>72.5</v>
      </c>
      <c r="AL52" s="169">
        <v>141.42720000000003</v>
      </c>
      <c r="AM52" s="127">
        <v>70</v>
      </c>
      <c r="AN52" s="5">
        <v>71.882000000000005</v>
      </c>
      <c r="AO52" s="127">
        <v>72.5</v>
      </c>
      <c r="AR52" s="5">
        <v>5.08</v>
      </c>
      <c r="AS52" s="127">
        <v>70</v>
      </c>
      <c r="AV52" s="6">
        <f t="shared" si="3"/>
        <v>1507.998</v>
      </c>
      <c r="AW52" s="5">
        <f t="shared" si="4"/>
        <v>72.233535455617329</v>
      </c>
      <c r="AX52" s="6">
        <f t="shared" si="5"/>
        <v>1089.2802700000002</v>
      </c>
      <c r="AZ52" s="15">
        <v>158.49600000000001</v>
      </c>
      <c r="BA52" s="127">
        <v>65</v>
      </c>
      <c r="BB52" s="169">
        <v>103.0224</v>
      </c>
      <c r="BD52" s="6">
        <v>1357.376</v>
      </c>
      <c r="BF52" s="5">
        <v>35.56</v>
      </c>
      <c r="BI52" s="5">
        <v>4.9783999999999997</v>
      </c>
      <c r="BO52" s="15">
        <v>135.12800000000001</v>
      </c>
      <c r="BP52" s="15">
        <v>417.9</v>
      </c>
      <c r="BS52" s="6">
        <v>1950.9423999999999</v>
      </c>
      <c r="BU52" s="5">
        <v>74.168000000000006</v>
      </c>
      <c r="BV52" s="6">
        <v>755.51029999999992</v>
      </c>
      <c r="BW52" s="15">
        <v>291.14749999999998</v>
      </c>
      <c r="CB52" s="15">
        <v>208.10220000000027</v>
      </c>
      <c r="CC52" s="6">
        <v>1328.9280000000001</v>
      </c>
      <c r="CD52" s="127">
        <v>70</v>
      </c>
      <c r="CE52" s="169">
        <v>930.2496000000001</v>
      </c>
      <c r="CG52" s="25">
        <v>4.9406387270448766</v>
      </c>
      <c r="CH52" s="169">
        <v>276.81648127295512</v>
      </c>
      <c r="CI52" s="15">
        <v>281.75711999999999</v>
      </c>
      <c r="CJ52" s="26">
        <v>70</v>
      </c>
      <c r="CK52" s="169">
        <v>197.229984</v>
      </c>
      <c r="CN52" s="5">
        <v>58.42</v>
      </c>
      <c r="CO52" s="26">
        <v>70</v>
      </c>
      <c r="CP52" s="25">
        <v>40.893999999999998</v>
      </c>
      <c r="CW52" s="15">
        <f t="shared" si="7"/>
        <v>340.17712</v>
      </c>
      <c r="CX52" s="2">
        <f t="shared" si="8"/>
        <v>70</v>
      </c>
      <c r="CY52" s="15">
        <v>238.12398400000001</v>
      </c>
    </row>
    <row r="53" spans="1:117" x14ac:dyDescent="0.25">
      <c r="A53" s="2">
        <v>1900</v>
      </c>
      <c r="J53" s="168">
        <v>2.0455466666666666</v>
      </c>
      <c r="K53" s="127">
        <v>70</v>
      </c>
      <c r="T53" s="168">
        <v>10.769600000000001</v>
      </c>
      <c r="U53" s="2">
        <v>66</v>
      </c>
      <c r="V53" s="2">
        <v>508</v>
      </c>
      <c r="W53" s="127">
        <v>72.5</v>
      </c>
      <c r="X53" s="5">
        <v>71.12</v>
      </c>
      <c r="Y53" s="127">
        <v>72.5</v>
      </c>
      <c r="AB53" s="5">
        <v>5.08</v>
      </c>
      <c r="AC53" s="127">
        <v>70</v>
      </c>
      <c r="AD53" s="168">
        <v>7.3298755555555557</v>
      </c>
      <c r="AE53" s="127">
        <v>70</v>
      </c>
      <c r="AF53" s="5">
        <v>12.192</v>
      </c>
      <c r="AG53" s="127">
        <v>70</v>
      </c>
      <c r="AH53" s="168">
        <v>12.4968</v>
      </c>
      <c r="AI53" s="127">
        <v>70</v>
      </c>
      <c r="AJ53" s="15">
        <v>445.262</v>
      </c>
      <c r="AK53" s="127">
        <v>72.5</v>
      </c>
      <c r="AL53" s="15">
        <v>203.708</v>
      </c>
      <c r="AM53" s="127">
        <v>70</v>
      </c>
      <c r="AN53" s="5">
        <v>80.263999999999996</v>
      </c>
      <c r="AO53" s="127">
        <v>72.5</v>
      </c>
      <c r="AR53" s="5">
        <v>5.08</v>
      </c>
      <c r="AS53" s="127">
        <v>70</v>
      </c>
      <c r="AV53" s="6">
        <f t="shared" si="3"/>
        <v>1363.3478222222222</v>
      </c>
      <c r="AW53" s="5">
        <f t="shared" si="4"/>
        <v>71.994015434424398</v>
      </c>
      <c r="AX53" s="15">
        <f t="shared" si="5"/>
        <v>981.52884155555557</v>
      </c>
      <c r="AZ53" s="5">
        <v>72.135999999999996</v>
      </c>
      <c r="BA53" s="127">
        <v>65</v>
      </c>
      <c r="BB53" s="25">
        <v>46.888400000000004</v>
      </c>
      <c r="BD53" s="6">
        <v>1363.472</v>
      </c>
      <c r="BF53" s="5">
        <v>6.0960000000000001</v>
      </c>
      <c r="BI53" s="5">
        <v>2.1335999999999995</v>
      </c>
      <c r="BJ53" s="5">
        <v>13.512799999999999</v>
      </c>
      <c r="BK53" s="15">
        <v>104.60736000000001</v>
      </c>
      <c r="BO53" s="5">
        <v>26.456639999999979</v>
      </c>
      <c r="BP53" s="15">
        <v>346.5</v>
      </c>
      <c r="BS53" s="6">
        <v>1862.7783999999997</v>
      </c>
      <c r="BU53" s="5">
        <v>65.024000000000001</v>
      </c>
      <c r="BV53" s="6">
        <v>514.85800000000006</v>
      </c>
      <c r="BW53" s="15">
        <v>161.08680000000001</v>
      </c>
      <c r="BZ53" s="5">
        <v>6.2737999999999996</v>
      </c>
      <c r="CA53" s="4">
        <v>0.92710000000000004</v>
      </c>
      <c r="CB53" s="15">
        <v>392.79829999999993</v>
      </c>
      <c r="CC53" s="6">
        <v>1140.9680000000001</v>
      </c>
      <c r="CD53" s="127">
        <v>70</v>
      </c>
      <c r="CE53" s="169">
        <v>798.6776000000001</v>
      </c>
      <c r="CG53" s="25">
        <v>6.0206623527768866</v>
      </c>
      <c r="CH53" s="169">
        <v>436.56925764722314</v>
      </c>
      <c r="CI53" s="15">
        <v>442.58992000000001</v>
      </c>
      <c r="CJ53" s="26">
        <v>70</v>
      </c>
      <c r="CK53" s="169">
        <v>309.81294400000002</v>
      </c>
      <c r="CN53" s="15">
        <v>394.07592</v>
      </c>
      <c r="CO53" s="26">
        <v>70</v>
      </c>
      <c r="CP53" s="169">
        <v>275.85314399999999</v>
      </c>
      <c r="CW53" s="15">
        <f t="shared" si="7"/>
        <v>836.66584</v>
      </c>
      <c r="CX53" s="2">
        <f t="shared" si="8"/>
        <v>70</v>
      </c>
      <c r="CY53" s="15">
        <v>585.66608800000006</v>
      </c>
      <c r="DK53" s="5">
        <v>16.61721068249258</v>
      </c>
      <c r="DL53" s="26">
        <v>70</v>
      </c>
      <c r="DM53" s="25">
        <f t="shared" ref="DM53:DM116" si="9">DK53*DL53/100</f>
        <v>11.632047477744807</v>
      </c>
    </row>
    <row r="54" spans="1:117" x14ac:dyDescent="0.25">
      <c r="A54" s="2">
        <v>1901</v>
      </c>
      <c r="B54" s="170">
        <v>0.12246428571428572</v>
      </c>
      <c r="C54" s="127">
        <v>70</v>
      </c>
      <c r="J54" s="168">
        <v>1.0809780172413792</v>
      </c>
      <c r="K54" s="127">
        <v>70</v>
      </c>
      <c r="V54" s="15">
        <v>408.43200000000002</v>
      </c>
      <c r="W54" s="127">
        <v>72.5</v>
      </c>
      <c r="X54" s="5">
        <v>5.3339999999999996</v>
      </c>
      <c r="Y54" s="127">
        <v>72.5</v>
      </c>
      <c r="AB54" s="5">
        <v>2.032</v>
      </c>
      <c r="AC54" s="127">
        <v>70</v>
      </c>
      <c r="AF54" s="5">
        <v>13.462</v>
      </c>
      <c r="AG54" s="127">
        <v>70</v>
      </c>
      <c r="AH54" s="168">
        <v>9.5506189655172413</v>
      </c>
      <c r="AI54" s="127">
        <v>70</v>
      </c>
      <c r="AJ54" s="15">
        <v>311.91199999999998</v>
      </c>
      <c r="AK54" s="127">
        <v>72.5</v>
      </c>
      <c r="AL54" s="15">
        <v>203.2</v>
      </c>
      <c r="AM54" s="127">
        <v>70</v>
      </c>
      <c r="AN54" s="2">
        <v>76.2</v>
      </c>
      <c r="AO54" s="127">
        <v>72.5</v>
      </c>
      <c r="AR54" s="5">
        <v>8.1280000000000001</v>
      </c>
      <c r="AS54" s="127">
        <v>70</v>
      </c>
      <c r="AV54" s="6">
        <f t="shared" si="3"/>
        <v>1039.4540612684727</v>
      </c>
      <c r="AW54" s="5">
        <f t="shared" si="4"/>
        <v>71.928603749504461</v>
      </c>
      <c r="AX54" s="15">
        <f t="shared" si="5"/>
        <v>747.66479288793107</v>
      </c>
      <c r="AZ54" s="5">
        <v>72.135999999999996</v>
      </c>
      <c r="BA54" s="127">
        <v>65</v>
      </c>
      <c r="BB54" s="25">
        <v>46.888400000000004</v>
      </c>
      <c r="BD54" s="15">
        <v>997.71199999999999</v>
      </c>
      <c r="BF54" s="5">
        <v>15.24</v>
      </c>
      <c r="BI54" s="5">
        <v>2.1335999999999995</v>
      </c>
      <c r="BJ54" s="5">
        <v>11.379199999999999</v>
      </c>
      <c r="BK54" s="15">
        <v>111.19104000000002</v>
      </c>
      <c r="BO54" s="5">
        <v>21.904959999999988</v>
      </c>
      <c r="BP54" s="15">
        <v>336</v>
      </c>
      <c r="BS54" s="6">
        <v>1495.5608</v>
      </c>
      <c r="BU54" s="5">
        <v>82.296000000000006</v>
      </c>
      <c r="BV54" s="15">
        <v>924.75049999999999</v>
      </c>
      <c r="BW54" s="15">
        <v>230.21290000000002</v>
      </c>
      <c r="BZ54" s="5">
        <v>3.302</v>
      </c>
      <c r="CA54" s="4">
        <v>0.35559999999999997</v>
      </c>
      <c r="CB54" s="15">
        <v>446.65899999999988</v>
      </c>
      <c r="CC54" s="6">
        <v>1687.576</v>
      </c>
      <c r="CD54" s="127">
        <v>70</v>
      </c>
      <c r="CE54" s="115">
        <v>1181.3032000000001</v>
      </c>
      <c r="CG54" s="25">
        <v>7.3367791430939135</v>
      </c>
      <c r="CH54" s="169">
        <v>319.14466085690606</v>
      </c>
      <c r="CI54" s="15">
        <v>326.48143999999996</v>
      </c>
      <c r="CJ54" s="26">
        <v>70</v>
      </c>
      <c r="CK54" s="169">
        <v>228.53700799999999</v>
      </c>
      <c r="CN54" s="15">
        <v>419.58768000000003</v>
      </c>
      <c r="CO54" s="26">
        <v>70</v>
      </c>
      <c r="CP54" s="169">
        <v>293.71137600000003</v>
      </c>
      <c r="CW54" s="15">
        <f t="shared" si="7"/>
        <v>746.06912</v>
      </c>
      <c r="CX54" s="2">
        <f t="shared" si="8"/>
        <v>70</v>
      </c>
      <c r="CY54" s="15">
        <v>522.24838399999999</v>
      </c>
      <c r="DK54" s="5">
        <v>80.71216617210662</v>
      </c>
      <c r="DL54" s="26">
        <v>70</v>
      </c>
      <c r="DM54" s="25">
        <f t="shared" si="9"/>
        <v>56.498516320474636</v>
      </c>
    </row>
    <row r="55" spans="1:117" x14ac:dyDescent="0.25">
      <c r="A55" s="2">
        <v>1902</v>
      </c>
      <c r="B55" s="168">
        <v>1.5254242990654205</v>
      </c>
      <c r="C55" s="127">
        <v>70</v>
      </c>
      <c r="J55" s="127">
        <v>1</v>
      </c>
      <c r="K55" s="127">
        <v>70</v>
      </c>
      <c r="T55" s="168">
        <v>23.27361644859813</v>
      </c>
      <c r="U55" s="127">
        <v>65</v>
      </c>
      <c r="V55" s="15">
        <v>406.4</v>
      </c>
      <c r="W55" s="127">
        <v>72.5</v>
      </c>
      <c r="X55" s="5">
        <v>4.3179999999999996</v>
      </c>
      <c r="Y55" s="127">
        <v>72.5</v>
      </c>
      <c r="AB55" s="5">
        <v>2.032</v>
      </c>
      <c r="AC55" s="127">
        <v>70</v>
      </c>
      <c r="AF55" s="168">
        <v>13.075065420560747</v>
      </c>
      <c r="AG55" s="127">
        <v>70</v>
      </c>
      <c r="AJ55" s="15">
        <v>473.45600000000002</v>
      </c>
      <c r="AK55" s="127">
        <v>72.5</v>
      </c>
      <c r="AL55" s="15">
        <v>213.36</v>
      </c>
      <c r="AM55" s="127">
        <v>70</v>
      </c>
      <c r="AN55" s="5">
        <v>43.688000000000002</v>
      </c>
      <c r="AO55" s="127">
        <v>72.5</v>
      </c>
      <c r="AR55" s="5">
        <v>19.558</v>
      </c>
      <c r="AS55" s="127">
        <v>70</v>
      </c>
      <c r="AV55" s="6">
        <f t="shared" si="3"/>
        <v>1201.6861061682243</v>
      </c>
      <c r="AW55" s="5">
        <f t="shared" si="4"/>
        <v>71.83349620707736</v>
      </c>
      <c r="AX55" s="15">
        <f t="shared" si="5"/>
        <v>863.21314349532713</v>
      </c>
      <c r="AZ55" s="5">
        <v>10.16</v>
      </c>
      <c r="BA55" s="127">
        <v>65</v>
      </c>
      <c r="BB55" s="25">
        <v>6.6040000000000001</v>
      </c>
      <c r="BD55" s="15">
        <v>898.14400000000001</v>
      </c>
      <c r="BF55" s="5">
        <v>41.655999999999999</v>
      </c>
      <c r="BI55" s="5">
        <v>28.448</v>
      </c>
      <c r="BK55" s="15">
        <v>121.98096000000001</v>
      </c>
      <c r="BO55" s="5">
        <v>93.411039999999986</v>
      </c>
      <c r="BP55" s="15">
        <v>758.8</v>
      </c>
      <c r="BS55" s="6">
        <v>1942.4399999999998</v>
      </c>
      <c r="BU55" s="6">
        <v>113.919</v>
      </c>
      <c r="BV55" s="6">
        <v>1549.0444000000002</v>
      </c>
      <c r="BW55" s="15">
        <v>120.9421</v>
      </c>
      <c r="BZ55" s="5">
        <v>1.1049</v>
      </c>
      <c r="CA55" s="4">
        <v>0.91439999999999999</v>
      </c>
      <c r="CB55" s="15">
        <v>332.4351999999999</v>
      </c>
      <c r="CC55" s="6">
        <v>2118.36</v>
      </c>
      <c r="CD55" s="127">
        <v>70</v>
      </c>
      <c r="CE55" s="115">
        <v>1482.8520000000001</v>
      </c>
      <c r="CG55" s="25">
        <v>8.9405990637742416</v>
      </c>
      <c r="CH55" s="169">
        <v>400.72076093622576</v>
      </c>
      <c r="CI55" s="15">
        <v>409.66136</v>
      </c>
      <c r="CJ55" s="26">
        <v>70</v>
      </c>
      <c r="CK55" s="169">
        <v>286.76295199999998</v>
      </c>
      <c r="CN55" s="15">
        <v>219.82684</v>
      </c>
      <c r="CO55" s="26">
        <v>70</v>
      </c>
      <c r="CP55" s="169">
        <v>153.87878800000001</v>
      </c>
      <c r="CW55" s="15">
        <f t="shared" si="7"/>
        <v>629.48820000000001</v>
      </c>
      <c r="CX55" s="2">
        <f t="shared" si="8"/>
        <v>70</v>
      </c>
      <c r="CY55" s="15">
        <v>440.64173999999997</v>
      </c>
      <c r="DK55" s="15">
        <v>122.25519287833758</v>
      </c>
      <c r="DL55" s="26">
        <v>70</v>
      </c>
      <c r="DM55" s="25">
        <f t="shared" si="9"/>
        <v>85.578635014836308</v>
      </c>
    </row>
    <row r="56" spans="1:117" x14ac:dyDescent="0.25">
      <c r="A56" s="2">
        <v>1903</v>
      </c>
      <c r="D56" s="168">
        <v>1.1324101936799187</v>
      </c>
      <c r="E56" s="127">
        <v>70</v>
      </c>
      <c r="T56" s="168">
        <v>56.620509683995927</v>
      </c>
      <c r="U56" s="127">
        <v>65</v>
      </c>
      <c r="V56" s="15">
        <v>472.44</v>
      </c>
      <c r="W56" s="127">
        <v>72.5</v>
      </c>
      <c r="X56" s="5">
        <v>9.1440000000000001</v>
      </c>
      <c r="Y56" s="127">
        <v>72.5</v>
      </c>
      <c r="AB56" s="168">
        <v>15.098802582398914</v>
      </c>
      <c r="AC56" s="127">
        <v>70</v>
      </c>
      <c r="AD56" s="168">
        <v>2.8310254841997966</v>
      </c>
      <c r="AE56" s="127">
        <v>70</v>
      </c>
      <c r="AF56" s="168">
        <v>24.535554196398238</v>
      </c>
      <c r="AG56" s="127">
        <v>70</v>
      </c>
      <c r="AJ56" s="15">
        <v>457.2</v>
      </c>
      <c r="AK56" s="127">
        <v>72.5</v>
      </c>
      <c r="AL56" s="171">
        <v>320.84955487597693</v>
      </c>
      <c r="AM56" s="127">
        <v>70</v>
      </c>
      <c r="AN56" s="5">
        <v>50.545999999999999</v>
      </c>
      <c r="AO56" s="127">
        <v>72.5</v>
      </c>
      <c r="AR56" s="5">
        <v>27.889199999999999</v>
      </c>
      <c r="AS56" s="127">
        <v>70</v>
      </c>
      <c r="AV56" s="6">
        <f t="shared" si="3"/>
        <v>1438.2870570166499</v>
      </c>
      <c r="AW56" s="5">
        <f t="shared" si="4"/>
        <v>71.522799249909866</v>
      </c>
      <c r="AX56" s="6">
        <f t="shared" si="5"/>
        <v>1028.7031644274552</v>
      </c>
      <c r="AZ56" s="5">
        <v>33.527999999999999</v>
      </c>
      <c r="BA56" s="127">
        <v>65</v>
      </c>
      <c r="BB56" s="25">
        <v>21.793199999999999</v>
      </c>
      <c r="BD56" s="15">
        <v>885.952</v>
      </c>
      <c r="BF56" s="5">
        <v>54.864000000000004</v>
      </c>
      <c r="BI56" s="5">
        <v>52.628799999999998</v>
      </c>
      <c r="BK56" s="15">
        <v>182.51424</v>
      </c>
      <c r="BO56" s="15">
        <v>152.76576000000003</v>
      </c>
      <c r="BP56" s="6">
        <v>1041.5999999999999</v>
      </c>
      <c r="BS56" s="6">
        <v>2370.3247999999999</v>
      </c>
      <c r="BU56" s="6">
        <v>256.84480000000002</v>
      </c>
      <c r="BV56" s="6">
        <v>2304.5293000000001</v>
      </c>
      <c r="BW56" s="15">
        <v>620.00130000000001</v>
      </c>
      <c r="BZ56" s="5">
        <v>6.0960000000000001</v>
      </c>
      <c r="CA56" s="5">
        <v>1.6256000000000002</v>
      </c>
      <c r="CB56" s="15">
        <v>578.73900000000049</v>
      </c>
      <c r="CC56" s="6">
        <v>3767.8360000000002</v>
      </c>
      <c r="CD56" s="127">
        <v>70</v>
      </c>
      <c r="CE56" s="115">
        <v>2637.4852000000001</v>
      </c>
      <c r="CG56" s="25">
        <v>10.89501401911529</v>
      </c>
      <c r="CH56" s="169">
        <v>522.44402598088482</v>
      </c>
      <c r="CI56" s="15">
        <v>533.33904000000007</v>
      </c>
      <c r="CJ56" s="26">
        <v>70</v>
      </c>
      <c r="CK56" s="169">
        <v>373.33732800000007</v>
      </c>
      <c r="CN56" s="15">
        <v>296.78376000000003</v>
      </c>
      <c r="CO56" s="26">
        <v>70</v>
      </c>
      <c r="CP56" s="169">
        <v>207.74863200000004</v>
      </c>
      <c r="CW56" s="15">
        <f t="shared" si="7"/>
        <v>830.1228000000001</v>
      </c>
      <c r="CX56" s="2">
        <f t="shared" si="8"/>
        <v>70</v>
      </c>
      <c r="CY56" s="15">
        <v>581.08596</v>
      </c>
      <c r="DK56" s="15">
        <v>173.88724035608288</v>
      </c>
      <c r="DL56" s="26">
        <v>70</v>
      </c>
      <c r="DM56" s="169">
        <f t="shared" si="9"/>
        <v>121.72106824925802</v>
      </c>
    </row>
    <row r="57" spans="1:117" x14ac:dyDescent="0.25">
      <c r="A57" s="2">
        <v>1904</v>
      </c>
      <c r="B57" s="168">
        <v>3.5520061055933083</v>
      </c>
      <c r="C57" s="127">
        <v>70</v>
      </c>
      <c r="P57" s="168">
        <v>4.0640000000000001</v>
      </c>
      <c r="Q57" s="127">
        <v>72.5</v>
      </c>
      <c r="T57" s="168">
        <v>37.724754500784101</v>
      </c>
      <c r="U57" s="127">
        <v>65</v>
      </c>
      <c r="V57" s="15">
        <v>558.79999999999995</v>
      </c>
      <c r="W57" s="127">
        <v>72.5</v>
      </c>
      <c r="X57" s="5">
        <v>15.24</v>
      </c>
      <c r="Y57" s="127">
        <v>72.5</v>
      </c>
      <c r="AB57" s="5">
        <v>8.1280000000000001</v>
      </c>
      <c r="AC57" s="127">
        <v>70</v>
      </c>
      <c r="AF57" s="168">
        <v>14.881680752744378</v>
      </c>
      <c r="AG57" s="127">
        <v>70</v>
      </c>
      <c r="AJ57" s="2">
        <v>508</v>
      </c>
      <c r="AK57" s="127">
        <v>72.5</v>
      </c>
      <c r="AL57" s="15">
        <v>263.14400000000001</v>
      </c>
      <c r="AM57" s="127">
        <v>70</v>
      </c>
      <c r="AN57" s="15">
        <v>182.88</v>
      </c>
      <c r="AO57" s="127">
        <v>72.5</v>
      </c>
      <c r="AR57" s="5">
        <v>7.4676</v>
      </c>
      <c r="AS57" s="127">
        <v>70</v>
      </c>
      <c r="AV57" s="6">
        <f t="shared" si="3"/>
        <v>1603.8820413591216</v>
      </c>
      <c r="AW57" s="5">
        <f t="shared" si="4"/>
        <v>71.860383837808683</v>
      </c>
      <c r="AX57" s="6">
        <f t="shared" si="5"/>
        <v>1152.5557912263462</v>
      </c>
      <c r="AZ57" s="5">
        <v>72.135999999999996</v>
      </c>
      <c r="BA57" s="127">
        <v>65</v>
      </c>
      <c r="BB57" s="25">
        <v>46.888400000000004</v>
      </c>
      <c r="BD57" s="15">
        <v>875.79200000000003</v>
      </c>
      <c r="BF57" s="5">
        <v>27.432000000000002</v>
      </c>
      <c r="BI57" s="5">
        <v>63.296799999999998</v>
      </c>
      <c r="BJ57" s="5">
        <v>0.71119999999999994</v>
      </c>
      <c r="BK57" s="15">
        <v>174.10175999999998</v>
      </c>
      <c r="BO57" s="15">
        <v>215.02624</v>
      </c>
      <c r="BP57" s="6">
        <v>1136.8</v>
      </c>
      <c r="BS57" s="6">
        <v>2493.16</v>
      </c>
      <c r="BU57" s="6">
        <v>364.29950000000002</v>
      </c>
      <c r="BV57" s="6">
        <v>2205.8375999999998</v>
      </c>
      <c r="BW57" s="15">
        <v>715.49260000000004</v>
      </c>
      <c r="BZ57" s="5">
        <v>15.3162</v>
      </c>
      <c r="CB57" s="15">
        <v>684.82209999999986</v>
      </c>
      <c r="CC57" s="6">
        <v>3985.768</v>
      </c>
      <c r="CD57" s="127">
        <v>70</v>
      </c>
      <c r="CE57" s="115">
        <v>2790.0376000000001</v>
      </c>
      <c r="CG57" s="25">
        <v>13.276664083693891</v>
      </c>
      <c r="CH57" s="169">
        <v>528.90157591630611</v>
      </c>
      <c r="CI57" s="15">
        <v>542.17823999999996</v>
      </c>
      <c r="CJ57" s="26">
        <v>70</v>
      </c>
      <c r="CK57" s="169">
        <v>379.52476799999999</v>
      </c>
      <c r="CN57" s="15">
        <v>325.99376000000001</v>
      </c>
      <c r="CO57" s="26">
        <v>70</v>
      </c>
      <c r="CP57" s="169">
        <v>228.19563200000002</v>
      </c>
      <c r="CW57" s="15">
        <f t="shared" si="7"/>
        <v>868.17200000000003</v>
      </c>
      <c r="CX57" s="2">
        <f t="shared" si="8"/>
        <v>69.999999999999986</v>
      </c>
      <c r="CY57" s="15">
        <v>607.72039999999981</v>
      </c>
      <c r="DK57" s="15">
        <v>274.18397626112761</v>
      </c>
      <c r="DL57" s="26">
        <v>70</v>
      </c>
      <c r="DM57" s="169">
        <f t="shared" si="9"/>
        <v>191.92878338278933</v>
      </c>
    </row>
    <row r="58" spans="1:117" x14ac:dyDescent="0.25">
      <c r="A58" s="2">
        <v>1905</v>
      </c>
      <c r="B58" s="168">
        <v>8.1637198831927336</v>
      </c>
      <c r="C58" s="127">
        <v>70</v>
      </c>
      <c r="P58" s="168">
        <v>4.2997947436729405</v>
      </c>
      <c r="Q58" s="127">
        <v>72.5</v>
      </c>
      <c r="T58" s="5">
        <v>20.32</v>
      </c>
      <c r="U58" s="127">
        <v>65</v>
      </c>
      <c r="V58" s="6">
        <v>1175.5119999999999</v>
      </c>
      <c r="W58" s="127">
        <v>72.5</v>
      </c>
      <c r="X58" s="5">
        <v>10.16</v>
      </c>
      <c r="Y58" s="127">
        <v>72.5</v>
      </c>
      <c r="AF58" s="168">
        <v>10.896740103828684</v>
      </c>
      <c r="AG58" s="127">
        <v>70</v>
      </c>
      <c r="AJ58" s="15">
        <v>460.24799999999999</v>
      </c>
      <c r="AK58" s="127">
        <v>72.5</v>
      </c>
      <c r="AL58" s="168">
        <v>77.749713173264112</v>
      </c>
      <c r="AM58" s="127">
        <v>70</v>
      </c>
      <c r="AN58" s="15">
        <v>105.664</v>
      </c>
      <c r="AO58" s="127">
        <v>72.5</v>
      </c>
      <c r="AR58" s="5">
        <v>2.4384000000000001</v>
      </c>
      <c r="AS58" s="127">
        <v>70</v>
      </c>
      <c r="AV58" s="6">
        <f t="shared" si="3"/>
        <v>1875.4523679039587</v>
      </c>
      <c r="AW58" s="5">
        <f t="shared" si="4"/>
        <v>72.286440093198237</v>
      </c>
      <c r="AX58" s="6">
        <f t="shared" si="5"/>
        <v>1355.6977524013628</v>
      </c>
      <c r="AZ58" s="15">
        <v>125.98400000000001</v>
      </c>
      <c r="BA58" s="127">
        <v>65</v>
      </c>
      <c r="BB58" s="25">
        <v>81.889600000000016</v>
      </c>
      <c r="BD58" s="15">
        <v>853.44</v>
      </c>
      <c r="BF58" s="5">
        <v>46.736000000000004</v>
      </c>
      <c r="BI58" s="5">
        <v>71.12</v>
      </c>
      <c r="BJ58" s="5">
        <v>16.748760000000001</v>
      </c>
      <c r="BK58" s="15">
        <v>145.353024</v>
      </c>
      <c r="BO58" s="15">
        <v>140.14297599999998</v>
      </c>
      <c r="BP58" s="6">
        <v>1533</v>
      </c>
      <c r="BS58" s="6">
        <v>2806.5407599999999</v>
      </c>
      <c r="BU58" s="6">
        <v>339.39480000000003</v>
      </c>
      <c r="BV58" s="6">
        <v>2326.9067000000018</v>
      </c>
      <c r="BW58" s="15">
        <v>695.17259999999999</v>
      </c>
      <c r="BZ58" s="4">
        <v>0.95250000000000001</v>
      </c>
      <c r="CB58" s="15">
        <v>645.69339999999829</v>
      </c>
      <c r="CC58" s="6">
        <v>4008.12</v>
      </c>
      <c r="CD58" s="127">
        <v>70</v>
      </c>
      <c r="CE58" s="115">
        <v>2805.6839999999997</v>
      </c>
      <c r="CG58" s="25">
        <v>16.178942852389376</v>
      </c>
      <c r="CH58" s="169">
        <v>637.63737714761066</v>
      </c>
      <c r="CI58" s="15">
        <v>653.81632000000002</v>
      </c>
      <c r="CJ58" s="26">
        <v>70</v>
      </c>
      <c r="CK58" s="169">
        <v>457.67142400000006</v>
      </c>
      <c r="CN58" s="15">
        <v>442.71184</v>
      </c>
      <c r="CO58" s="26">
        <v>70</v>
      </c>
      <c r="CP58" s="169">
        <v>309.89828799999998</v>
      </c>
      <c r="CW58" s="6">
        <f t="shared" si="7"/>
        <v>1096.5281600000001</v>
      </c>
      <c r="CX58" s="2">
        <f t="shared" si="8"/>
        <v>70</v>
      </c>
      <c r="CY58" s="15">
        <v>767.56971199999998</v>
      </c>
      <c r="DK58" s="15">
        <v>292.5816023738866</v>
      </c>
      <c r="DL58" s="26">
        <v>70</v>
      </c>
      <c r="DM58" s="169">
        <f t="shared" si="9"/>
        <v>204.80712166172063</v>
      </c>
    </row>
    <row r="59" spans="1:117" x14ac:dyDescent="0.25">
      <c r="A59" s="2">
        <v>1906</v>
      </c>
      <c r="B59" s="168">
        <v>9.4947823152210589</v>
      </c>
      <c r="C59" s="127">
        <v>70</v>
      </c>
      <c r="D59" s="5">
        <v>1.0794999999999999</v>
      </c>
      <c r="E59" s="127">
        <v>70</v>
      </c>
      <c r="J59" s="168">
        <v>37.591999999999999</v>
      </c>
      <c r="K59" s="127">
        <v>70</v>
      </c>
      <c r="T59" s="171">
        <v>127.21773877826529</v>
      </c>
      <c r="U59" s="127">
        <v>65</v>
      </c>
      <c r="V59" s="6">
        <v>1504.6959999999999</v>
      </c>
      <c r="W59" s="127">
        <v>72.5</v>
      </c>
      <c r="X59" s="171">
        <v>154.30307121160988</v>
      </c>
      <c r="Y59" s="127">
        <v>72.5</v>
      </c>
      <c r="AB59" s="168">
        <v>10.286871414107322</v>
      </c>
      <c r="AC59" s="127">
        <v>70</v>
      </c>
      <c r="AF59" s="168">
        <v>11.819615254809316</v>
      </c>
      <c r="AG59" s="127">
        <v>70</v>
      </c>
      <c r="AJ59" s="15">
        <v>416.56</v>
      </c>
      <c r="AK59" s="127">
        <v>72.5</v>
      </c>
      <c r="AL59" s="25">
        <v>51.43435707053662</v>
      </c>
      <c r="AM59" s="127">
        <v>70</v>
      </c>
      <c r="AN59" s="15">
        <v>122.93600000000001</v>
      </c>
      <c r="AO59" s="127">
        <v>72.5</v>
      </c>
      <c r="AR59" s="5">
        <v>13.462</v>
      </c>
      <c r="AS59" s="127">
        <v>70</v>
      </c>
      <c r="AV59" s="6">
        <f t="shared" si="3"/>
        <v>2460.8819360445495</v>
      </c>
      <c r="AW59" s="5">
        <f t="shared" si="4"/>
        <v>71.974962273870631</v>
      </c>
      <c r="AX59" s="6">
        <f t="shared" si="5"/>
        <v>1771.2188450725619</v>
      </c>
      <c r="AZ59" s="15">
        <v>107.696</v>
      </c>
      <c r="BA59" s="127">
        <v>65</v>
      </c>
      <c r="BB59" s="25">
        <v>70.002399999999994</v>
      </c>
      <c r="BD59" s="15">
        <v>725.42399999999998</v>
      </c>
      <c r="BF59" s="5">
        <v>90.424000000000007</v>
      </c>
      <c r="BI59" s="5">
        <v>84.632800000000003</v>
      </c>
      <c r="BJ59" s="5">
        <v>8.534399999999998</v>
      </c>
      <c r="BK59" s="15">
        <v>144</v>
      </c>
      <c r="BO59" s="5">
        <v>66.312000000000012</v>
      </c>
      <c r="BP59" s="6">
        <v>2086.6999999999998</v>
      </c>
      <c r="BS59" s="6">
        <v>3206.0271999999995</v>
      </c>
      <c r="BU59" s="6">
        <v>315.46800000000002</v>
      </c>
      <c r="BV59" s="6">
        <v>2901.3023000000003</v>
      </c>
      <c r="BW59" s="6">
        <v>1013.9426000000001</v>
      </c>
      <c r="BZ59" s="5">
        <v>0.97789999999999999</v>
      </c>
      <c r="CA59" s="5">
        <v>4.0767000000000007</v>
      </c>
      <c r="CB59" s="15">
        <v>664.40049999999974</v>
      </c>
      <c r="CC59" s="6">
        <v>4900.1679999999997</v>
      </c>
      <c r="CD59" s="127">
        <v>70</v>
      </c>
      <c r="CE59" s="115">
        <v>3430.1175999999996</v>
      </c>
      <c r="CG59" s="5">
        <v>26.598880000000001</v>
      </c>
      <c r="CH59" s="15">
        <v>769.21360000000004</v>
      </c>
      <c r="CI59" s="15">
        <v>795.81247999999994</v>
      </c>
      <c r="CJ59" s="26">
        <v>70</v>
      </c>
      <c r="CK59" s="169">
        <v>557.06873599999994</v>
      </c>
      <c r="CL59" s="5">
        <v>37.175440000000002</v>
      </c>
      <c r="CM59" s="15">
        <v>685.86095999999998</v>
      </c>
      <c r="CN59" s="15">
        <v>723.03639999999996</v>
      </c>
      <c r="CO59" s="26">
        <v>70</v>
      </c>
      <c r="CP59" s="169">
        <v>506.12547999999992</v>
      </c>
      <c r="CW59" s="6">
        <f t="shared" si="7"/>
        <v>1518.84888</v>
      </c>
      <c r="CX59" s="2">
        <f t="shared" si="8"/>
        <v>70</v>
      </c>
      <c r="CY59" s="6">
        <v>1063.1942160000001</v>
      </c>
      <c r="DK59" s="15">
        <v>406.52818991097899</v>
      </c>
      <c r="DL59" s="26">
        <v>70</v>
      </c>
      <c r="DM59" s="169">
        <f t="shared" si="9"/>
        <v>284.56973293768527</v>
      </c>
    </row>
    <row r="60" spans="1:117" x14ac:dyDescent="0.25">
      <c r="A60" s="2">
        <v>1907</v>
      </c>
      <c r="D60" s="168">
        <v>2.032</v>
      </c>
      <c r="E60" s="127">
        <v>70</v>
      </c>
      <c r="J60" s="168">
        <v>46.727498508587395</v>
      </c>
      <c r="K60" s="127">
        <v>70</v>
      </c>
      <c r="T60" s="168">
        <v>26.037213099312382</v>
      </c>
      <c r="U60" s="127">
        <v>65</v>
      </c>
      <c r="V60" s="6">
        <v>1840.992</v>
      </c>
      <c r="W60" s="127">
        <v>72.5</v>
      </c>
      <c r="X60" s="15">
        <v>147.32</v>
      </c>
      <c r="Y60" s="127">
        <v>72.5</v>
      </c>
      <c r="Z60" s="5">
        <v>67.389886903827446</v>
      </c>
      <c r="AA60" s="127">
        <v>72.5</v>
      </c>
      <c r="AF60" s="168">
        <v>19.062959590567992</v>
      </c>
      <c r="AG60" s="127">
        <v>70</v>
      </c>
      <c r="AJ60" s="15">
        <v>419.608</v>
      </c>
      <c r="AK60" s="127">
        <v>72.5</v>
      </c>
      <c r="AL60" s="168">
        <v>83.691042104932635</v>
      </c>
      <c r="AM60" s="127">
        <v>70</v>
      </c>
      <c r="AN60" s="15">
        <v>172.72</v>
      </c>
      <c r="AO60" s="127">
        <v>72.5</v>
      </c>
      <c r="AR60" s="5">
        <v>2.9464000000000001</v>
      </c>
      <c r="AS60" s="127">
        <v>70</v>
      </c>
      <c r="AV60" s="6">
        <f t="shared" si="3"/>
        <v>2828.5270002072275</v>
      </c>
      <c r="AW60" s="5">
        <f t="shared" si="4"/>
        <v>72.294441117686901</v>
      </c>
      <c r="AX60" s="6">
        <f t="shared" si="5"/>
        <v>2044.8677866626897</v>
      </c>
      <c r="AZ60" s="15">
        <v>104.648</v>
      </c>
      <c r="BA60" s="127">
        <v>65</v>
      </c>
      <c r="BB60" s="25">
        <v>68.021199999999993</v>
      </c>
      <c r="BD60" s="15">
        <v>477.52</v>
      </c>
      <c r="BF60" s="15">
        <v>155.44800000000001</v>
      </c>
      <c r="BI60" s="5">
        <v>96.900999999999996</v>
      </c>
      <c r="BJ60" s="5">
        <v>21.158200000000001</v>
      </c>
      <c r="BK60" s="15">
        <v>147.76704000000001</v>
      </c>
      <c r="BO60" s="5">
        <v>81.848960000000005</v>
      </c>
      <c r="BP60" s="6">
        <v>2127.2999999999997</v>
      </c>
      <c r="BS60" s="6">
        <v>3107.9431999999997</v>
      </c>
      <c r="BU60" s="6">
        <v>329.60310000000004</v>
      </c>
      <c r="BV60" s="6">
        <v>3487.0009</v>
      </c>
      <c r="BW60" s="15">
        <v>738.11129999999991</v>
      </c>
      <c r="BZ60" s="5">
        <v>4.0325040000000003</v>
      </c>
      <c r="CA60" s="5">
        <v>42.702480000000001</v>
      </c>
      <c r="CB60" s="15">
        <v>621.04371600000013</v>
      </c>
      <c r="CC60" s="6">
        <v>5222.4939999999997</v>
      </c>
      <c r="CD60" s="127">
        <v>70</v>
      </c>
      <c r="CE60" s="115">
        <v>3655.7457999999997</v>
      </c>
      <c r="CG60" s="5">
        <v>41.046399999999998</v>
      </c>
      <c r="CH60" s="15">
        <v>741.27359999999999</v>
      </c>
      <c r="CI60" s="15">
        <v>782.32</v>
      </c>
      <c r="CJ60" s="26">
        <v>70</v>
      </c>
      <c r="CK60" s="169">
        <v>547.62400000000002</v>
      </c>
      <c r="CL60" s="5">
        <v>105.79608</v>
      </c>
      <c r="CM60" s="15">
        <v>761.55295999999998</v>
      </c>
      <c r="CN60" s="15">
        <v>867.34904000000006</v>
      </c>
      <c r="CO60" s="26">
        <v>70</v>
      </c>
      <c r="CP60" s="169">
        <v>607.14432799999997</v>
      </c>
      <c r="CW60" s="6">
        <f t="shared" si="7"/>
        <v>1649.6690400000002</v>
      </c>
      <c r="CX60" s="2">
        <f t="shared" si="8"/>
        <v>69.999999999999986</v>
      </c>
      <c r="CY60" s="6">
        <v>1154.7683279999999</v>
      </c>
      <c r="DK60" s="15">
        <v>430.26706231453898</v>
      </c>
      <c r="DL60" s="26">
        <v>70</v>
      </c>
      <c r="DM60" s="169">
        <f t="shared" si="9"/>
        <v>301.18694362017732</v>
      </c>
    </row>
    <row r="61" spans="1:117" x14ac:dyDescent="0.25">
      <c r="A61" s="2">
        <v>1908</v>
      </c>
      <c r="B61" s="168">
        <v>3.7781517276230177</v>
      </c>
      <c r="C61" s="127">
        <v>70</v>
      </c>
      <c r="D61" s="168">
        <v>1.7271550754848084</v>
      </c>
      <c r="E61" s="127">
        <v>70</v>
      </c>
      <c r="J61" s="168">
        <v>1.4732000000000001</v>
      </c>
      <c r="K61" s="127">
        <v>70</v>
      </c>
      <c r="V61" s="6">
        <v>1429.5119999999999</v>
      </c>
      <c r="W61" s="127">
        <v>72.5</v>
      </c>
      <c r="X61" s="5">
        <v>64.77</v>
      </c>
      <c r="Y61" s="127">
        <v>72.5</v>
      </c>
      <c r="Z61" s="5">
        <v>39.832513928368392</v>
      </c>
      <c r="AA61" s="127">
        <v>72.5</v>
      </c>
      <c r="AF61" s="168">
        <v>14.184261057418988</v>
      </c>
      <c r="AG61" s="127">
        <v>70</v>
      </c>
      <c r="AJ61" s="15">
        <v>556.26</v>
      </c>
      <c r="AK61" s="127">
        <v>72.5</v>
      </c>
      <c r="AL61" s="171">
        <v>141.68068978586317</v>
      </c>
      <c r="AM61" s="127">
        <v>70</v>
      </c>
      <c r="AN61" s="15">
        <v>237.744</v>
      </c>
      <c r="AO61" s="127">
        <v>72.5</v>
      </c>
      <c r="AP61" s="5">
        <v>15.24</v>
      </c>
      <c r="AQ61" s="127">
        <v>70</v>
      </c>
      <c r="AV61" s="6">
        <f t="shared" si="3"/>
        <v>2506.2019715747583</v>
      </c>
      <c r="AW61" s="5">
        <f t="shared" si="4"/>
        <v>72.322357236501475</v>
      </c>
      <c r="AX61" s="6">
        <f t="shared" si="5"/>
        <v>1812.5443429505397</v>
      </c>
      <c r="AZ61" s="5">
        <v>80.263999999999996</v>
      </c>
      <c r="BA61" s="127">
        <v>65</v>
      </c>
      <c r="BB61" s="25">
        <v>52.171599999999998</v>
      </c>
      <c r="BD61" s="15">
        <v>613.66399999999999</v>
      </c>
      <c r="BF61" s="15">
        <v>179.83199999999999</v>
      </c>
      <c r="BI61" s="5">
        <v>95.947991999999999</v>
      </c>
      <c r="BJ61" s="5">
        <v>63.972439999999999</v>
      </c>
      <c r="BK61" s="15">
        <v>94.863513600000005</v>
      </c>
      <c r="BO61" s="5">
        <v>99.192486400000007</v>
      </c>
      <c r="BP61" s="6">
        <v>2097.1999999999998</v>
      </c>
      <c r="BS61" s="6">
        <v>3244.6724319999998</v>
      </c>
      <c r="BU61" s="6">
        <v>443.99200000000002</v>
      </c>
      <c r="BV61" s="6">
        <v>3061.3730999999998</v>
      </c>
      <c r="BW61" s="15">
        <v>795.98520000000008</v>
      </c>
      <c r="BZ61" s="5">
        <v>11.2395</v>
      </c>
      <c r="CA61" s="5">
        <v>10.2997</v>
      </c>
      <c r="CB61" s="15">
        <v>579.81850000000031</v>
      </c>
      <c r="CC61" s="6">
        <v>4902.7079999999996</v>
      </c>
      <c r="CD61" s="127">
        <v>70</v>
      </c>
      <c r="CE61" s="115">
        <v>3431.8955999999998</v>
      </c>
      <c r="CG61" s="5">
        <v>14.122400000000001</v>
      </c>
      <c r="CH61" s="15">
        <v>571.42887999999994</v>
      </c>
      <c r="CI61" s="15">
        <v>585.55128000000002</v>
      </c>
      <c r="CJ61" s="26">
        <v>70</v>
      </c>
      <c r="CK61" s="169">
        <v>409.885896</v>
      </c>
      <c r="CL61" s="5">
        <v>31.496000000000002</v>
      </c>
      <c r="CM61" s="15">
        <v>377.98247999999995</v>
      </c>
      <c r="CN61" s="15">
        <v>409.47847999999999</v>
      </c>
      <c r="CO61" s="26">
        <v>70</v>
      </c>
      <c r="CP61" s="169">
        <v>286.63493599999998</v>
      </c>
      <c r="CW61" s="15">
        <f t="shared" si="7"/>
        <v>995.02976000000001</v>
      </c>
      <c r="CX61" s="2">
        <f t="shared" si="8"/>
        <v>70</v>
      </c>
      <c r="CY61" s="15">
        <v>696.52083199999993</v>
      </c>
      <c r="DK61" s="15">
        <v>454.59940652818796</v>
      </c>
      <c r="DL61" s="26">
        <v>70</v>
      </c>
      <c r="DM61" s="169">
        <f t="shared" si="9"/>
        <v>318.21958456973158</v>
      </c>
    </row>
    <row r="62" spans="1:117" x14ac:dyDescent="0.25">
      <c r="A62" s="2">
        <v>1909</v>
      </c>
      <c r="J62" s="168">
        <v>1.524</v>
      </c>
      <c r="K62" s="127">
        <v>70</v>
      </c>
      <c r="T62" s="5">
        <v>6.0960000000000001</v>
      </c>
      <c r="U62" s="127">
        <v>65</v>
      </c>
      <c r="V62" s="6">
        <v>1518.92</v>
      </c>
      <c r="W62" s="127">
        <v>72.5</v>
      </c>
      <c r="X62" s="5">
        <v>24.384</v>
      </c>
      <c r="Y62" s="127">
        <v>72.5</v>
      </c>
      <c r="Z62" s="5">
        <v>17.9832</v>
      </c>
      <c r="AA62" s="127">
        <v>72.5</v>
      </c>
      <c r="AF62" s="25">
        <v>19.304000000000002</v>
      </c>
      <c r="AG62" s="127">
        <v>70</v>
      </c>
      <c r="AJ62" s="15">
        <v>685.8</v>
      </c>
      <c r="AK62" s="127">
        <v>72.5</v>
      </c>
      <c r="AL62" s="171">
        <v>102.05994758160591</v>
      </c>
      <c r="AM62" s="127">
        <v>70</v>
      </c>
      <c r="AN62" s="15">
        <v>232.66400000000002</v>
      </c>
      <c r="AO62" s="127">
        <v>72.5</v>
      </c>
      <c r="AP62" s="5">
        <v>1.2367264236359303</v>
      </c>
      <c r="AQ62" s="127">
        <v>70</v>
      </c>
      <c r="AR62" s="5">
        <v>10.16</v>
      </c>
      <c r="AS62" s="127">
        <v>70</v>
      </c>
      <c r="AV62" s="6">
        <f t="shared" si="3"/>
        <v>2620.131874005242</v>
      </c>
      <c r="AW62" s="5">
        <f t="shared" si="4"/>
        <v>72.354422714826939</v>
      </c>
      <c r="AX62" s="6">
        <f t="shared" si="5"/>
        <v>1895.7812918036695</v>
      </c>
      <c r="AZ62" s="5">
        <v>90.424000000000007</v>
      </c>
      <c r="BA62" s="127">
        <v>65</v>
      </c>
      <c r="BB62" s="25">
        <v>58.775600000000004</v>
      </c>
      <c r="BD62" s="15">
        <v>682.75199999999995</v>
      </c>
      <c r="BE62" s="15">
        <v>24.630278400000002</v>
      </c>
      <c r="BF62" s="15">
        <v>287.28172159999997</v>
      </c>
      <c r="BG62" s="5">
        <v>32.457542399999994</v>
      </c>
      <c r="BI62" s="15">
        <v>166.87048159999998</v>
      </c>
      <c r="BJ62" s="5">
        <v>59.598559999999999</v>
      </c>
      <c r="BK62" s="15">
        <v>107.057952</v>
      </c>
      <c r="BO62" s="15">
        <v>104.270048</v>
      </c>
      <c r="BP62" s="6">
        <v>1830.4999999999998</v>
      </c>
      <c r="BS62" s="6">
        <v>3295.4185839999996</v>
      </c>
      <c r="BU62" s="6">
        <v>116.40820000000001</v>
      </c>
      <c r="BV62" s="6">
        <v>1472.1840344080813</v>
      </c>
      <c r="BW62" s="15">
        <v>445.85890000000001</v>
      </c>
      <c r="BX62" s="15">
        <v>659.4221</v>
      </c>
      <c r="BY62" s="15">
        <v>168.61789999999999</v>
      </c>
      <c r="BZ62" s="5">
        <v>6.7309999999999999</v>
      </c>
      <c r="CA62" s="5">
        <v>3.6957000000000004</v>
      </c>
      <c r="CB62" s="15">
        <v>506.04416559191804</v>
      </c>
      <c r="CC62" s="6">
        <v>3378.962</v>
      </c>
      <c r="CD62" s="127">
        <v>70</v>
      </c>
      <c r="CE62" s="115">
        <v>2365.2734</v>
      </c>
      <c r="CG62" s="5">
        <v>45.110399999999998</v>
      </c>
      <c r="CH62" s="15">
        <v>420.9796</v>
      </c>
      <c r="CI62" s="15">
        <v>466.09000000000003</v>
      </c>
      <c r="CJ62" s="26">
        <v>70</v>
      </c>
      <c r="CK62" s="169">
        <v>326.26300000000003</v>
      </c>
      <c r="CL62" s="5">
        <v>83.058000000000007</v>
      </c>
      <c r="CM62" s="15">
        <v>215.60536000000002</v>
      </c>
      <c r="CN62" s="15">
        <v>298.66336000000001</v>
      </c>
      <c r="CO62" s="26">
        <v>70</v>
      </c>
      <c r="CP62" s="169">
        <v>209.06435199999999</v>
      </c>
      <c r="CR62" s="5">
        <v>1.5443200000000001</v>
      </c>
      <c r="CS62" s="5">
        <v>1.5443200000000001</v>
      </c>
      <c r="CT62" s="26">
        <v>70</v>
      </c>
      <c r="CU62" s="25">
        <v>1.081024</v>
      </c>
      <c r="CV62" s="164" t="s">
        <v>55</v>
      </c>
      <c r="CW62" s="15">
        <f t="shared" si="7"/>
        <v>766.29768000000001</v>
      </c>
      <c r="CX62" s="2">
        <f t="shared" si="8"/>
        <v>70</v>
      </c>
      <c r="CY62" s="15">
        <v>536.40837599999998</v>
      </c>
      <c r="DK62" s="15">
        <v>423.14540059347098</v>
      </c>
      <c r="DL62" s="26">
        <v>70</v>
      </c>
      <c r="DM62" s="169">
        <f t="shared" si="9"/>
        <v>296.20178041542965</v>
      </c>
    </row>
    <row r="63" spans="1:117" x14ac:dyDescent="0.25">
      <c r="A63" s="2">
        <v>1910</v>
      </c>
      <c r="B63" s="5">
        <v>1.524</v>
      </c>
      <c r="C63" s="127">
        <v>70</v>
      </c>
      <c r="J63" s="4">
        <v>0.82610177590188749</v>
      </c>
      <c r="K63" s="127">
        <v>70</v>
      </c>
      <c r="N63" s="4">
        <v>0.19361760372700484</v>
      </c>
      <c r="O63" s="127">
        <v>70</v>
      </c>
      <c r="P63" s="4">
        <v>0.52663988213745316</v>
      </c>
      <c r="Q63" s="127">
        <v>72.5</v>
      </c>
      <c r="V63" s="6">
        <v>1073.912</v>
      </c>
      <c r="W63" s="127">
        <v>72.5</v>
      </c>
      <c r="X63" s="5">
        <v>71.12</v>
      </c>
      <c r="Y63" s="127">
        <v>72.5</v>
      </c>
      <c r="Z63" s="2">
        <v>50.8</v>
      </c>
      <c r="AA63" s="127">
        <v>72.5</v>
      </c>
      <c r="AF63" s="168">
        <v>24.485600000000002</v>
      </c>
      <c r="AG63" s="127">
        <v>70</v>
      </c>
      <c r="AJ63" s="15">
        <v>800.60800000000006</v>
      </c>
      <c r="AK63" s="127">
        <v>72.5</v>
      </c>
      <c r="AL63" s="5">
        <v>73.316532611292516</v>
      </c>
      <c r="AM63" s="127">
        <v>70</v>
      </c>
      <c r="AN63" s="15">
        <v>198.12</v>
      </c>
      <c r="AO63" s="127">
        <v>72.5</v>
      </c>
      <c r="AR63" s="5">
        <v>4.6468224894481169</v>
      </c>
      <c r="AS63" s="127">
        <v>70</v>
      </c>
      <c r="AV63" s="6">
        <f t="shared" si="3"/>
        <v>2300.0793143625065</v>
      </c>
      <c r="AW63" s="5">
        <f t="shared" si="4"/>
        <v>72.385881463060059</v>
      </c>
      <c r="AX63" s="6">
        <f t="shared" si="5"/>
        <v>1664.9326860508083</v>
      </c>
      <c r="AZ63" s="5">
        <v>41.655999999999999</v>
      </c>
      <c r="BA63" s="127">
        <v>65</v>
      </c>
      <c r="BB63" s="25">
        <v>27.0764</v>
      </c>
      <c r="BD63" s="15">
        <v>709.16800000000001</v>
      </c>
      <c r="BE63" s="15">
        <v>51.518332320000006</v>
      </c>
      <c r="BF63" s="15">
        <v>121.20166767999999</v>
      </c>
      <c r="BG63" s="15">
        <v>114.0968</v>
      </c>
      <c r="BI63" s="15">
        <v>174.73574399999998</v>
      </c>
      <c r="BJ63" s="5">
        <v>27.84348</v>
      </c>
      <c r="BK63" s="15">
        <v>104.16844800000001</v>
      </c>
      <c r="BO63" s="15">
        <v>108.17555199999998</v>
      </c>
      <c r="BP63" s="6">
        <v>1258.5999999999999</v>
      </c>
      <c r="BS63" s="6">
        <v>2669.5080239999998</v>
      </c>
      <c r="BU63" s="6">
        <v>130.35279999999997</v>
      </c>
      <c r="BV63" s="6">
        <v>1134.0210999999999</v>
      </c>
      <c r="BW63" s="15">
        <v>425.70400000000001</v>
      </c>
      <c r="BX63" s="15">
        <v>637.81939999999997</v>
      </c>
      <c r="BY63" s="15">
        <v>143.9545</v>
      </c>
      <c r="CB63" s="15">
        <v>528.14220000000068</v>
      </c>
      <c r="CC63" s="6">
        <v>2999.9940000000001</v>
      </c>
      <c r="CD63" s="127">
        <v>70</v>
      </c>
      <c r="CE63" s="115">
        <v>2099.9958000000001</v>
      </c>
      <c r="CG63" s="5">
        <v>25.46096</v>
      </c>
      <c r="CH63" s="15">
        <v>297.33240000000001</v>
      </c>
      <c r="CI63" s="15">
        <v>322.79336000000001</v>
      </c>
      <c r="CJ63" s="26">
        <v>70</v>
      </c>
      <c r="CK63" s="169">
        <v>225.95535200000003</v>
      </c>
      <c r="CL63" s="5">
        <v>34.29</v>
      </c>
      <c r="CM63" s="15">
        <v>121.666</v>
      </c>
      <c r="CN63" s="15">
        <v>155.95599999999999</v>
      </c>
      <c r="CO63" s="26">
        <v>70</v>
      </c>
      <c r="CP63" s="169">
        <v>109.1692</v>
      </c>
      <c r="CW63" s="15">
        <f t="shared" si="7"/>
        <v>478.74936000000002</v>
      </c>
      <c r="CX63" s="2">
        <f t="shared" si="8"/>
        <v>70</v>
      </c>
      <c r="CY63" s="15">
        <v>335.12455200000005</v>
      </c>
      <c r="DB63" s="15">
        <v>138.73480000000001</v>
      </c>
      <c r="DC63" s="5">
        <v>74.168000000000006</v>
      </c>
      <c r="DD63" s="5">
        <v>16.916399999999999</v>
      </c>
      <c r="DF63" s="2">
        <v>2.4</v>
      </c>
      <c r="DG63" s="5">
        <v>3.9116</v>
      </c>
      <c r="DJ63" s="15">
        <v>133.65480000000002</v>
      </c>
      <c r="DK63" s="15">
        <v>370.32640949554553</v>
      </c>
      <c r="DL63" s="26">
        <v>70</v>
      </c>
      <c r="DM63" s="169">
        <f t="shared" si="9"/>
        <v>259.22848664688189</v>
      </c>
    </row>
    <row r="64" spans="1:117" x14ac:dyDescent="0.25">
      <c r="A64" s="2">
        <v>1911</v>
      </c>
      <c r="B64" s="5">
        <v>1.016</v>
      </c>
      <c r="C64" s="127">
        <v>70</v>
      </c>
      <c r="D64" s="4">
        <v>0.15240000000000001</v>
      </c>
      <c r="E64" s="127">
        <v>70</v>
      </c>
      <c r="J64" s="5">
        <v>2.5494301785698905</v>
      </c>
      <c r="K64" s="127">
        <v>70</v>
      </c>
      <c r="N64" s="5">
        <v>4.0640000000000001</v>
      </c>
      <c r="O64" s="127">
        <v>70</v>
      </c>
      <c r="R64" s="4">
        <v>0.10160000000000001</v>
      </c>
      <c r="S64" s="127">
        <v>72.5</v>
      </c>
      <c r="V64" s="6">
        <v>1194.816</v>
      </c>
      <c r="W64" s="127">
        <v>72.5</v>
      </c>
      <c r="X64" s="5">
        <v>73.812400000000011</v>
      </c>
      <c r="Y64" s="127">
        <v>72.5</v>
      </c>
      <c r="Z64" s="4">
        <v>0.60960000000000003</v>
      </c>
      <c r="AA64" s="127">
        <v>72.5</v>
      </c>
      <c r="AF64" s="168">
        <v>33.934399999999997</v>
      </c>
      <c r="AG64" s="127">
        <v>70</v>
      </c>
      <c r="AJ64" s="15">
        <v>818.89599999999996</v>
      </c>
      <c r="AK64" s="127">
        <v>72.5</v>
      </c>
      <c r="AL64" s="5">
        <v>90.424000000000007</v>
      </c>
      <c r="AM64" s="127">
        <v>70</v>
      </c>
      <c r="AN64" s="15">
        <v>202.184</v>
      </c>
      <c r="AO64" s="127">
        <v>72.5</v>
      </c>
      <c r="AP64" s="5">
        <v>3.556</v>
      </c>
      <c r="AQ64" s="127">
        <v>70</v>
      </c>
      <c r="AR64" s="5">
        <v>1.6996201190465938</v>
      </c>
      <c r="AS64" s="127">
        <v>70</v>
      </c>
      <c r="AV64" s="6">
        <f t="shared" si="3"/>
        <v>2427.8154502976172</v>
      </c>
      <c r="AW64" s="5">
        <f t="shared" si="4"/>
        <v>72.358519054361409</v>
      </c>
      <c r="AX64" s="6">
        <f t="shared" si="5"/>
        <v>1756.7313052083316</v>
      </c>
      <c r="AZ64" s="5">
        <v>33.527999999999999</v>
      </c>
      <c r="BA64" s="127">
        <v>65</v>
      </c>
      <c r="BB64" s="25">
        <v>21.793199999999999</v>
      </c>
      <c r="BD64" s="15">
        <v>715.26400000000001</v>
      </c>
      <c r="BE64" s="15">
        <v>39.921576240000007</v>
      </c>
      <c r="BF64" s="15">
        <v>179.53442376000001</v>
      </c>
      <c r="BG64" s="5">
        <v>85.752939999999981</v>
      </c>
      <c r="BI64" s="15">
        <v>123.98705200000002</v>
      </c>
      <c r="BJ64" s="5">
        <v>31.100775999999996</v>
      </c>
      <c r="BK64" s="15">
        <v>142.24406400000001</v>
      </c>
      <c r="BO64" s="5">
        <v>75.179935999999998</v>
      </c>
      <c r="BP64" s="6">
        <v>1464.3999999999999</v>
      </c>
      <c r="BS64" s="6">
        <v>2857.3847679999999</v>
      </c>
      <c r="BU64" s="6">
        <v>138.01089999999999</v>
      </c>
      <c r="BV64" s="6">
        <v>1611.2871</v>
      </c>
      <c r="BW64" s="15">
        <v>452.80580000000003</v>
      </c>
      <c r="BX64" s="15">
        <v>380.77140000000003</v>
      </c>
      <c r="BY64" s="15">
        <v>173.96459999999996</v>
      </c>
      <c r="BZ64" s="5">
        <v>11.4046</v>
      </c>
      <c r="CB64" s="15">
        <v>372.21160000000054</v>
      </c>
      <c r="CC64" s="6">
        <v>3140.4560000000001</v>
      </c>
      <c r="CD64" s="127">
        <v>70</v>
      </c>
      <c r="CE64" s="115">
        <v>2198.3191999999999</v>
      </c>
      <c r="CG64" s="5">
        <v>28.26512</v>
      </c>
      <c r="CH64" s="15">
        <v>389.43280000000004</v>
      </c>
      <c r="CI64" s="15">
        <v>417.69792000000001</v>
      </c>
      <c r="CJ64" s="26">
        <v>70</v>
      </c>
      <c r="CK64" s="169">
        <v>292.38854400000002</v>
      </c>
      <c r="CL64" s="5">
        <v>27.787600000000001</v>
      </c>
      <c r="CM64" s="15">
        <v>123.24079999999999</v>
      </c>
      <c r="CN64" s="15">
        <v>151.0284</v>
      </c>
      <c r="CO64" s="26">
        <v>70</v>
      </c>
      <c r="CP64" s="169">
        <v>105.71988000000002</v>
      </c>
      <c r="CW64" s="15">
        <f t="shared" si="7"/>
        <v>568.72631999999999</v>
      </c>
      <c r="CX64" s="2">
        <f t="shared" si="8"/>
        <v>70</v>
      </c>
      <c r="CY64" s="15">
        <v>398.10842400000001</v>
      </c>
      <c r="DB64" s="5">
        <v>80.772000000000006</v>
      </c>
      <c r="DC64" s="5">
        <v>40.64</v>
      </c>
      <c r="DD64" s="5">
        <v>20.32</v>
      </c>
      <c r="DF64" s="2">
        <v>1</v>
      </c>
      <c r="DG64" s="5">
        <v>3.81</v>
      </c>
      <c r="DJ64" s="5">
        <v>96.266000000000005</v>
      </c>
      <c r="DK64" s="15">
        <v>243.32344213649904</v>
      </c>
      <c r="DL64" s="26">
        <v>70</v>
      </c>
      <c r="DM64" s="169">
        <f t="shared" si="9"/>
        <v>170.32640949554934</v>
      </c>
    </row>
    <row r="65" spans="1:117" x14ac:dyDescent="0.25">
      <c r="A65" s="2">
        <v>1912</v>
      </c>
      <c r="J65" s="168">
        <v>5.5880000000000001</v>
      </c>
      <c r="K65" s="127">
        <v>70</v>
      </c>
      <c r="L65" s="15">
        <v>116.84</v>
      </c>
      <c r="M65" s="127">
        <v>65</v>
      </c>
      <c r="N65" s="4">
        <v>0.69302031288288168</v>
      </c>
      <c r="O65" s="127">
        <v>70</v>
      </c>
      <c r="R65" s="4">
        <v>0.50800000000000001</v>
      </c>
      <c r="S65" s="127">
        <v>72.5</v>
      </c>
      <c r="V65" s="6">
        <v>1022.096</v>
      </c>
      <c r="W65" s="127">
        <v>72.5</v>
      </c>
      <c r="X65" s="5">
        <v>68.376800000000003</v>
      </c>
      <c r="Y65" s="127">
        <v>72.5</v>
      </c>
      <c r="Z65" s="5">
        <v>12.446</v>
      </c>
      <c r="AA65" s="127">
        <v>72.5</v>
      </c>
      <c r="AF65" s="168">
        <v>21.335999999999999</v>
      </c>
      <c r="AG65" s="127">
        <v>70</v>
      </c>
      <c r="AH65" s="2">
        <v>508</v>
      </c>
      <c r="AI65" s="127">
        <v>70</v>
      </c>
      <c r="AJ65" s="6">
        <v>1136.396</v>
      </c>
      <c r="AK65" s="127">
        <v>72.5</v>
      </c>
      <c r="AL65" s="5">
        <v>96.926400000000001</v>
      </c>
      <c r="AM65" s="127">
        <v>70</v>
      </c>
      <c r="AN65" s="15">
        <v>169.672</v>
      </c>
      <c r="AO65" s="127">
        <v>72.5</v>
      </c>
      <c r="AP65" s="5">
        <v>29.707470745579531</v>
      </c>
      <c r="AQ65" s="127">
        <v>70</v>
      </c>
      <c r="AT65" s="15">
        <v>385.572</v>
      </c>
      <c r="AU65" s="127">
        <v>65</v>
      </c>
      <c r="AV65" s="6">
        <f t="shared" si="3"/>
        <v>3574.1576910584622</v>
      </c>
      <c r="AW65" s="5">
        <f t="shared" si="4"/>
        <v>70.982518764850596</v>
      </c>
      <c r="AX65" s="6">
        <f t="shared" si="5"/>
        <v>2537.0271537409235</v>
      </c>
      <c r="AZ65" s="5">
        <v>48.768000000000001</v>
      </c>
      <c r="BA65" s="127">
        <v>65</v>
      </c>
      <c r="BB65" s="25">
        <v>31.699200000000001</v>
      </c>
      <c r="BD65" s="15">
        <v>747.77600000000007</v>
      </c>
      <c r="BE65" s="15">
        <v>38.519018720000005</v>
      </c>
      <c r="BF65" s="15">
        <v>212.43298127999998</v>
      </c>
      <c r="BG65" s="5">
        <v>62.687200000000004</v>
      </c>
      <c r="BI65" s="15">
        <v>119.04573599999999</v>
      </c>
      <c r="BJ65" s="5">
        <v>35.047935999999993</v>
      </c>
      <c r="BK65" s="15">
        <v>104.936544</v>
      </c>
      <c r="BM65" s="5">
        <v>8.0657700000000006</v>
      </c>
      <c r="BN65" s="5"/>
      <c r="BO65" s="5">
        <v>43.461686</v>
      </c>
      <c r="BP65" s="6">
        <v>1350.3</v>
      </c>
      <c r="BS65" s="6">
        <v>2722.272872</v>
      </c>
      <c r="BU65" s="6">
        <v>168.93539999999999</v>
      </c>
      <c r="BV65" s="6">
        <v>1652.0033000000001</v>
      </c>
      <c r="BW65" s="15">
        <v>306.28589999999997</v>
      </c>
      <c r="BX65" s="15">
        <v>404.59660000000002</v>
      </c>
      <c r="BY65" s="15">
        <v>107.3531</v>
      </c>
      <c r="BZ65" s="5">
        <v>13.419328</v>
      </c>
      <c r="CA65" s="5">
        <v>1.7997424000000002</v>
      </c>
      <c r="CB65" s="15">
        <v>627.48982960000012</v>
      </c>
      <c r="CC65" s="6">
        <v>3281.8831999999998</v>
      </c>
      <c r="CD65" s="127">
        <v>70</v>
      </c>
      <c r="CE65" s="115">
        <v>2297.3182400000001</v>
      </c>
      <c r="CG65" s="5">
        <v>15.138400000000001</v>
      </c>
      <c r="CH65" s="15">
        <v>422.19880000000001</v>
      </c>
      <c r="CI65" s="15">
        <v>437.3372</v>
      </c>
      <c r="CJ65" s="26">
        <v>70</v>
      </c>
      <c r="CK65" s="169">
        <v>306.13603999999998</v>
      </c>
      <c r="CL65" s="5">
        <v>10.414</v>
      </c>
      <c r="CM65" s="15">
        <v>114.94007999999999</v>
      </c>
      <c r="CN65" s="15">
        <v>125.35408</v>
      </c>
      <c r="CO65" s="26">
        <v>70</v>
      </c>
      <c r="CP65" s="25">
        <v>87.747855999999999</v>
      </c>
      <c r="CW65" s="15">
        <f t="shared" si="7"/>
        <v>562.69128000000001</v>
      </c>
      <c r="CX65" s="2">
        <f t="shared" si="8"/>
        <v>69.999999999999986</v>
      </c>
      <c r="CY65" s="15">
        <v>393.88389599999994</v>
      </c>
      <c r="DB65" s="15">
        <v>101.95559999999999</v>
      </c>
      <c r="DC65" s="5">
        <v>40.64</v>
      </c>
      <c r="DD65" s="5">
        <v>14.224</v>
      </c>
      <c r="DF65" s="2">
        <v>3</v>
      </c>
      <c r="DG65" s="5">
        <v>4.0640000000000001</v>
      </c>
      <c r="DJ65" s="15">
        <v>111.1504</v>
      </c>
      <c r="DK65" s="15">
        <v>384.56973293768152</v>
      </c>
      <c r="DL65" s="26">
        <v>70</v>
      </c>
      <c r="DM65" s="169">
        <f t="shared" si="9"/>
        <v>269.19881305637705</v>
      </c>
    </row>
    <row r="66" spans="1:117" x14ac:dyDescent="0.25">
      <c r="A66" s="2">
        <v>1913</v>
      </c>
      <c r="D66" s="5">
        <v>2.6973357529812318</v>
      </c>
      <c r="E66" s="127">
        <v>70</v>
      </c>
      <c r="L66" s="5">
        <v>2.5259331466044981</v>
      </c>
      <c r="M66" s="127">
        <v>65</v>
      </c>
      <c r="R66" s="4">
        <v>0.76200000000000001</v>
      </c>
      <c r="S66" s="127">
        <v>72.5</v>
      </c>
      <c r="V66" s="6">
        <v>1187.704</v>
      </c>
      <c r="W66" s="127">
        <v>72.5</v>
      </c>
      <c r="X66" s="15">
        <v>130.11150000000001</v>
      </c>
      <c r="Y66" s="127">
        <v>72.5</v>
      </c>
      <c r="Z66" s="5">
        <v>9.9060000000000006</v>
      </c>
      <c r="AA66" s="127">
        <v>72.5</v>
      </c>
      <c r="AF66" s="168">
        <v>52.832000000000001</v>
      </c>
      <c r="AG66" s="127">
        <v>70</v>
      </c>
      <c r="AJ66" s="6">
        <v>1102.0552</v>
      </c>
      <c r="AK66" s="127">
        <v>72.5</v>
      </c>
      <c r="AL66" s="171">
        <v>164.084</v>
      </c>
      <c r="AM66" s="127">
        <v>70</v>
      </c>
      <c r="AN66" s="15">
        <v>160.52799999999999</v>
      </c>
      <c r="AO66" s="127">
        <v>72.5</v>
      </c>
      <c r="AP66" s="5">
        <v>7.1120000000000001</v>
      </c>
      <c r="AQ66" s="127">
        <v>70</v>
      </c>
      <c r="AT66" s="15">
        <v>383.72532972846051</v>
      </c>
      <c r="AU66" s="127">
        <v>65</v>
      </c>
      <c r="AV66" s="6">
        <f t="shared" si="3"/>
        <v>3204.0432986280462</v>
      </c>
      <c r="AW66" s="5">
        <f t="shared" si="4"/>
        <v>71.418960360982453</v>
      </c>
      <c r="AX66" s="6">
        <f t="shared" si="5"/>
        <v>2288.294413395879</v>
      </c>
      <c r="AZ66" s="5">
        <v>57.911999999999999</v>
      </c>
      <c r="BA66" s="127">
        <v>65</v>
      </c>
      <c r="BB66" s="25">
        <v>37.642799999999994</v>
      </c>
      <c r="BD66" s="15">
        <v>737.61599999999999</v>
      </c>
      <c r="BE66" s="15">
        <v>30.172091040000005</v>
      </c>
      <c r="BF66" s="15">
        <v>256.33990896</v>
      </c>
      <c r="BG66" s="5">
        <v>98.348799999999997</v>
      </c>
      <c r="BI66" s="15">
        <v>154.20543200000003</v>
      </c>
      <c r="BJ66" s="5">
        <v>41.221151999999996</v>
      </c>
      <c r="BK66" s="15">
        <v>100.73030399999999</v>
      </c>
      <c r="BL66" s="15">
        <v>86.979759999999999</v>
      </c>
      <c r="BM66" s="5">
        <v>7.0713600000000012</v>
      </c>
      <c r="BN66" s="5"/>
      <c r="BO66" s="15">
        <v>125.25857600000003</v>
      </c>
      <c r="BP66" s="6">
        <v>1275.3999999999999</v>
      </c>
      <c r="BS66" s="6">
        <v>2913.3433839999998</v>
      </c>
      <c r="BU66" s="6">
        <v>250.68530000000001</v>
      </c>
      <c r="BV66" s="6">
        <v>1532.001</v>
      </c>
      <c r="BW66" s="15">
        <v>358.77499999999998</v>
      </c>
      <c r="BX66" s="15">
        <v>326.45350000000002</v>
      </c>
      <c r="BY66" s="15">
        <v>178.49850000000001</v>
      </c>
      <c r="BZ66" s="5">
        <v>5.8732928000000006</v>
      </c>
      <c r="CA66" s="4">
        <v>0.87274399999999996</v>
      </c>
      <c r="CB66" s="15">
        <v>595.50066319999996</v>
      </c>
      <c r="CC66" s="6">
        <v>3248.66</v>
      </c>
      <c r="CD66" s="127">
        <v>70</v>
      </c>
      <c r="CE66" s="115">
        <v>2274.0619999999999</v>
      </c>
      <c r="CG66" s="5">
        <v>29.52496</v>
      </c>
      <c r="CH66" s="15">
        <v>436.29072000000002</v>
      </c>
      <c r="CI66" s="15">
        <v>465.81568000000004</v>
      </c>
      <c r="CJ66" s="26">
        <v>70</v>
      </c>
      <c r="CK66" s="169">
        <v>326.07097600000003</v>
      </c>
      <c r="CL66" s="5">
        <v>14.3764</v>
      </c>
      <c r="CM66" s="15">
        <v>126.9492</v>
      </c>
      <c r="CN66" s="15">
        <v>141.32560000000001</v>
      </c>
      <c r="CO66" s="26">
        <v>70</v>
      </c>
      <c r="CP66" s="25">
        <v>98.927920000000015</v>
      </c>
      <c r="CR66" s="5">
        <v>3.2512000000000003</v>
      </c>
      <c r="CS66" s="5">
        <v>3.2512000000000003</v>
      </c>
      <c r="CT66" s="26">
        <v>70</v>
      </c>
      <c r="CU66" s="25">
        <v>2.2758400000000005</v>
      </c>
      <c r="CV66" s="164" t="s">
        <v>55</v>
      </c>
      <c r="CW66" s="15">
        <f t="shared" si="7"/>
        <v>610.39248000000009</v>
      </c>
      <c r="CX66" s="2">
        <f t="shared" si="8"/>
        <v>70.000000000000014</v>
      </c>
      <c r="CY66" s="15">
        <v>427.27473600000013</v>
      </c>
      <c r="DA66" s="5">
        <v>5.6895999999999995</v>
      </c>
      <c r="DB66" s="5">
        <v>50.596799999999995</v>
      </c>
      <c r="DC66" s="5">
        <v>72.491599999999991</v>
      </c>
      <c r="DD66" s="5">
        <v>8.4328000000000003</v>
      </c>
      <c r="DG66" s="5">
        <v>1.1176000000000001</v>
      </c>
      <c r="DJ66" s="5">
        <v>22.86</v>
      </c>
      <c r="DK66" s="15">
        <v>235.60830860534168</v>
      </c>
      <c r="DL66" s="26">
        <v>70</v>
      </c>
      <c r="DM66" s="169">
        <f t="shared" si="9"/>
        <v>164.92581602373917</v>
      </c>
    </row>
    <row r="67" spans="1:117" x14ac:dyDescent="0.25">
      <c r="A67" s="2">
        <v>1914</v>
      </c>
      <c r="D67" s="168">
        <v>1.524</v>
      </c>
      <c r="E67" s="127">
        <v>70</v>
      </c>
      <c r="J67" s="5">
        <v>8.91973269776142</v>
      </c>
      <c r="K67" s="127">
        <v>70</v>
      </c>
      <c r="R67" s="5">
        <v>2.032</v>
      </c>
      <c r="S67" s="127">
        <v>72.5</v>
      </c>
      <c r="V67" s="15">
        <v>807.72</v>
      </c>
      <c r="W67" s="127">
        <v>72.5</v>
      </c>
      <c r="X67" s="15">
        <v>102.616</v>
      </c>
      <c r="Y67" s="127">
        <v>72.5</v>
      </c>
      <c r="Z67" s="5">
        <v>1.1683999999999999</v>
      </c>
      <c r="AA67" s="127">
        <v>72.5</v>
      </c>
      <c r="AF67" s="168">
        <v>27.432000000000002</v>
      </c>
      <c r="AG67" s="127">
        <v>70</v>
      </c>
      <c r="AJ67" s="6">
        <v>1006.856</v>
      </c>
      <c r="AK67" s="127">
        <v>72.5</v>
      </c>
      <c r="AL67" s="171">
        <v>118.872</v>
      </c>
      <c r="AM67" s="127">
        <v>70</v>
      </c>
      <c r="AN67" s="2">
        <v>127</v>
      </c>
      <c r="AO67" s="127">
        <v>72.5</v>
      </c>
      <c r="AP67" s="5">
        <v>1.2672137090448319</v>
      </c>
      <c r="AQ67" s="127">
        <v>70</v>
      </c>
      <c r="AT67" s="15">
        <v>258.87949739938455</v>
      </c>
      <c r="AU67" s="127">
        <v>65</v>
      </c>
      <c r="AV67" s="6">
        <f t="shared" si="3"/>
        <v>2464.2868438061905</v>
      </c>
      <c r="AW67" s="5">
        <f t="shared" si="4"/>
        <v>71.551801293998977</v>
      </c>
      <c r="AX67" s="6">
        <f t="shared" si="5"/>
        <v>1763.2416257943644</v>
      </c>
      <c r="AZ67" s="5">
        <v>53.441600000000001</v>
      </c>
      <c r="BA67" s="127">
        <v>65</v>
      </c>
      <c r="BB67" s="25">
        <v>34.73704</v>
      </c>
      <c r="BD67" s="15">
        <v>418.59199999999998</v>
      </c>
      <c r="BE67" s="15">
        <v>17.446447200000001</v>
      </c>
      <c r="BF67" s="15">
        <v>176.60955280000002</v>
      </c>
      <c r="BG67" s="5">
        <v>52.753259999999997</v>
      </c>
      <c r="BI67" s="15">
        <v>135.41248000000002</v>
      </c>
      <c r="BJ67" s="5">
        <v>29.143553600000001</v>
      </c>
      <c r="BK67" s="15">
        <v>62.581536000000007</v>
      </c>
      <c r="BL67" s="15">
        <v>57.962799999999994</v>
      </c>
      <c r="BM67" s="5">
        <v>6.8135500000000002</v>
      </c>
      <c r="BN67" s="5"/>
      <c r="BO67" s="5">
        <v>74.82611399999999</v>
      </c>
      <c r="BP67" s="15">
        <v>827.4</v>
      </c>
      <c r="BS67" s="6">
        <v>1859.5412936000002</v>
      </c>
      <c r="BU67" s="6">
        <v>214.0839</v>
      </c>
      <c r="BV67" s="15">
        <v>913.06650000000002</v>
      </c>
      <c r="BW67" s="15">
        <v>246.31649999999999</v>
      </c>
      <c r="BX67" s="15">
        <v>143.0401</v>
      </c>
      <c r="BY67" s="5">
        <v>95.986599999999996</v>
      </c>
      <c r="BZ67" s="15">
        <v>31.965899999999998</v>
      </c>
      <c r="CA67" s="4">
        <v>0.54356000000000004</v>
      </c>
      <c r="CB67" s="15">
        <v>473.86494000000016</v>
      </c>
      <c r="CC67" s="6">
        <v>2118.8679999999999</v>
      </c>
      <c r="CD67" s="127">
        <v>70</v>
      </c>
      <c r="CE67" s="115">
        <v>1483.2076000000002</v>
      </c>
      <c r="CG67" s="5">
        <v>5.4051200000000001</v>
      </c>
      <c r="CH67" s="15">
        <v>243.04751999999999</v>
      </c>
      <c r="CI67" s="15">
        <v>248.45264</v>
      </c>
      <c r="CJ67" s="26">
        <v>70</v>
      </c>
      <c r="CK67" s="169">
        <v>173.91684799999999</v>
      </c>
      <c r="CL67" s="5">
        <v>12.547599999999999</v>
      </c>
      <c r="CM67" s="5">
        <v>76.250799999999998</v>
      </c>
      <c r="CN67" s="5">
        <v>88.798400000000001</v>
      </c>
      <c r="CO67" s="26">
        <v>70</v>
      </c>
      <c r="CP67" s="25">
        <v>62.158879999999996</v>
      </c>
      <c r="CW67" s="15">
        <f t="shared" si="7"/>
        <v>337.25103999999999</v>
      </c>
      <c r="CX67" s="2">
        <f t="shared" si="8"/>
        <v>70</v>
      </c>
      <c r="CY67" s="15">
        <v>236.07572799999997</v>
      </c>
      <c r="DB67" s="5">
        <v>37.287200000000006</v>
      </c>
      <c r="DC67" s="5">
        <v>27.432000000000002</v>
      </c>
      <c r="DD67" s="5">
        <v>14.986000000000001</v>
      </c>
      <c r="DJ67" s="5">
        <v>3.3273999999999999</v>
      </c>
      <c r="DK67" s="15">
        <v>153.70919881305593</v>
      </c>
      <c r="DL67" s="26">
        <v>70</v>
      </c>
      <c r="DM67" s="169">
        <f t="shared" si="9"/>
        <v>107.59643916913916</v>
      </c>
    </row>
    <row r="68" spans="1:117" x14ac:dyDescent="0.25">
      <c r="A68" s="2">
        <v>1915</v>
      </c>
      <c r="D68" s="5">
        <v>1.111222460625428</v>
      </c>
      <c r="E68" s="127">
        <v>70</v>
      </c>
      <c r="F68" s="172">
        <v>244.85599999999999</v>
      </c>
      <c r="G68" s="127">
        <v>50</v>
      </c>
      <c r="P68" s="168">
        <v>1.6256000000000002</v>
      </c>
      <c r="Q68" s="127">
        <v>72.5</v>
      </c>
      <c r="V68" s="15">
        <v>672.59199999999998</v>
      </c>
      <c r="W68" s="127">
        <v>72.5</v>
      </c>
      <c r="X68" s="15">
        <v>104.648</v>
      </c>
      <c r="Y68" s="127">
        <v>72.5</v>
      </c>
      <c r="Z68" s="5">
        <v>3.048</v>
      </c>
      <c r="AA68" s="127">
        <v>72.5</v>
      </c>
      <c r="AF68" s="168">
        <v>4.3179999999999996</v>
      </c>
      <c r="AG68" s="127">
        <v>70</v>
      </c>
      <c r="AJ68" s="6">
        <v>1061.72</v>
      </c>
      <c r="AK68" s="127">
        <v>72.5</v>
      </c>
      <c r="AL68" s="5">
        <v>82.296000000000006</v>
      </c>
      <c r="AM68" s="127">
        <v>70</v>
      </c>
      <c r="AN68" s="15">
        <v>141.30019999999999</v>
      </c>
      <c r="AO68" s="127">
        <v>72.5</v>
      </c>
      <c r="AP68" s="5">
        <v>2.794</v>
      </c>
      <c r="AQ68" s="127">
        <v>70</v>
      </c>
      <c r="AT68" s="15">
        <v>553.25502713231378</v>
      </c>
      <c r="AU68" s="127">
        <v>65</v>
      </c>
      <c r="AV68" s="6">
        <f t="shared" si="3"/>
        <v>2873.5640495929388</v>
      </c>
      <c r="AW68" s="5">
        <f t="shared" si="4"/>
        <v>69.060031170683601</v>
      </c>
      <c r="AX68" s="6">
        <f t="shared" si="5"/>
        <v>1984.4842283584417</v>
      </c>
      <c r="AZ68" s="5">
        <v>97.078800000000001</v>
      </c>
      <c r="BA68" s="127">
        <v>65</v>
      </c>
      <c r="BB68" s="25">
        <v>63.101220000000005</v>
      </c>
      <c r="BD68" s="15">
        <v>296.67200000000003</v>
      </c>
      <c r="BE68" s="15">
        <v>7.4575009600000008</v>
      </c>
      <c r="BF68" s="15">
        <v>223.17449904</v>
      </c>
      <c r="BG68" s="5">
        <v>15.329001600000002</v>
      </c>
      <c r="BI68" s="15">
        <v>128.5574264</v>
      </c>
      <c r="BJ68" s="5">
        <v>51.739799999999995</v>
      </c>
      <c r="BK68" s="15">
        <v>18.763487999999999</v>
      </c>
      <c r="BL68" s="15">
        <v>69.377559999999988</v>
      </c>
      <c r="BM68" s="5">
        <v>31.931610000000006</v>
      </c>
      <c r="BN68" s="5"/>
      <c r="BO68" s="15">
        <v>199.96734200000003</v>
      </c>
      <c r="BP68" s="15">
        <v>942.9</v>
      </c>
      <c r="BS68" s="6">
        <v>1985.8702280000002</v>
      </c>
      <c r="BU68" s="6">
        <v>184.023</v>
      </c>
      <c r="BV68" s="15">
        <v>930.12260000000003</v>
      </c>
      <c r="BW68" s="15">
        <v>253.3904</v>
      </c>
      <c r="BX68" s="15">
        <v>201.84109999999998</v>
      </c>
      <c r="BY68" s="15">
        <v>123.35509999999999</v>
      </c>
      <c r="CB68" s="15">
        <v>466.01379999999995</v>
      </c>
      <c r="CC68" s="6">
        <v>2158.7460000000001</v>
      </c>
      <c r="CD68" s="127">
        <v>70</v>
      </c>
      <c r="CE68" s="115">
        <v>1511.1222</v>
      </c>
      <c r="CG68" s="5">
        <v>7.6707999999999998</v>
      </c>
      <c r="CH68" s="15">
        <v>243.61648</v>
      </c>
      <c r="CI68" s="15">
        <v>251.28728000000001</v>
      </c>
      <c r="CJ68" s="26">
        <v>70</v>
      </c>
      <c r="CK68" s="169">
        <v>175.901096</v>
      </c>
      <c r="CL68" s="5">
        <v>5.1307999999999998</v>
      </c>
      <c r="CM68" s="5">
        <v>74.777599999999993</v>
      </c>
      <c r="CN68" s="5">
        <v>79.9084</v>
      </c>
      <c r="CO68" s="26">
        <v>70</v>
      </c>
      <c r="CP68" s="25">
        <v>55.935879999999997</v>
      </c>
      <c r="CW68" s="15">
        <f t="shared" si="7"/>
        <v>331.19568000000004</v>
      </c>
      <c r="CX68" s="2">
        <f t="shared" si="8"/>
        <v>69.999999999999986</v>
      </c>
      <c r="CY68" s="15">
        <v>231.83697599999999</v>
      </c>
      <c r="DB68" s="5">
        <v>37.287200000000006</v>
      </c>
      <c r="DC68" s="5">
        <v>27.432000000000002</v>
      </c>
      <c r="DD68" s="5">
        <v>14.986000000000001</v>
      </c>
      <c r="DJ68" s="5">
        <v>3.3273999999999999</v>
      </c>
      <c r="DK68" s="15">
        <v>109.79228486646829</v>
      </c>
      <c r="DL68" s="26">
        <v>70</v>
      </c>
      <c r="DM68" s="25">
        <f t="shared" si="9"/>
        <v>76.854599406527811</v>
      </c>
    </row>
    <row r="69" spans="1:117" x14ac:dyDescent="0.25">
      <c r="A69" s="2">
        <v>1916</v>
      </c>
      <c r="B69" s="5">
        <v>1.0762203741639647</v>
      </c>
      <c r="C69" s="127">
        <v>70</v>
      </c>
      <c r="D69" s="4">
        <v>0.67310000000000003</v>
      </c>
      <c r="E69" s="127">
        <v>70</v>
      </c>
      <c r="H69" s="5">
        <v>10.718800000000002</v>
      </c>
      <c r="I69" s="127">
        <v>70</v>
      </c>
      <c r="P69" s="4">
        <v>0.38100000000000001</v>
      </c>
      <c r="Q69" s="127">
        <v>72.5</v>
      </c>
      <c r="V69" s="15">
        <v>711.50479999999993</v>
      </c>
      <c r="W69" s="127">
        <v>72.5</v>
      </c>
      <c r="X69" s="5">
        <v>13.843</v>
      </c>
      <c r="Y69" s="127">
        <v>72.5</v>
      </c>
      <c r="Z69" s="25">
        <v>5.08</v>
      </c>
      <c r="AA69" s="127">
        <v>72.5</v>
      </c>
      <c r="AF69" s="168">
        <v>33.045971673155975</v>
      </c>
      <c r="AG69" s="127">
        <v>70</v>
      </c>
      <c r="AJ69" s="6">
        <v>1105.9159999999999</v>
      </c>
      <c r="AK69" s="127">
        <v>72.5</v>
      </c>
      <c r="AL69" s="25">
        <v>84.835999999999999</v>
      </c>
      <c r="AM69" s="127">
        <v>70</v>
      </c>
      <c r="AN69" s="15">
        <v>139.80160000000001</v>
      </c>
      <c r="AO69" s="127">
        <v>72.5</v>
      </c>
      <c r="AP69" s="5">
        <v>3.3002391501946793</v>
      </c>
      <c r="AQ69" s="127">
        <v>70</v>
      </c>
      <c r="AT69" s="15">
        <v>318.51600000000002</v>
      </c>
      <c r="AU69" s="2">
        <v>66</v>
      </c>
      <c r="AV69" s="6">
        <f t="shared" si="3"/>
        <v>2428.6927311975141</v>
      </c>
      <c r="AW69" s="5">
        <f t="shared" si="4"/>
        <v>71.509969521007221</v>
      </c>
      <c r="AX69" s="6">
        <f t="shared" si="5"/>
        <v>1736.7574318382601</v>
      </c>
      <c r="AZ69" s="15">
        <v>123.952</v>
      </c>
      <c r="BA69" s="127">
        <v>65</v>
      </c>
      <c r="BB69" s="25">
        <v>80.568799999999996</v>
      </c>
      <c r="BD69" s="15">
        <v>286.512</v>
      </c>
      <c r="BE69" s="15">
        <v>14.0255752</v>
      </c>
      <c r="BF69" s="15">
        <v>260.2944248</v>
      </c>
      <c r="BG69" s="5">
        <v>16.611600000000003</v>
      </c>
      <c r="BI69" s="15">
        <v>165.75074799999999</v>
      </c>
      <c r="BJ69" s="5">
        <v>47.828199999999995</v>
      </c>
      <c r="BK69" s="5">
        <v>21.214079999999999</v>
      </c>
      <c r="BL69" s="15">
        <v>92.926814400000026</v>
      </c>
      <c r="BM69" s="5">
        <v>35.448875000000001</v>
      </c>
      <c r="BN69" s="5"/>
      <c r="BO69" s="15">
        <v>206.0102306</v>
      </c>
      <c r="BP69" s="6">
        <v>1004.4999999999999</v>
      </c>
      <c r="BS69" s="6">
        <v>2151.1225479999998</v>
      </c>
      <c r="BU69" s="6">
        <v>314.38850000000002</v>
      </c>
      <c r="BV69" s="15">
        <v>664.19729999999993</v>
      </c>
      <c r="BW69" s="15">
        <v>169.95140000000001</v>
      </c>
      <c r="BX69" s="15">
        <v>114.23650000000001</v>
      </c>
      <c r="BY69" s="5">
        <v>74.714100000000002</v>
      </c>
      <c r="CB69" s="15">
        <v>396.46860000000015</v>
      </c>
      <c r="CC69" s="6">
        <v>1733.9564</v>
      </c>
      <c r="CD69" s="127">
        <v>70</v>
      </c>
      <c r="CE69" s="115">
        <v>1213.7694799999999</v>
      </c>
      <c r="CG69" s="5">
        <v>10.09904</v>
      </c>
      <c r="CH69" s="15">
        <v>276.14879999999999</v>
      </c>
      <c r="CI69" s="15">
        <v>286.24784</v>
      </c>
      <c r="CJ69" s="26">
        <v>70</v>
      </c>
      <c r="CK69" s="169">
        <v>200.37348800000001</v>
      </c>
      <c r="CL69" s="5">
        <v>6.6040000000000001</v>
      </c>
      <c r="CM69" s="15">
        <v>149.01671999999999</v>
      </c>
      <c r="CN69" s="15">
        <v>155.62071999999998</v>
      </c>
      <c r="CO69" s="26">
        <v>70</v>
      </c>
      <c r="CP69" s="169">
        <v>108.93450399999998</v>
      </c>
      <c r="CW69" s="15">
        <f t="shared" si="7"/>
        <v>441.86856</v>
      </c>
      <c r="CX69" s="2">
        <f t="shared" si="8"/>
        <v>70</v>
      </c>
      <c r="CY69" s="15">
        <v>309.30799200000001</v>
      </c>
      <c r="DA69" s="5">
        <v>85.455759999999998</v>
      </c>
      <c r="DJ69" s="5">
        <v>56.784240000000004</v>
      </c>
      <c r="DK69" s="15">
        <v>197.03264094955497</v>
      </c>
      <c r="DL69" s="26">
        <v>70</v>
      </c>
      <c r="DM69" s="169">
        <f t="shared" si="9"/>
        <v>137.92284866468847</v>
      </c>
    </row>
    <row r="70" spans="1:117" x14ac:dyDescent="0.25">
      <c r="A70" s="2">
        <v>1917</v>
      </c>
      <c r="D70" s="168">
        <v>2.4892000000000003</v>
      </c>
      <c r="E70" s="127">
        <v>70</v>
      </c>
      <c r="J70" s="4">
        <v>0.1905</v>
      </c>
      <c r="K70" s="127">
        <v>70</v>
      </c>
      <c r="V70" s="15">
        <v>618.94720000000007</v>
      </c>
      <c r="W70" s="127">
        <v>72.5</v>
      </c>
      <c r="X70" s="15">
        <v>140.208</v>
      </c>
      <c r="Y70" s="127">
        <v>72.5</v>
      </c>
      <c r="Z70" s="15">
        <v>203.2</v>
      </c>
      <c r="AA70" s="127">
        <v>72.5</v>
      </c>
      <c r="AF70" s="168">
        <v>24.121428267034801</v>
      </c>
      <c r="AG70" s="127">
        <v>70</v>
      </c>
      <c r="AJ70" s="15">
        <v>950.976</v>
      </c>
      <c r="AK70" s="127">
        <v>72.5</v>
      </c>
      <c r="AL70" s="171">
        <v>127</v>
      </c>
      <c r="AM70" s="127">
        <v>70</v>
      </c>
      <c r="AN70" s="15">
        <v>129.54</v>
      </c>
      <c r="AO70" s="127">
        <v>72.5</v>
      </c>
      <c r="AP70" s="5">
        <v>8.1280000000000001</v>
      </c>
      <c r="AQ70" s="127">
        <v>70</v>
      </c>
      <c r="AT70" s="15">
        <v>455.62779400687248</v>
      </c>
      <c r="AU70" s="127">
        <v>65</v>
      </c>
      <c r="AV70" s="6">
        <f t="shared" si="3"/>
        <v>2660.4281222739078</v>
      </c>
      <c r="AW70" s="5">
        <f t="shared" si="4"/>
        <v>71.063377358809291</v>
      </c>
      <c r="AX70" s="6">
        <f t="shared" si="5"/>
        <v>1890.5900758913913</v>
      </c>
      <c r="AZ70" s="15">
        <v>141.17319999999998</v>
      </c>
      <c r="BA70" s="127">
        <v>65</v>
      </c>
      <c r="BB70" s="25">
        <v>91.762579999999986</v>
      </c>
      <c r="BD70" s="15">
        <v>249.93600000000001</v>
      </c>
      <c r="BE70" s="15">
        <v>11.357295040000002</v>
      </c>
      <c r="BF70" s="15">
        <v>227.40270495999999</v>
      </c>
      <c r="BG70" s="5">
        <v>6.0756800000000002</v>
      </c>
      <c r="BI70" s="15">
        <v>171.966128</v>
      </c>
      <c r="BJ70" s="5">
        <v>51.512216000000002</v>
      </c>
      <c r="BK70" s="5">
        <v>6.4190880000000003</v>
      </c>
      <c r="BL70" s="15">
        <v>79.903319999999994</v>
      </c>
      <c r="BM70" s="5">
        <v>28.506420000000002</v>
      </c>
      <c r="BN70" s="5"/>
      <c r="BO70" s="15">
        <v>214.35517200000004</v>
      </c>
      <c r="BP70" s="15">
        <v>901.59999999999991</v>
      </c>
      <c r="BS70" s="6">
        <v>1949.034024</v>
      </c>
      <c r="BU70" s="6">
        <v>217.23349999999999</v>
      </c>
      <c r="BV70" s="15">
        <v>380.47930000000002</v>
      </c>
      <c r="BW70" s="15">
        <v>169.83709999999999</v>
      </c>
      <c r="BX70" s="15">
        <v>76.987400000000008</v>
      </c>
      <c r="BY70" s="15">
        <v>105.19409999999999</v>
      </c>
      <c r="CB70" s="15">
        <v>246.10060000000021</v>
      </c>
      <c r="CC70" s="6">
        <v>1195.8320000000001</v>
      </c>
      <c r="CD70" s="127">
        <v>70</v>
      </c>
      <c r="CE70" s="169">
        <v>837.08240000000001</v>
      </c>
      <c r="CG70" s="5">
        <v>11.358879999999999</v>
      </c>
      <c r="CH70" s="15">
        <v>230.36784</v>
      </c>
      <c r="CI70" s="15">
        <v>241.72672</v>
      </c>
      <c r="CJ70" s="26">
        <v>70</v>
      </c>
      <c r="CK70" s="169">
        <v>169.20870400000001</v>
      </c>
      <c r="CL70" s="5">
        <v>4.1147999999999998</v>
      </c>
      <c r="CM70" s="5">
        <v>66.040000000000006</v>
      </c>
      <c r="CN70" s="5">
        <v>70.154799999999994</v>
      </c>
      <c r="CO70" s="26">
        <v>70</v>
      </c>
      <c r="CP70" s="25">
        <v>49.10835999999999</v>
      </c>
      <c r="CW70" s="15">
        <f t="shared" si="7"/>
        <v>311.88152000000002</v>
      </c>
      <c r="CX70" s="2">
        <f t="shared" si="8"/>
        <v>69.999999999999986</v>
      </c>
      <c r="CY70" s="15">
        <v>218.31706399999996</v>
      </c>
      <c r="DA70" s="15">
        <v>132.89280000000002</v>
      </c>
      <c r="DB70" s="5">
        <v>17.018000000000001</v>
      </c>
      <c r="DC70" s="5">
        <v>13.716000000000001</v>
      </c>
      <c r="DD70" s="5">
        <v>21.335999999999999</v>
      </c>
      <c r="DJ70" s="5">
        <v>58.877200000000002</v>
      </c>
      <c r="DK70" s="15">
        <v>249.85163204747835</v>
      </c>
      <c r="DL70" s="26">
        <v>70</v>
      </c>
      <c r="DM70" s="169">
        <f t="shared" si="9"/>
        <v>174.89614243323484</v>
      </c>
    </row>
    <row r="71" spans="1:117" x14ac:dyDescent="0.25">
      <c r="A71" s="2">
        <v>1918</v>
      </c>
      <c r="B71" s="15">
        <v>10.16</v>
      </c>
      <c r="C71" s="127">
        <v>70</v>
      </c>
      <c r="D71" s="168">
        <v>4.2164000000000001</v>
      </c>
      <c r="E71" s="127">
        <v>70</v>
      </c>
      <c r="J71" s="4">
        <v>0.29996819522928442</v>
      </c>
      <c r="K71" s="127">
        <v>70</v>
      </c>
      <c r="P71" s="4">
        <v>0.20320000000000002</v>
      </c>
      <c r="Q71" s="127">
        <v>72.5</v>
      </c>
      <c r="V71" s="15">
        <v>701.548</v>
      </c>
      <c r="W71" s="127">
        <v>72.5</v>
      </c>
      <c r="X71" s="15">
        <v>145.542</v>
      </c>
      <c r="Y71" s="127">
        <v>72.5</v>
      </c>
      <c r="Z71" s="5">
        <v>37.642800000000001</v>
      </c>
      <c r="AA71" s="127">
        <v>72.5</v>
      </c>
      <c r="AF71" s="168">
        <v>27.184617692653898</v>
      </c>
      <c r="AG71" s="127">
        <v>70</v>
      </c>
      <c r="AJ71" s="15">
        <v>887.476</v>
      </c>
      <c r="AK71" s="127">
        <v>72.5</v>
      </c>
      <c r="AL71" s="171">
        <v>111.9632</v>
      </c>
      <c r="AM71" s="127">
        <v>70</v>
      </c>
      <c r="AN71" s="15">
        <v>157.47999999999999</v>
      </c>
      <c r="AO71" s="127">
        <v>72.5</v>
      </c>
      <c r="AT71" s="15">
        <v>362.69435705355806</v>
      </c>
      <c r="AU71" s="127">
        <v>65</v>
      </c>
      <c r="AV71" s="6">
        <f t="shared" si="3"/>
        <v>2446.4105429414412</v>
      </c>
      <c r="AW71" s="5">
        <f t="shared" si="4"/>
        <v>71.230888341051553</v>
      </c>
      <c r="AX71" s="6">
        <f t="shared" si="5"/>
        <v>1742.5999622063309</v>
      </c>
      <c r="AZ71" s="15">
        <v>138.17599999999999</v>
      </c>
      <c r="BA71" s="127">
        <v>65</v>
      </c>
      <c r="BB71" s="25">
        <v>89.814399999999992</v>
      </c>
      <c r="BD71" s="15">
        <v>260.096</v>
      </c>
      <c r="BF71" s="15">
        <v>197.10400000000001</v>
      </c>
      <c r="BG71" s="5">
        <v>28.620720000000002</v>
      </c>
      <c r="BI71" s="15">
        <v>152.461468</v>
      </c>
      <c r="BJ71" s="5">
        <v>44.270066399999997</v>
      </c>
      <c r="BK71" s="5">
        <v>4.6634400000000005</v>
      </c>
      <c r="BL71" s="15">
        <v>77.698599999999999</v>
      </c>
      <c r="BM71" s="5">
        <v>38.745159999999998</v>
      </c>
      <c r="BN71" s="5"/>
      <c r="BO71" s="15">
        <v>192.83680000000004</v>
      </c>
      <c r="BP71" s="15">
        <v>684.59999999999991</v>
      </c>
      <c r="BS71" s="6">
        <v>1681.0962543999999</v>
      </c>
      <c r="BU71" s="6">
        <v>172.5676</v>
      </c>
      <c r="BV71" s="15">
        <v>554.46929999999998</v>
      </c>
      <c r="BW71" s="15">
        <v>170.815</v>
      </c>
      <c r="BX71" s="15">
        <v>102.7938</v>
      </c>
      <c r="BY71" s="15">
        <v>149.70759999999999</v>
      </c>
      <c r="CB71" s="15">
        <v>181.62270000000012</v>
      </c>
      <c r="CC71" s="6">
        <v>1331.9760000000001</v>
      </c>
      <c r="CD71" s="127">
        <v>70</v>
      </c>
      <c r="CE71" s="169">
        <v>932.3832000000001</v>
      </c>
      <c r="CG71" s="5">
        <v>51.328320000000005</v>
      </c>
      <c r="CH71" s="15">
        <v>249.20448000000002</v>
      </c>
      <c r="CI71" s="15">
        <v>300.53280000000001</v>
      </c>
      <c r="CJ71" s="26">
        <v>70</v>
      </c>
      <c r="CK71" s="169">
        <v>210.37296000000003</v>
      </c>
      <c r="CL71" s="5">
        <v>5.7911999999999999</v>
      </c>
      <c r="CM71" s="5">
        <v>95.300799999999995</v>
      </c>
      <c r="CN71" s="15">
        <v>101.092</v>
      </c>
      <c r="CO71" s="26">
        <v>70</v>
      </c>
      <c r="CP71" s="25">
        <v>70.764399999999995</v>
      </c>
      <c r="CW71" s="15">
        <f t="shared" si="7"/>
        <v>401.62479999999999</v>
      </c>
      <c r="CX71" s="2">
        <f t="shared" si="8"/>
        <v>70</v>
      </c>
      <c r="CY71" s="15">
        <v>281.13736</v>
      </c>
      <c r="DA71" s="5">
        <v>92.201999999999998</v>
      </c>
      <c r="DB71" s="5">
        <v>27.127199999999998</v>
      </c>
      <c r="DD71" s="5">
        <v>30.073600000000003</v>
      </c>
      <c r="DJ71" s="15">
        <v>100.0252</v>
      </c>
      <c r="DK71" s="15">
        <v>164.98516320474747</v>
      </c>
      <c r="DL71" s="26">
        <v>70</v>
      </c>
      <c r="DM71" s="169">
        <f t="shared" si="9"/>
        <v>115.48961424332323</v>
      </c>
    </row>
    <row r="72" spans="1:117" x14ac:dyDescent="0.25">
      <c r="A72" s="2">
        <v>1919</v>
      </c>
      <c r="H72" s="5">
        <v>5.7316047695229999</v>
      </c>
      <c r="I72" s="127">
        <v>70</v>
      </c>
      <c r="P72" s="4">
        <v>0.40640000000000004</v>
      </c>
      <c r="Q72" s="127">
        <v>72.5</v>
      </c>
      <c r="V72" s="15">
        <v>637.03200000000004</v>
      </c>
      <c r="W72" s="127">
        <v>72.5</v>
      </c>
      <c r="X72" s="15">
        <v>164.084</v>
      </c>
      <c r="Y72" s="127">
        <v>72.5</v>
      </c>
      <c r="Z72" s="15">
        <v>102.1588</v>
      </c>
      <c r="AA72" s="127">
        <v>72.5</v>
      </c>
      <c r="AF72" s="168">
        <v>5.1996890865006637</v>
      </c>
      <c r="AG72" s="127">
        <v>70</v>
      </c>
      <c r="AJ72" s="6">
        <v>1011.428</v>
      </c>
      <c r="AK72" s="127">
        <v>72.5</v>
      </c>
      <c r="AL72" s="171">
        <v>110.3884</v>
      </c>
      <c r="AM72" s="127">
        <v>70</v>
      </c>
      <c r="AN72" s="15">
        <v>158.49600000000001</v>
      </c>
      <c r="AO72" s="127">
        <v>72.5</v>
      </c>
      <c r="AP72" s="5">
        <v>16.256</v>
      </c>
      <c r="AQ72" s="127">
        <v>70</v>
      </c>
      <c r="AT72" s="15">
        <v>685.08238904355755</v>
      </c>
      <c r="AU72" s="127">
        <v>65</v>
      </c>
      <c r="AV72" s="6">
        <f t="shared" ref="AV72:AV82" si="10">B72+D72+F72+H72+J72+L72+N72+P72+R72+T72+V72+X72+Z72+AB72+AD72+AF72+AH72+AJ72+AL72+AN72+AP72+AR72+AT72</f>
        <v>2896.2632828995816</v>
      </c>
      <c r="AW72" s="5">
        <f t="shared" ref="AW72:AW120" si="11">(C72*B72+E72*D72+G72*F72+I72*H72+K72*J72+M72*L72+O72*N72+Q72*P72+S72*R72+U72*T72+W72*V72+Y72*X72+AA72*Z72+AC72*AB72+AE72*AD72+AG72*AF72+AI72*AH72+AK72*AJ72+AM72*AL72+AO72*AN72+AQ72*AP72+AS72*AR72+AU72*AT72)/AV72</f>
        <v>70.607196543617249</v>
      </c>
      <c r="AX72" s="6">
        <f t="shared" si="5"/>
        <v>2044.9703085775288</v>
      </c>
      <c r="AZ72" s="15">
        <v>116.94160000000001</v>
      </c>
      <c r="BA72" s="127">
        <v>65</v>
      </c>
      <c r="BB72" s="25">
        <v>76.012040000000013</v>
      </c>
      <c r="BD72" s="15">
        <v>331.21600000000001</v>
      </c>
      <c r="BF72" s="15">
        <v>166.624</v>
      </c>
      <c r="BG72" s="5">
        <v>48.219360000000002</v>
      </c>
      <c r="BI72" s="5">
        <v>76.466192000000007</v>
      </c>
      <c r="BJ72" s="5">
        <v>39.461440000000003</v>
      </c>
      <c r="BK72" s="5">
        <v>4.6227999999999998</v>
      </c>
      <c r="BL72" s="5">
        <v>17.993360000000003</v>
      </c>
      <c r="BM72" s="5">
        <v>34.792919999999995</v>
      </c>
      <c r="BN72" s="5"/>
      <c r="BO72" s="5">
        <v>88.894920000000013</v>
      </c>
      <c r="BP72" s="15">
        <v>657</v>
      </c>
      <c r="BS72" s="6">
        <v>1465.2909920000002</v>
      </c>
      <c r="BU72" s="6">
        <v>106.32440000000001</v>
      </c>
      <c r="BV72" s="15">
        <v>415.97579999999999</v>
      </c>
      <c r="BW72" s="15">
        <v>117.09400000000001</v>
      </c>
      <c r="BX72" s="5">
        <v>84.416900000000012</v>
      </c>
      <c r="BY72" s="5">
        <v>41.935400000000001</v>
      </c>
      <c r="CB72" s="15">
        <v>244.15749999999991</v>
      </c>
      <c r="CC72" s="6">
        <v>1009.904</v>
      </c>
      <c r="CD72" s="127">
        <v>70</v>
      </c>
      <c r="CE72" s="169">
        <v>706.93280000000004</v>
      </c>
      <c r="CG72" s="5">
        <v>24.03856</v>
      </c>
      <c r="CH72" s="15">
        <v>224.48519999999999</v>
      </c>
      <c r="CI72" s="15">
        <v>248.52376000000001</v>
      </c>
      <c r="CJ72" s="26">
        <v>70</v>
      </c>
      <c r="CK72" s="169">
        <v>173.966632</v>
      </c>
      <c r="CM72" s="5">
        <v>37.287200000000006</v>
      </c>
      <c r="CN72" s="5">
        <v>37.287200000000006</v>
      </c>
      <c r="CO72" s="26">
        <v>70</v>
      </c>
      <c r="CP72" s="25">
        <v>26.101040000000001</v>
      </c>
      <c r="CW72" s="15">
        <f t="shared" si="7"/>
        <v>285.81096000000002</v>
      </c>
      <c r="CX72" s="2">
        <f t="shared" si="8"/>
        <v>69.999999999999986</v>
      </c>
      <c r="CY72" s="15">
        <v>200.06767199999999</v>
      </c>
      <c r="DA72" s="5">
        <v>79.552800000000005</v>
      </c>
      <c r="DJ72" s="5">
        <v>85.140799999999999</v>
      </c>
      <c r="DK72" s="15">
        <v>182.7893175074183</v>
      </c>
      <c r="DL72" s="26">
        <v>70</v>
      </c>
      <c r="DM72" s="169">
        <f t="shared" si="9"/>
        <v>127.95252225519282</v>
      </c>
    </row>
    <row r="73" spans="1:117" x14ac:dyDescent="0.25">
      <c r="A73" s="2">
        <v>1920</v>
      </c>
      <c r="V73" s="15">
        <v>697.99199999999996</v>
      </c>
      <c r="W73" s="127">
        <v>72.5</v>
      </c>
      <c r="X73" s="15">
        <v>168.65600000000001</v>
      </c>
      <c r="Y73" s="127">
        <v>72.5</v>
      </c>
      <c r="Z73" s="5">
        <v>19.304000000000002</v>
      </c>
      <c r="AA73" s="127">
        <v>72.5</v>
      </c>
      <c r="AF73" s="168">
        <v>9.003319526141027</v>
      </c>
      <c r="AG73" s="127">
        <v>70</v>
      </c>
      <c r="AJ73" s="15">
        <v>906.27200000000005</v>
      </c>
      <c r="AK73" s="127">
        <v>72.5</v>
      </c>
      <c r="AL73" s="171">
        <v>134.874</v>
      </c>
      <c r="AM73" s="127">
        <v>70</v>
      </c>
      <c r="AN73" s="15">
        <v>115.316</v>
      </c>
      <c r="AO73" s="127">
        <v>72.5</v>
      </c>
      <c r="AP73" s="5">
        <v>37.084000000000003</v>
      </c>
      <c r="AQ73" s="127">
        <v>70</v>
      </c>
      <c r="AT73" s="15">
        <v>362.90397227606007</v>
      </c>
      <c r="AU73" s="127">
        <v>65</v>
      </c>
      <c r="AV73" s="6">
        <f t="shared" si="10"/>
        <v>2451.4052918022007</v>
      </c>
      <c r="AW73" s="5">
        <f t="shared" si="11"/>
        <v>71.205157771544094</v>
      </c>
      <c r="AX73" s="6">
        <f t="shared" si="5"/>
        <v>1745.5270056477377</v>
      </c>
      <c r="AZ73" s="5">
        <v>86.105999999999995</v>
      </c>
      <c r="BA73" s="127">
        <v>65</v>
      </c>
      <c r="BB73" s="25">
        <v>55.968899999999991</v>
      </c>
      <c r="BD73" s="15">
        <v>282.44799999999998</v>
      </c>
      <c r="BF73" s="5">
        <v>86.36</v>
      </c>
      <c r="BG73" s="5">
        <v>38.862000000000002</v>
      </c>
      <c r="BI73" s="5">
        <v>86.988903999999991</v>
      </c>
      <c r="BJ73" s="4">
        <v>0.49275999999999998</v>
      </c>
      <c r="BK73" s="5">
        <v>2.37744</v>
      </c>
      <c r="BL73" s="5">
        <v>67.564000000000007</v>
      </c>
      <c r="BM73" s="5">
        <v>39.5732</v>
      </c>
      <c r="BN73" s="5"/>
      <c r="BO73" s="5">
        <v>56.093360000000004</v>
      </c>
      <c r="BP73" s="15">
        <v>640</v>
      </c>
      <c r="BS73" s="6">
        <v>1300.7596639999999</v>
      </c>
      <c r="BU73" s="6">
        <v>160.87090000000001</v>
      </c>
      <c r="BV73" s="15">
        <v>709.47280000000001</v>
      </c>
      <c r="BW73" s="15">
        <v>140.53819999999999</v>
      </c>
      <c r="BX73" s="5">
        <v>60.109100000000005</v>
      </c>
      <c r="BY73" s="5">
        <v>36.093400000000003</v>
      </c>
      <c r="BZ73" s="5">
        <v>1.250696</v>
      </c>
      <c r="CB73" s="15">
        <v>401.74570399999993</v>
      </c>
      <c r="CC73" s="6">
        <v>1510.0808</v>
      </c>
      <c r="CD73" s="127">
        <v>70</v>
      </c>
      <c r="CE73" s="115">
        <v>1057.05656</v>
      </c>
      <c r="CG73" s="5">
        <v>10.414</v>
      </c>
      <c r="CH73" s="15">
        <v>182.71744000000001</v>
      </c>
      <c r="CI73" s="15">
        <v>193.13144</v>
      </c>
      <c r="CJ73" s="26">
        <v>70</v>
      </c>
      <c r="CK73" s="169">
        <v>135.19200800000002</v>
      </c>
      <c r="CM73" s="5">
        <v>42.164000000000001</v>
      </c>
      <c r="CN73" s="5">
        <v>42.164000000000001</v>
      </c>
      <c r="CO73" s="26">
        <v>70</v>
      </c>
      <c r="CP73" s="25">
        <v>29.514800000000001</v>
      </c>
      <c r="CW73" s="15">
        <f t="shared" si="7"/>
        <v>235.29543999999999</v>
      </c>
      <c r="CX73" s="2">
        <f t="shared" si="8"/>
        <v>70.000000000000014</v>
      </c>
      <c r="CY73" s="15">
        <v>164.70680800000002</v>
      </c>
      <c r="DA73" s="5">
        <v>67.299839999999989</v>
      </c>
      <c r="DB73" s="5">
        <v>32.623759999999997</v>
      </c>
      <c r="DC73" s="5">
        <v>11.938000000000001</v>
      </c>
      <c r="DD73" s="5">
        <v>22.6568</v>
      </c>
      <c r="DE73" s="5">
        <v>19.507200000000001</v>
      </c>
      <c r="DJ73" s="5">
        <v>28.346399999999999</v>
      </c>
      <c r="DK73" s="5">
        <v>84.272997032640703</v>
      </c>
      <c r="DL73" s="26">
        <v>70</v>
      </c>
      <c r="DM73" s="25">
        <f t="shared" si="9"/>
        <v>58.991097922848496</v>
      </c>
    </row>
    <row r="74" spans="1:117" x14ac:dyDescent="0.25">
      <c r="A74" s="2">
        <v>1921</v>
      </c>
      <c r="P74" s="4">
        <v>0.15240000000000001</v>
      </c>
      <c r="Q74" s="127">
        <v>72.5</v>
      </c>
      <c r="V74" s="15">
        <v>579.12</v>
      </c>
      <c r="W74" s="127">
        <v>72.5</v>
      </c>
      <c r="X74" s="5">
        <v>43.040299999999995</v>
      </c>
      <c r="Y74" s="127">
        <v>72.5</v>
      </c>
      <c r="Z74" s="5">
        <v>7.1120000000000001</v>
      </c>
      <c r="AA74" s="127">
        <v>72.5</v>
      </c>
      <c r="AF74" s="168">
        <v>20.32</v>
      </c>
      <c r="AG74" s="127">
        <v>70</v>
      </c>
      <c r="AH74" s="4">
        <v>0.49572042997595606</v>
      </c>
      <c r="AI74" s="127">
        <v>70</v>
      </c>
      <c r="AJ74" s="15">
        <v>547.62400000000002</v>
      </c>
      <c r="AK74" s="127">
        <v>72.5</v>
      </c>
      <c r="AL74" s="171">
        <v>215.9</v>
      </c>
      <c r="AM74" s="127">
        <v>70</v>
      </c>
      <c r="AN74" s="5">
        <v>58.927999999999997</v>
      </c>
      <c r="AO74" s="127">
        <v>72.5</v>
      </c>
      <c r="AP74" s="5">
        <v>35.622470098072206</v>
      </c>
      <c r="AQ74" s="127">
        <v>70</v>
      </c>
      <c r="AT74" s="15">
        <v>121.35236125811404</v>
      </c>
      <c r="AU74" s="127">
        <v>65</v>
      </c>
      <c r="AV74" s="6">
        <f t="shared" si="10"/>
        <v>1629.6672517861621</v>
      </c>
      <c r="AW74" s="5">
        <f t="shared" si="11"/>
        <v>71.523734333489131</v>
      </c>
      <c r="AX74" s="6">
        <f t="shared" si="5"/>
        <v>1165.5988756874081</v>
      </c>
      <c r="AZ74" s="5">
        <v>81.28</v>
      </c>
      <c r="BA74" s="127">
        <v>65</v>
      </c>
      <c r="BB74" s="25">
        <v>52.832000000000001</v>
      </c>
      <c r="BD74" s="15">
        <v>170.68799999999999</v>
      </c>
      <c r="BF74" s="5">
        <v>13.208</v>
      </c>
      <c r="BG74" s="5">
        <v>19.202399999999997</v>
      </c>
      <c r="BI74" s="5">
        <v>32.506920000000008</v>
      </c>
      <c r="BJ74" s="4">
        <v>0.64007999999999998</v>
      </c>
      <c r="BM74" s="5">
        <v>16.459199999999999</v>
      </c>
      <c r="BN74" s="5"/>
      <c r="BO74" s="5">
        <v>91.236800000000002</v>
      </c>
      <c r="BP74" s="15">
        <v>428</v>
      </c>
      <c r="BS74" s="6">
        <v>771.94139999999993</v>
      </c>
      <c r="BU74" s="6">
        <v>126.873</v>
      </c>
      <c r="BV74" s="15">
        <v>378.52350000000001</v>
      </c>
      <c r="BW74" s="15">
        <v>105.7783</v>
      </c>
      <c r="BX74" s="5">
        <v>25.946100000000001</v>
      </c>
      <c r="BY74" s="5">
        <v>31.8262</v>
      </c>
      <c r="BZ74" s="5">
        <v>4.0640000000000001</v>
      </c>
      <c r="CB74" s="15">
        <v>393.73810000000003</v>
      </c>
      <c r="CC74" s="6">
        <v>1066.7492</v>
      </c>
      <c r="CD74" s="127">
        <v>70</v>
      </c>
      <c r="CE74" s="169">
        <v>746.72444000000007</v>
      </c>
      <c r="CG74" s="5">
        <v>7.1120000000000001</v>
      </c>
      <c r="CH74" s="5">
        <v>46.603919999999995</v>
      </c>
      <c r="CI74" s="5">
        <v>53.715919999999997</v>
      </c>
      <c r="CJ74" s="26">
        <v>70</v>
      </c>
      <c r="CK74" s="25">
        <v>37.601143999999998</v>
      </c>
      <c r="CM74" s="5">
        <v>14.731999999999999</v>
      </c>
      <c r="CN74" s="5">
        <v>14.731999999999999</v>
      </c>
      <c r="CO74" s="26">
        <v>70</v>
      </c>
      <c r="CP74" s="25">
        <v>10.3124</v>
      </c>
      <c r="CW74" s="5">
        <f t="shared" si="7"/>
        <v>68.447919999999996</v>
      </c>
      <c r="CX74" s="2">
        <f t="shared" si="8"/>
        <v>70</v>
      </c>
      <c r="CY74" s="5">
        <v>47.913544000000002</v>
      </c>
      <c r="DA74" s="5">
        <v>53.847999999999999</v>
      </c>
      <c r="DB74" s="5">
        <v>16.256</v>
      </c>
      <c r="DE74" s="5">
        <v>8.1280000000000001</v>
      </c>
      <c r="DJ74" s="5">
        <v>6.0960000000000001</v>
      </c>
      <c r="DK74" s="5">
        <v>80.71216617210662</v>
      </c>
      <c r="DL74" s="26">
        <v>70</v>
      </c>
      <c r="DM74" s="25">
        <f t="shared" si="9"/>
        <v>56.498516320474636</v>
      </c>
    </row>
    <row r="75" spans="1:117" x14ac:dyDescent="0.25">
      <c r="A75" s="2">
        <v>1922</v>
      </c>
      <c r="P75" s="4">
        <v>0.25636354684653634</v>
      </c>
      <c r="Q75" s="127">
        <v>72.5</v>
      </c>
      <c r="V75" s="15">
        <v>375.92</v>
      </c>
      <c r="W75" s="127">
        <v>72.5</v>
      </c>
      <c r="X75" s="2">
        <v>12.7</v>
      </c>
      <c r="Y75" s="127">
        <v>72.5</v>
      </c>
      <c r="Z75" s="5">
        <v>8.1280000000000001</v>
      </c>
      <c r="AA75" s="127">
        <v>72.5</v>
      </c>
      <c r="AF75" s="168">
        <v>13.208</v>
      </c>
      <c r="AG75" s="127">
        <v>70</v>
      </c>
      <c r="AJ75" s="15">
        <v>368.80799999999999</v>
      </c>
      <c r="AK75" s="127">
        <v>72.5</v>
      </c>
      <c r="AL75" s="171">
        <v>217.42400000000001</v>
      </c>
      <c r="AM75" s="127">
        <v>70</v>
      </c>
      <c r="AN75" s="5">
        <v>45.72</v>
      </c>
      <c r="AO75" s="127">
        <v>72.5</v>
      </c>
      <c r="AP75" s="5">
        <v>8.1280000000000001</v>
      </c>
      <c r="AQ75" s="127">
        <v>70</v>
      </c>
      <c r="AT75" s="5">
        <v>77.724000000000004</v>
      </c>
      <c r="AU75" s="127">
        <v>65</v>
      </c>
      <c r="AV75" s="6">
        <f t="shared" si="10"/>
        <v>1128.0163635468464</v>
      </c>
      <c r="AW75" s="5">
        <f t="shared" si="11"/>
        <v>71.454066591471928</v>
      </c>
      <c r="AX75" s="6">
        <f t="shared" si="5"/>
        <v>806.01356357146369</v>
      </c>
      <c r="AZ75" s="15">
        <v>116.33200000000001</v>
      </c>
      <c r="BA75" s="127">
        <v>65</v>
      </c>
      <c r="BB75" s="25">
        <v>75.615800000000007</v>
      </c>
      <c r="BD75" s="5">
        <v>91.44</v>
      </c>
      <c r="BF75" s="5">
        <v>6.0960000000000001</v>
      </c>
      <c r="BG75" s="5">
        <v>21.81352</v>
      </c>
      <c r="BI75" s="5">
        <v>12.324079999999999</v>
      </c>
      <c r="BJ75" s="5">
        <v>1.1277600000000001</v>
      </c>
      <c r="BM75" s="5">
        <v>22.463760000000001</v>
      </c>
      <c r="BN75" s="5"/>
      <c r="BO75" s="5">
        <v>56.784240000000004</v>
      </c>
      <c r="BP75" s="15">
        <v>444</v>
      </c>
      <c r="BS75" s="6">
        <v>656.04935999999998</v>
      </c>
      <c r="BU75" s="6">
        <v>151.5745</v>
      </c>
      <c r="BV75" s="15">
        <v>391.59180000000003</v>
      </c>
      <c r="BW75" s="15">
        <v>109.5883</v>
      </c>
      <c r="BX75" s="5">
        <v>10.7569</v>
      </c>
      <c r="BY75" s="5">
        <v>34.302700000000002</v>
      </c>
      <c r="BZ75" s="6"/>
      <c r="CB75" s="15">
        <v>417.2965999999999</v>
      </c>
      <c r="CC75" s="6">
        <v>1115.1107999999999</v>
      </c>
      <c r="CD75" s="127">
        <v>70</v>
      </c>
      <c r="CE75" s="169">
        <v>780.57755999999995</v>
      </c>
      <c r="CG75" s="4">
        <v>0.15240000000000001</v>
      </c>
      <c r="CH75" s="5">
        <v>15.961360000000001</v>
      </c>
      <c r="CI75" s="5">
        <v>16.113759999999999</v>
      </c>
      <c r="CJ75" s="26">
        <v>70</v>
      </c>
      <c r="CK75" s="25">
        <v>11.279631999999999</v>
      </c>
      <c r="CM75" s="5">
        <v>25.35</v>
      </c>
      <c r="CN75" s="5">
        <v>25.35</v>
      </c>
      <c r="CO75" s="26">
        <v>70</v>
      </c>
      <c r="CP75" s="25">
        <v>17.745000000000001</v>
      </c>
      <c r="CW75" s="5">
        <f t="shared" si="7"/>
        <v>41.463760000000001</v>
      </c>
      <c r="CX75" s="2">
        <f t="shared" si="8"/>
        <v>70</v>
      </c>
      <c r="CY75" s="5">
        <v>29.024632</v>
      </c>
      <c r="DA75" s="5">
        <v>30.043120000000002</v>
      </c>
      <c r="DB75" s="5">
        <v>5.3441599999999996</v>
      </c>
      <c r="DC75" s="5">
        <v>21.193760000000001</v>
      </c>
      <c r="DD75" s="5">
        <v>1.9303999999999999</v>
      </c>
      <c r="DE75" s="5">
        <v>5.8928000000000003</v>
      </c>
      <c r="DJ75" s="5">
        <v>15.60576</v>
      </c>
      <c r="DK75" s="15">
        <v>137.68545994065218</v>
      </c>
      <c r="DL75" s="26">
        <v>70</v>
      </c>
      <c r="DM75" s="25">
        <f t="shared" si="9"/>
        <v>96.379821958456517</v>
      </c>
    </row>
    <row r="76" spans="1:117" x14ac:dyDescent="0.25">
      <c r="A76" s="2">
        <v>1923</v>
      </c>
      <c r="P76" s="4">
        <v>0.60960000000000003</v>
      </c>
      <c r="Q76" s="127">
        <v>72.5</v>
      </c>
      <c r="V76" s="15">
        <v>406.4</v>
      </c>
      <c r="W76" s="127">
        <v>72.5</v>
      </c>
      <c r="X76" s="5">
        <v>16.763999999999999</v>
      </c>
      <c r="Y76" s="127">
        <v>72.5</v>
      </c>
      <c r="Z76" s="5">
        <v>1.778</v>
      </c>
      <c r="AA76" s="127">
        <v>72.5</v>
      </c>
      <c r="AF76" s="168">
        <v>28.448</v>
      </c>
      <c r="AG76" s="127">
        <v>70</v>
      </c>
      <c r="AJ76" s="15">
        <v>370.84000000000003</v>
      </c>
      <c r="AK76" s="127">
        <v>72.5</v>
      </c>
      <c r="AL76" s="171">
        <v>167.13200000000001</v>
      </c>
      <c r="AM76" s="127">
        <v>70</v>
      </c>
      <c r="AN76" s="5">
        <v>64.007999999999996</v>
      </c>
      <c r="AO76" s="127">
        <v>72.5</v>
      </c>
      <c r="AP76" s="5">
        <v>9.1440000000000001</v>
      </c>
      <c r="AQ76" s="127">
        <v>70</v>
      </c>
      <c r="AT76" s="15">
        <v>175.768</v>
      </c>
      <c r="AU76" s="127">
        <v>65</v>
      </c>
      <c r="AV76" s="6">
        <f t="shared" si="10"/>
        <v>1240.8916000000002</v>
      </c>
      <c r="AW76" s="5">
        <f t="shared" si="11"/>
        <v>71.025197527326313</v>
      </c>
      <c r="AX76" s="6">
        <f t="shared" si="5"/>
        <v>881.34570999999994</v>
      </c>
      <c r="AZ76" s="5">
        <v>79.044799999999995</v>
      </c>
      <c r="BA76" s="127">
        <v>65</v>
      </c>
      <c r="BB76" s="25">
        <v>51.379119999999993</v>
      </c>
      <c r="BD76" s="15">
        <v>170.68799999999999</v>
      </c>
      <c r="BF76" s="5">
        <v>53.847999999999999</v>
      </c>
      <c r="BG76" s="5">
        <v>22.15896</v>
      </c>
      <c r="BI76" s="5">
        <v>24.5364</v>
      </c>
      <c r="BJ76" s="4">
        <v>0.17272000000000001</v>
      </c>
      <c r="BM76" s="5">
        <v>114.7064</v>
      </c>
      <c r="BN76" s="5"/>
      <c r="BO76" s="5">
        <v>60.045600000000007</v>
      </c>
      <c r="BP76" s="15">
        <v>693</v>
      </c>
      <c r="BS76" s="6">
        <v>1139.1560800000002</v>
      </c>
      <c r="BU76" s="6">
        <v>115.2017</v>
      </c>
      <c r="BV76" s="15">
        <v>425.58969999999999</v>
      </c>
      <c r="BW76" s="15">
        <v>111.70920000000001</v>
      </c>
      <c r="BX76" s="5">
        <v>2.8702000000000001</v>
      </c>
      <c r="BY76" s="5">
        <v>50.193447999999997</v>
      </c>
      <c r="BZ76" s="5">
        <v>3.2258</v>
      </c>
      <c r="CB76" s="15">
        <v>208.65795200000002</v>
      </c>
      <c r="CC76" s="15">
        <v>917.44799999999998</v>
      </c>
      <c r="CD76" s="127">
        <v>70</v>
      </c>
      <c r="CE76" s="169">
        <v>642.21360000000004</v>
      </c>
      <c r="CH76" s="5">
        <v>28.468319999999999</v>
      </c>
      <c r="CI76" s="5">
        <v>28.468319999999999</v>
      </c>
      <c r="CJ76" s="26">
        <v>70</v>
      </c>
      <c r="CK76" s="25">
        <v>19.927823999999998</v>
      </c>
      <c r="CM76" s="5">
        <v>24.790399999999998</v>
      </c>
      <c r="CN76" s="5">
        <v>24.790399999999998</v>
      </c>
      <c r="CO76" s="26">
        <v>70</v>
      </c>
      <c r="CP76" s="25">
        <v>17.353279999999998</v>
      </c>
      <c r="CW76" s="5">
        <f t="shared" si="7"/>
        <v>53.258719999999997</v>
      </c>
      <c r="CX76" s="2">
        <f t="shared" si="8"/>
        <v>70</v>
      </c>
      <c r="CY76" s="5">
        <v>37.281103999999999</v>
      </c>
      <c r="DA76" s="5">
        <v>53.60416</v>
      </c>
      <c r="DB76" s="5">
        <v>20.421600000000002</v>
      </c>
      <c r="DC76" s="5">
        <v>14.579599999999999</v>
      </c>
      <c r="DD76" s="5">
        <v>11.176</v>
      </c>
      <c r="DE76" s="5">
        <v>10.1092</v>
      </c>
      <c r="DJ76" s="5">
        <v>28.082240000000002</v>
      </c>
      <c r="DK76" s="5">
        <v>98.516320474777032</v>
      </c>
      <c r="DL76" s="26">
        <v>70</v>
      </c>
      <c r="DM76" s="25">
        <f t="shared" si="9"/>
        <v>68.961424332343924</v>
      </c>
    </row>
    <row r="77" spans="1:117" x14ac:dyDescent="0.25">
      <c r="A77" s="2">
        <v>1924</v>
      </c>
      <c r="D77" s="168">
        <v>1.016</v>
      </c>
      <c r="E77" s="127">
        <v>70</v>
      </c>
      <c r="P77" s="4">
        <v>0.71119999999999994</v>
      </c>
      <c r="Q77" s="127">
        <v>72.5</v>
      </c>
      <c r="V77" s="15">
        <v>540.51200000000006</v>
      </c>
      <c r="W77" s="127">
        <v>72.5</v>
      </c>
      <c r="X77" s="5">
        <v>33.782000000000004</v>
      </c>
      <c r="Y77" s="127">
        <v>72.5</v>
      </c>
      <c r="Z77" s="5">
        <v>41.655999999999999</v>
      </c>
      <c r="AA77" s="127">
        <v>72.5</v>
      </c>
      <c r="AF77" s="168">
        <v>31.496000000000002</v>
      </c>
      <c r="AG77" s="127">
        <v>70</v>
      </c>
      <c r="AJ77" s="15">
        <v>449.072</v>
      </c>
      <c r="AK77" s="127">
        <v>72.5</v>
      </c>
      <c r="AL77" s="171">
        <v>131.31800000000001</v>
      </c>
      <c r="AM77" s="127">
        <v>70</v>
      </c>
      <c r="AN77" s="5">
        <v>49.564239647577089</v>
      </c>
      <c r="AO77" s="127">
        <v>72.5</v>
      </c>
      <c r="AP77" s="5">
        <v>3.048</v>
      </c>
      <c r="AQ77" s="127">
        <v>70</v>
      </c>
      <c r="AT77" s="15">
        <v>391.16</v>
      </c>
      <c r="AU77" s="127">
        <v>65</v>
      </c>
      <c r="AV77" s="6">
        <f t="shared" si="10"/>
        <v>1673.3354396475772</v>
      </c>
      <c r="AW77" s="5">
        <f t="shared" si="11"/>
        <v>70.497475628254335</v>
      </c>
      <c r="AX77" s="6">
        <f t="shared" si="5"/>
        <v>1179.6592437444933</v>
      </c>
      <c r="AZ77" s="5">
        <v>38.608000000000004</v>
      </c>
      <c r="BA77" s="127">
        <v>65</v>
      </c>
      <c r="BB77" s="25">
        <v>25.095200000000006</v>
      </c>
      <c r="BD77" s="15">
        <v>203.2</v>
      </c>
      <c r="BF77" s="5">
        <v>24.384</v>
      </c>
      <c r="BG77" s="5">
        <v>10.75944</v>
      </c>
      <c r="BI77" s="5">
        <v>30.246320000000004</v>
      </c>
      <c r="BJ77" s="5">
        <v>1.1176000000000001</v>
      </c>
      <c r="BM77" s="5">
        <v>75.387200000000007</v>
      </c>
      <c r="BN77" s="5"/>
      <c r="BO77" s="5">
        <v>64.820799999999991</v>
      </c>
      <c r="BP77" s="15">
        <v>682</v>
      </c>
      <c r="BS77" s="6">
        <v>1091.91536</v>
      </c>
      <c r="BU77" s="16">
        <v>61.404499999999999</v>
      </c>
      <c r="BV77" s="15">
        <v>731.22789999999998</v>
      </c>
      <c r="BW77" s="5">
        <v>85.724999999999994</v>
      </c>
      <c r="BX77" s="5">
        <v>5.4482999999999997</v>
      </c>
      <c r="BY77" s="5">
        <v>43.453405600000004</v>
      </c>
      <c r="BZ77" s="4">
        <v>0.86004400000000003</v>
      </c>
      <c r="CB77" s="15">
        <v>286.5596503999999</v>
      </c>
      <c r="CC77" s="6">
        <v>1214.6787999999999</v>
      </c>
      <c r="CD77" s="127">
        <v>70</v>
      </c>
      <c r="CE77" s="169">
        <v>850.27515999999991</v>
      </c>
      <c r="CG77" s="4">
        <v>0.32512000000000002</v>
      </c>
      <c r="CH77" s="5">
        <v>53.075839999999999</v>
      </c>
      <c r="CI77" s="5">
        <v>53.400960000000005</v>
      </c>
      <c r="CJ77" s="26">
        <v>70</v>
      </c>
      <c r="CK77" s="25">
        <v>37.380672000000004</v>
      </c>
      <c r="CM77" s="5">
        <v>29.006800000000002</v>
      </c>
      <c r="CN77" s="5">
        <v>29.006800000000002</v>
      </c>
      <c r="CO77" s="26">
        <v>70</v>
      </c>
      <c r="CP77" s="25">
        <v>20.304760000000002</v>
      </c>
      <c r="CW77" s="5">
        <f t="shared" si="7"/>
        <v>82.40776000000001</v>
      </c>
      <c r="CX77" s="2">
        <f t="shared" si="8"/>
        <v>69.999999999999986</v>
      </c>
      <c r="CY77" s="5">
        <v>57.685431999999992</v>
      </c>
      <c r="DA77" s="5">
        <v>18.582639999999998</v>
      </c>
      <c r="DB77" s="5">
        <v>30.967680000000001</v>
      </c>
      <c r="DE77" s="5">
        <v>2.8956</v>
      </c>
      <c r="DF77" s="5">
        <v>26.69032</v>
      </c>
      <c r="DG77" s="4">
        <v>0.58927999999999991</v>
      </c>
      <c r="DJ77" s="5">
        <v>18.572480000000002</v>
      </c>
      <c r="DK77" s="15">
        <v>111.57270029673533</v>
      </c>
      <c r="DL77" s="26">
        <v>70</v>
      </c>
      <c r="DM77" s="25">
        <f t="shared" si="9"/>
        <v>78.100890207714741</v>
      </c>
    </row>
    <row r="78" spans="1:117" x14ac:dyDescent="0.25">
      <c r="A78" s="2">
        <v>1925</v>
      </c>
      <c r="P78" s="4">
        <v>0.10160000000000001</v>
      </c>
      <c r="Q78" s="127">
        <v>72.5</v>
      </c>
      <c r="V78" s="15">
        <v>450.08800000000002</v>
      </c>
      <c r="W78" s="127">
        <v>72.5</v>
      </c>
      <c r="X78" s="5">
        <v>34.036000000000001</v>
      </c>
      <c r="Y78" s="127">
        <v>72.5</v>
      </c>
      <c r="Z78" s="5">
        <v>39.624000000000002</v>
      </c>
      <c r="AA78" s="127">
        <v>72.5</v>
      </c>
      <c r="AF78" s="168">
        <v>43.942</v>
      </c>
      <c r="AG78" s="127">
        <v>70</v>
      </c>
      <c r="AJ78" s="15">
        <v>362.71199999999999</v>
      </c>
      <c r="AK78" s="127">
        <v>72.5</v>
      </c>
      <c r="AL78" s="171">
        <v>147.32</v>
      </c>
      <c r="AM78" s="127">
        <v>70</v>
      </c>
      <c r="AN78" s="5">
        <v>64.262</v>
      </c>
      <c r="AO78" s="127">
        <v>72.5</v>
      </c>
      <c r="AP78" s="5">
        <v>2.4818538124452232</v>
      </c>
      <c r="AQ78" s="127">
        <v>70</v>
      </c>
      <c r="AT78" s="15">
        <v>348.74200000000002</v>
      </c>
      <c r="AU78" s="127">
        <v>65</v>
      </c>
      <c r="AV78" s="6">
        <f t="shared" si="10"/>
        <v>1493.3094538124451</v>
      </c>
      <c r="AW78" s="5">
        <f t="shared" si="11"/>
        <v>70.424124415996332</v>
      </c>
      <c r="AX78" s="6">
        <f t="shared" si="5"/>
        <v>1051.6501076687116</v>
      </c>
      <c r="AZ78" s="5">
        <v>70.103999999999999</v>
      </c>
      <c r="BA78" s="127">
        <v>65</v>
      </c>
      <c r="BB78" s="25">
        <v>45.567599999999999</v>
      </c>
      <c r="BD78" s="15">
        <v>256.03199999999998</v>
      </c>
      <c r="BF78" s="5">
        <v>85.343999999999994</v>
      </c>
      <c r="BG78" s="5">
        <v>8.1584799999999991</v>
      </c>
      <c r="BI78" s="5">
        <v>16.743680000000005</v>
      </c>
      <c r="BJ78" s="5">
        <v>8.7904319999999991</v>
      </c>
      <c r="BM78" s="15">
        <v>102.616</v>
      </c>
      <c r="BN78" s="15"/>
      <c r="BO78" s="5">
        <v>82.296000000000006</v>
      </c>
      <c r="BP78" s="15">
        <v>556</v>
      </c>
      <c r="BS78" s="6">
        <v>1115.9805919999999</v>
      </c>
      <c r="BU78" s="6">
        <v>102.6795</v>
      </c>
      <c r="BV78" s="15">
        <v>532.67610000000002</v>
      </c>
      <c r="BW78" s="15">
        <v>118.21159999999999</v>
      </c>
      <c r="BX78" s="5">
        <v>7.1442072000000003</v>
      </c>
      <c r="BY78" s="5">
        <v>47.5215204</v>
      </c>
      <c r="BZ78" s="6"/>
      <c r="CB78" s="15">
        <v>219.70507240000018</v>
      </c>
      <c r="CC78" s="6">
        <v>1027.9380000000001</v>
      </c>
      <c r="CD78" s="127">
        <v>70</v>
      </c>
      <c r="CE78" s="169">
        <v>719.5566</v>
      </c>
      <c r="CG78" s="5">
        <v>1.22936</v>
      </c>
      <c r="CH78" s="5">
        <v>54.924960000000006</v>
      </c>
      <c r="CI78" s="5">
        <v>56.154320000000006</v>
      </c>
      <c r="CJ78" s="26">
        <v>70</v>
      </c>
      <c r="CK78" s="25">
        <v>39.308024000000003</v>
      </c>
      <c r="CM78" s="5">
        <v>24.343360000000001</v>
      </c>
      <c r="CN78" s="5">
        <v>24.343360000000001</v>
      </c>
      <c r="CO78" s="26">
        <v>70</v>
      </c>
      <c r="CP78" s="25">
        <v>17.040351999999999</v>
      </c>
      <c r="CW78" s="5">
        <f t="shared" si="7"/>
        <v>80.497680000000003</v>
      </c>
      <c r="CX78" s="2">
        <f t="shared" si="8"/>
        <v>70</v>
      </c>
      <c r="CY78" s="5">
        <v>56.348376000000002</v>
      </c>
      <c r="DA78" s="5">
        <v>49.631599999999999</v>
      </c>
      <c r="DB78" s="5">
        <v>32.552639999999997</v>
      </c>
      <c r="DE78" s="5">
        <v>9.9060000000000006</v>
      </c>
      <c r="DF78" s="5">
        <v>9.2964000000000002</v>
      </c>
      <c r="DG78" s="5">
        <v>6.5735200000000003</v>
      </c>
      <c r="DJ78" s="5">
        <v>1.6256000000000002</v>
      </c>
      <c r="DK78" s="5">
        <v>99.109792284866046</v>
      </c>
      <c r="DL78" s="26">
        <v>70</v>
      </c>
      <c r="DM78" s="25">
        <f t="shared" si="9"/>
        <v>69.376854599406229</v>
      </c>
    </row>
    <row r="79" spans="1:117" x14ac:dyDescent="0.25">
      <c r="A79" s="2">
        <v>1926</v>
      </c>
      <c r="B79" s="170">
        <v>0.16328571428571431</v>
      </c>
      <c r="C79" s="127">
        <v>70</v>
      </c>
      <c r="F79" s="2">
        <v>25.4</v>
      </c>
      <c r="G79" s="127">
        <v>50</v>
      </c>
      <c r="H79" s="5">
        <v>1.4224000000000001</v>
      </c>
      <c r="I79" s="127">
        <v>70</v>
      </c>
      <c r="J79" s="4">
        <v>0.30480000000000002</v>
      </c>
      <c r="K79" s="127">
        <v>70</v>
      </c>
      <c r="P79" s="5">
        <v>1.6002000000000001</v>
      </c>
      <c r="Q79" s="127">
        <v>72.5</v>
      </c>
      <c r="R79" s="5">
        <v>3.556</v>
      </c>
      <c r="S79" s="127">
        <v>72.5</v>
      </c>
      <c r="T79" s="4">
        <v>0.30480000000000002</v>
      </c>
      <c r="U79" s="127">
        <v>65</v>
      </c>
      <c r="V79" s="15">
        <v>480.822</v>
      </c>
      <c r="W79" s="127">
        <v>72.5</v>
      </c>
      <c r="X79" s="5">
        <v>47.244</v>
      </c>
      <c r="Y79" s="127">
        <v>72.5</v>
      </c>
      <c r="Z79" s="5">
        <v>12.7</v>
      </c>
      <c r="AA79" s="127">
        <v>72.5</v>
      </c>
      <c r="AF79" s="168">
        <v>47.244</v>
      </c>
      <c r="AG79" s="127">
        <v>70</v>
      </c>
      <c r="AJ79" s="15">
        <v>408.68599999999998</v>
      </c>
      <c r="AK79" s="127">
        <v>72.5</v>
      </c>
      <c r="AL79" s="171">
        <v>172.46600000000001</v>
      </c>
      <c r="AM79" s="127">
        <v>70</v>
      </c>
      <c r="AN79" s="5">
        <v>59.436</v>
      </c>
      <c r="AO79" s="127">
        <v>72.5</v>
      </c>
      <c r="AP79" s="5">
        <v>6.0960000000000001</v>
      </c>
      <c r="AQ79" s="127">
        <v>70</v>
      </c>
      <c r="AT79" s="15">
        <v>368.3</v>
      </c>
      <c r="AU79" s="127">
        <v>65</v>
      </c>
      <c r="AV79" s="6">
        <f t="shared" si="10"/>
        <v>1635.7454857142857</v>
      </c>
      <c r="AW79" s="5">
        <f t="shared" si="11"/>
        <v>70.112539818454465</v>
      </c>
      <c r="AX79" s="6">
        <f t="shared" si="5"/>
        <v>1146.862705</v>
      </c>
      <c r="AZ79" s="5">
        <v>29.463999999999999</v>
      </c>
      <c r="BA79" s="127">
        <v>65</v>
      </c>
      <c r="BB79" s="25">
        <v>19.151599999999998</v>
      </c>
      <c r="BD79" s="15">
        <v>276.35199999999998</v>
      </c>
      <c r="BF79" s="15">
        <v>133.096</v>
      </c>
      <c r="BG79" s="5">
        <v>8.9895680000000002</v>
      </c>
      <c r="BI79" s="5">
        <v>1.1704319999999999</v>
      </c>
      <c r="BJ79" s="5">
        <v>3.048</v>
      </c>
      <c r="BM79" s="5">
        <v>68.904326249999997</v>
      </c>
      <c r="BN79" s="5"/>
      <c r="BO79" s="5">
        <v>17.455673750000003</v>
      </c>
      <c r="BP79" s="15">
        <v>324</v>
      </c>
      <c r="BS79" s="6">
        <v>833.01600000000008</v>
      </c>
      <c r="BU79" s="6">
        <v>148.33600000000001</v>
      </c>
      <c r="BV79" s="15">
        <v>504.11380000000003</v>
      </c>
      <c r="BW79" s="5">
        <v>76.085700000000003</v>
      </c>
      <c r="BX79" s="5">
        <v>36.265582971428579</v>
      </c>
      <c r="BY79" s="5">
        <v>41.062148000000001</v>
      </c>
      <c r="BZ79" s="6"/>
      <c r="CB79" s="15">
        <v>269.16636902857124</v>
      </c>
      <c r="CC79" s="6">
        <v>1075.0295999999998</v>
      </c>
      <c r="CD79" s="127">
        <v>70</v>
      </c>
      <c r="CE79" s="169">
        <v>752.52071999999987</v>
      </c>
      <c r="CH79" s="5">
        <v>62.392559999999996</v>
      </c>
      <c r="CI79" s="5">
        <v>62.392559999999996</v>
      </c>
      <c r="CJ79" s="26">
        <v>70</v>
      </c>
      <c r="CK79" s="25">
        <v>43.674791999999997</v>
      </c>
      <c r="CM79" s="5">
        <v>35.986720000000005</v>
      </c>
      <c r="CN79" s="5">
        <v>35.986720000000005</v>
      </c>
      <c r="CO79" s="26">
        <v>70</v>
      </c>
      <c r="CP79" s="25">
        <v>25.190704000000004</v>
      </c>
      <c r="CW79" s="5">
        <f t="shared" si="7"/>
        <v>98.379279999999994</v>
      </c>
      <c r="CX79" s="2">
        <f t="shared" si="8"/>
        <v>70</v>
      </c>
      <c r="CY79" s="5">
        <v>68.865495999999993</v>
      </c>
      <c r="DA79" s="5">
        <v>36.484559999999995</v>
      </c>
      <c r="DB79" s="5">
        <v>30.13456</v>
      </c>
      <c r="DE79" s="5">
        <v>12.954000000000001</v>
      </c>
      <c r="DF79" s="5">
        <v>5.08</v>
      </c>
      <c r="DG79" s="5">
        <v>5.0088799999999996</v>
      </c>
      <c r="DJ79" s="5">
        <v>9.5707199999999997</v>
      </c>
      <c r="DK79" s="15">
        <v>110.38575667655731</v>
      </c>
      <c r="DL79" s="26">
        <v>70</v>
      </c>
      <c r="DM79" s="25">
        <f t="shared" si="9"/>
        <v>77.270029673590116</v>
      </c>
    </row>
    <row r="80" spans="1:117" x14ac:dyDescent="0.25">
      <c r="A80" s="2">
        <v>1927</v>
      </c>
      <c r="B80" s="170">
        <v>9.071428571428572E-2</v>
      </c>
      <c r="C80" s="127">
        <v>70</v>
      </c>
      <c r="F80" s="5">
        <v>28.448</v>
      </c>
      <c r="G80" s="127">
        <v>50</v>
      </c>
      <c r="H80" s="4">
        <v>0.12192</v>
      </c>
      <c r="I80" s="127">
        <v>70</v>
      </c>
      <c r="P80" s="5">
        <v>4.0212710280373836</v>
      </c>
      <c r="Q80" s="127">
        <v>72.5</v>
      </c>
      <c r="R80" s="5">
        <v>1.0207476635514017</v>
      </c>
      <c r="S80" s="127">
        <v>72.5</v>
      </c>
      <c r="V80" s="15">
        <v>395.47800000000001</v>
      </c>
      <c r="W80" s="127">
        <v>72.5</v>
      </c>
      <c r="X80" s="15">
        <v>109.22</v>
      </c>
      <c r="Y80" s="127">
        <v>72.5</v>
      </c>
      <c r="Z80" s="5">
        <v>33.527999999999999</v>
      </c>
      <c r="AA80" s="127">
        <v>72.5</v>
      </c>
      <c r="AF80" s="168">
        <v>18.288</v>
      </c>
      <c r="AG80" s="127">
        <v>70</v>
      </c>
      <c r="AH80" s="4">
        <v>0.50800000000000001</v>
      </c>
      <c r="AI80" s="127">
        <v>70</v>
      </c>
      <c r="AJ80" s="15">
        <v>360.42599999999999</v>
      </c>
      <c r="AK80" s="127">
        <v>72.5</v>
      </c>
      <c r="AL80" s="171">
        <v>228.6</v>
      </c>
      <c r="AM80" s="127">
        <v>70</v>
      </c>
      <c r="AN80" s="5">
        <v>67.31</v>
      </c>
      <c r="AO80" s="127">
        <v>72.5</v>
      </c>
      <c r="AP80" s="4">
        <v>0.86360000000000003</v>
      </c>
      <c r="AQ80" s="127">
        <v>70</v>
      </c>
      <c r="AT80" s="5">
        <v>94.072673788390546</v>
      </c>
      <c r="AU80" s="127">
        <v>65</v>
      </c>
      <c r="AV80" s="6">
        <f t="shared" si="10"/>
        <v>1341.9969267656936</v>
      </c>
      <c r="AW80" s="5">
        <f t="shared" si="11"/>
        <v>71.034418671235443</v>
      </c>
      <c r="AX80" s="6">
        <f t="shared" si="5"/>
        <v>953.27971551385565</v>
      </c>
      <c r="AZ80" s="5">
        <v>63.5</v>
      </c>
      <c r="BA80" s="127">
        <v>65</v>
      </c>
      <c r="BB80" s="25">
        <v>41.274999999999999</v>
      </c>
      <c r="BD80" s="15">
        <v>203.2</v>
      </c>
      <c r="BF80" s="5">
        <v>58.927999999999997</v>
      </c>
      <c r="BG80" s="5">
        <v>2.3886159999999999</v>
      </c>
      <c r="BI80" s="4">
        <v>0.65938400000000019</v>
      </c>
      <c r="BJ80" s="5">
        <v>4.0640000000000001</v>
      </c>
      <c r="BM80" s="5">
        <v>93.802853142857145</v>
      </c>
      <c r="BN80" s="5"/>
      <c r="BO80" s="15">
        <v>251.63714685714285</v>
      </c>
      <c r="BP80" s="15">
        <v>955</v>
      </c>
      <c r="BS80" s="6">
        <v>1569.68</v>
      </c>
      <c r="BU80" s="6">
        <v>215.392</v>
      </c>
      <c r="BV80" s="15">
        <v>384.14960000000002</v>
      </c>
      <c r="BW80" s="15">
        <v>123.5583</v>
      </c>
      <c r="BX80" s="5">
        <v>39.395400000000002</v>
      </c>
      <c r="BY80" s="5">
        <v>40.128850399999997</v>
      </c>
      <c r="BZ80" s="5">
        <v>7.4930000000000003</v>
      </c>
      <c r="CB80" s="15">
        <v>319.31924959999992</v>
      </c>
      <c r="CC80" s="6">
        <v>1129.4364</v>
      </c>
      <c r="CD80" s="127">
        <v>70</v>
      </c>
      <c r="CE80" s="169">
        <v>790.60548000000006</v>
      </c>
      <c r="CG80" s="5">
        <v>1.2496799999999999</v>
      </c>
      <c r="CH80" s="5">
        <v>58.023760000000003</v>
      </c>
      <c r="CI80" s="5">
        <v>59.273440000000001</v>
      </c>
      <c r="CJ80" s="26">
        <v>70</v>
      </c>
      <c r="CK80" s="25">
        <v>41.491408</v>
      </c>
      <c r="CM80" s="5">
        <v>38.03904</v>
      </c>
      <c r="CN80" s="5">
        <v>38.03904</v>
      </c>
      <c r="CO80" s="26">
        <v>70</v>
      </c>
      <c r="CP80" s="25">
        <v>26.627327999999999</v>
      </c>
      <c r="CW80" s="5">
        <f t="shared" si="7"/>
        <v>97.312479999999994</v>
      </c>
      <c r="CX80" s="2">
        <f t="shared" si="8"/>
        <v>70</v>
      </c>
      <c r="CY80" s="5">
        <v>68.118735999999998</v>
      </c>
      <c r="DA80" s="5">
        <v>61.589919999999999</v>
      </c>
      <c r="DB80" s="5">
        <v>30.225999999999999</v>
      </c>
      <c r="DE80" s="5">
        <v>6.5532000000000004</v>
      </c>
      <c r="DF80" s="4">
        <v>0.50800000000000001</v>
      </c>
      <c r="DG80" s="5">
        <v>3.0987999999999998</v>
      </c>
      <c r="DJ80" s="5">
        <v>8.3108799999999992</v>
      </c>
      <c r="DK80" s="5">
        <v>80.71216617210662</v>
      </c>
      <c r="DL80" s="26">
        <v>70</v>
      </c>
      <c r="DM80" s="25">
        <f t="shared" si="9"/>
        <v>56.498516320474636</v>
      </c>
    </row>
    <row r="81" spans="1:117" x14ac:dyDescent="0.25">
      <c r="A81" s="2">
        <v>1928</v>
      </c>
      <c r="F81" s="5">
        <v>21.031199999999998</v>
      </c>
      <c r="G81" s="127">
        <v>50</v>
      </c>
      <c r="P81" s="170">
        <v>5.7682402009573919E-2</v>
      </c>
      <c r="Q81" s="127">
        <v>72.5</v>
      </c>
      <c r="V81" s="15">
        <v>478.79</v>
      </c>
      <c r="W81" s="127">
        <v>72.5</v>
      </c>
      <c r="X81" s="5">
        <v>96.012</v>
      </c>
      <c r="Y81" s="127">
        <v>72.5</v>
      </c>
      <c r="Z81" s="5">
        <v>9.3979999999999997</v>
      </c>
      <c r="AA81" s="127">
        <v>72.5</v>
      </c>
      <c r="AF81" s="168">
        <v>13.208</v>
      </c>
      <c r="AG81" s="127">
        <v>70</v>
      </c>
      <c r="AH81" s="168">
        <v>1.016</v>
      </c>
      <c r="AI81" s="127">
        <v>70</v>
      </c>
      <c r="AJ81" s="15">
        <v>312.42</v>
      </c>
      <c r="AK81" s="127">
        <v>72.5</v>
      </c>
      <c r="AL81" s="171">
        <v>152.14600000000002</v>
      </c>
      <c r="AM81" s="127">
        <v>70</v>
      </c>
      <c r="AN81" s="5">
        <v>51.816000000000003</v>
      </c>
      <c r="AO81" s="127">
        <v>72.5</v>
      </c>
      <c r="AT81" s="15">
        <v>347.726</v>
      </c>
      <c r="AU81" s="127">
        <v>65</v>
      </c>
      <c r="AV81" s="6">
        <f t="shared" si="10"/>
        <v>1483.6208824020096</v>
      </c>
      <c r="AW81" s="5">
        <f t="shared" si="11"/>
        <v>70.142880306228804</v>
      </c>
      <c r="AX81" s="6">
        <f t="shared" si="5"/>
        <v>1040.6544197414571</v>
      </c>
      <c r="AZ81" s="5">
        <v>86.867999999999995</v>
      </c>
      <c r="BA81" s="127">
        <v>65</v>
      </c>
      <c r="BB81" s="25">
        <v>56.464199999999998</v>
      </c>
      <c r="BD81" s="15">
        <v>191.00800000000001</v>
      </c>
      <c r="BF81" s="5">
        <v>8.1280000000000001</v>
      </c>
      <c r="BG81" s="5">
        <v>1.8796000000000002</v>
      </c>
      <c r="BI81" s="5">
        <v>18.4404</v>
      </c>
      <c r="BK81" s="5">
        <v>4.3179999999999996</v>
      </c>
      <c r="BM81" s="5">
        <v>82.194400000000002</v>
      </c>
      <c r="BN81" s="4">
        <v>0.81584800000000002</v>
      </c>
      <c r="BO81" s="15">
        <v>156.511752</v>
      </c>
      <c r="BP81" s="15">
        <v>843</v>
      </c>
      <c r="BS81" s="6">
        <v>1306.296</v>
      </c>
      <c r="BU81" s="6">
        <v>199.136</v>
      </c>
      <c r="BV81" s="15">
        <v>417.64458000000002</v>
      </c>
      <c r="BW81" s="15">
        <v>195.65619999999998</v>
      </c>
      <c r="BX81" s="5">
        <v>33.134299999999996</v>
      </c>
      <c r="BY81" s="5">
        <v>44.673113600000001</v>
      </c>
      <c r="CA81" s="4">
        <v>0.96519999999999995</v>
      </c>
      <c r="CB81" s="15">
        <v>140.08140640000011</v>
      </c>
      <c r="CC81" s="6">
        <v>1031.2908</v>
      </c>
      <c r="CD81" s="127">
        <v>70</v>
      </c>
      <c r="CE81" s="169">
        <v>721.90355999999997</v>
      </c>
      <c r="CH81" s="5">
        <v>55.412640000000003</v>
      </c>
      <c r="CI81" s="5">
        <v>55.412640000000003</v>
      </c>
      <c r="CJ81" s="26">
        <v>70</v>
      </c>
      <c r="CK81" s="25">
        <v>38.788848000000002</v>
      </c>
      <c r="CM81" s="5">
        <v>36.04768</v>
      </c>
      <c r="CN81" s="5">
        <v>36.04768</v>
      </c>
      <c r="CO81" s="26">
        <v>70</v>
      </c>
      <c r="CP81" s="25">
        <v>25.233376</v>
      </c>
      <c r="CW81" s="5">
        <f t="shared" si="7"/>
        <v>91.460319999999996</v>
      </c>
      <c r="CX81" s="2">
        <f t="shared" si="8"/>
        <v>70.000000000000014</v>
      </c>
      <c r="CY81" s="5">
        <v>64.022224000000008</v>
      </c>
      <c r="DA81" s="5">
        <v>49.783999999999999</v>
      </c>
      <c r="DB81" s="5">
        <v>19.182079999999999</v>
      </c>
      <c r="DE81" s="5">
        <v>3.7388800000000004</v>
      </c>
      <c r="DF81" s="4">
        <v>0.254</v>
      </c>
      <c r="DJ81" s="5">
        <v>7.4269599999999993</v>
      </c>
      <c r="DK81" s="5">
        <v>61.127596439169139</v>
      </c>
      <c r="DL81" s="26">
        <v>70</v>
      </c>
      <c r="DM81" s="25">
        <f t="shared" si="9"/>
        <v>42.789317507418403</v>
      </c>
    </row>
    <row r="82" spans="1:117" x14ac:dyDescent="0.25">
      <c r="A82" s="2">
        <v>1929</v>
      </c>
      <c r="F82" s="5">
        <v>3.6024177032959686</v>
      </c>
      <c r="G82" s="127">
        <v>50</v>
      </c>
      <c r="P82" s="4">
        <v>0.99060000000000004</v>
      </c>
      <c r="Q82" s="127">
        <v>72.5</v>
      </c>
      <c r="V82" s="15">
        <v>356.61599999999999</v>
      </c>
      <c r="W82" s="127">
        <v>72.5</v>
      </c>
      <c r="X82" s="15">
        <v>118.5164</v>
      </c>
      <c r="Y82" s="127">
        <v>72.5</v>
      </c>
      <c r="Z82" s="5">
        <v>10.16</v>
      </c>
      <c r="AA82" s="127">
        <v>72.5</v>
      </c>
      <c r="AF82" s="2">
        <v>12.7</v>
      </c>
      <c r="AG82" s="127">
        <v>70</v>
      </c>
      <c r="AJ82" s="15">
        <v>185.82640000000001</v>
      </c>
      <c r="AK82" s="127">
        <v>72.5</v>
      </c>
      <c r="AL82" s="171">
        <v>172.46600000000001</v>
      </c>
      <c r="AM82" s="127">
        <v>70</v>
      </c>
      <c r="AN82" s="5">
        <v>41.554400000000001</v>
      </c>
      <c r="AO82" s="127">
        <v>72.5</v>
      </c>
      <c r="AT82" s="15">
        <v>424.28160000000003</v>
      </c>
      <c r="AU82" s="127">
        <v>65</v>
      </c>
      <c r="AV82" s="6">
        <f t="shared" si="10"/>
        <v>1326.7138177032962</v>
      </c>
      <c r="AW82" s="5">
        <f t="shared" si="11"/>
        <v>69.691495747911574</v>
      </c>
      <c r="AX82" s="6">
        <f t="shared" si="5"/>
        <v>924.60670385164792</v>
      </c>
      <c r="AZ82" s="5">
        <v>25.654</v>
      </c>
      <c r="BA82" s="127">
        <v>65</v>
      </c>
      <c r="BB82" s="25">
        <v>16.6751</v>
      </c>
      <c r="BD82" s="5">
        <v>99.567999999999998</v>
      </c>
      <c r="BF82" s="5">
        <v>16.256</v>
      </c>
      <c r="BG82" s="5">
        <v>3.7927280000000003</v>
      </c>
      <c r="BI82" s="5">
        <v>43.959271999999999</v>
      </c>
      <c r="BL82" s="5">
        <v>2.3144480000000001</v>
      </c>
      <c r="BM82" s="5">
        <v>14.782800000000002</v>
      </c>
      <c r="BO82" s="5">
        <v>90.59875199999999</v>
      </c>
      <c r="BP82" s="15">
        <v>341</v>
      </c>
      <c r="BS82" s="6">
        <v>612.27199999999993</v>
      </c>
      <c r="BU82" s="6">
        <v>150.36799999999999</v>
      </c>
      <c r="BV82" s="15">
        <v>431.93970000000002</v>
      </c>
      <c r="BW82" s="15">
        <v>220.00463999999999</v>
      </c>
      <c r="BX82" s="5">
        <v>10.058400000000001</v>
      </c>
      <c r="BY82" s="5">
        <v>41.259251999999996</v>
      </c>
      <c r="BZ82" s="5">
        <v>4.5847000000000007</v>
      </c>
      <c r="CB82" s="15">
        <v>145.08530800000005</v>
      </c>
      <c r="CC82" s="6">
        <v>1003.3000000000001</v>
      </c>
      <c r="CD82" s="127">
        <v>70</v>
      </c>
      <c r="CE82" s="169">
        <v>702.31</v>
      </c>
      <c r="CG82" s="4">
        <v>0.92456000000000005</v>
      </c>
      <c r="CH82" s="5">
        <v>37.988239999999998</v>
      </c>
      <c r="CI82" s="5">
        <v>38.912799999999997</v>
      </c>
      <c r="CJ82" s="26">
        <v>70</v>
      </c>
      <c r="CK82" s="25">
        <v>27.238959999999999</v>
      </c>
      <c r="CM82" s="5">
        <v>18.145759999999999</v>
      </c>
      <c r="CN82" s="5">
        <v>18.145759999999999</v>
      </c>
      <c r="CO82" s="26">
        <v>70</v>
      </c>
      <c r="CP82" s="25">
        <v>12.702031999999999</v>
      </c>
      <c r="CW82" s="5">
        <f t="shared" si="7"/>
        <v>57.05856</v>
      </c>
      <c r="CX82" s="2">
        <f t="shared" si="8"/>
        <v>70</v>
      </c>
      <c r="CY82" s="5">
        <v>39.940992000000001</v>
      </c>
      <c r="DA82" s="5">
        <v>43.190159999999999</v>
      </c>
      <c r="DB82" s="5">
        <v>4.6939200000000003</v>
      </c>
      <c r="DE82" s="5">
        <v>3.9624000000000001</v>
      </c>
      <c r="DF82" s="5">
        <v>1.4732000000000001</v>
      </c>
      <c r="DJ82" s="5">
        <v>7.0612000000000004</v>
      </c>
      <c r="DK82" s="5">
        <v>35.608308605341243</v>
      </c>
      <c r="DL82" s="26">
        <v>70</v>
      </c>
      <c r="DM82" s="25">
        <f t="shared" si="9"/>
        <v>24.925816023738872</v>
      </c>
    </row>
    <row r="83" spans="1:117" x14ac:dyDescent="0.25">
      <c r="A83" s="2">
        <v>1930</v>
      </c>
      <c r="J83" s="4">
        <v>0.15240000000000001</v>
      </c>
      <c r="K83" s="127">
        <v>70</v>
      </c>
      <c r="L83" s="5">
        <v>5.0292000000000003</v>
      </c>
      <c r="M83" s="127">
        <v>65</v>
      </c>
      <c r="N83" s="5">
        <v>1.524</v>
      </c>
      <c r="O83" s="127">
        <v>70</v>
      </c>
      <c r="P83" s="4">
        <v>5.0800000000000005E-2</v>
      </c>
      <c r="Q83" s="127">
        <v>72.5</v>
      </c>
      <c r="T83" s="4">
        <v>0.79883201267828852</v>
      </c>
      <c r="U83" s="127">
        <v>65</v>
      </c>
      <c r="V83" s="15">
        <v>294.13200000000001</v>
      </c>
      <c r="W83" s="127">
        <v>72.5</v>
      </c>
      <c r="X83" s="5">
        <v>43.18</v>
      </c>
      <c r="Y83" s="127">
        <v>72.5</v>
      </c>
      <c r="Z83" s="5">
        <v>6.8580000000000005</v>
      </c>
      <c r="AA83" s="127">
        <v>72.5</v>
      </c>
      <c r="AF83" s="168">
        <v>8.6359999999999992</v>
      </c>
      <c r="AG83" s="127">
        <v>70</v>
      </c>
      <c r="AJ83" s="15">
        <v>144.018</v>
      </c>
      <c r="AK83" s="127">
        <v>72.5</v>
      </c>
      <c r="AL83" s="171">
        <v>188.976</v>
      </c>
      <c r="AM83" s="127">
        <v>70</v>
      </c>
      <c r="AN83" s="5">
        <v>28.193999999999999</v>
      </c>
      <c r="AO83" s="127">
        <v>72.5</v>
      </c>
      <c r="AP83" s="4">
        <v>0.50800000000000001</v>
      </c>
      <c r="AQ83" s="127">
        <v>70</v>
      </c>
      <c r="AT83" s="5">
        <v>50.029707765451661</v>
      </c>
      <c r="AU83" s="127">
        <v>65</v>
      </c>
      <c r="AV83" s="15">
        <f t="shared" ref="AV83:AV121" si="12">B83+D83+F83+H83+J83+L83+N83+P83+R83+T83+V83+X83+Z83+AB83+AD83+AF83+AH83+AJ83+AL83+AN83+AP83+AR83+AT83</f>
        <v>772.08693977813004</v>
      </c>
      <c r="AW83" s="5">
        <f t="shared" si="11"/>
        <v>71.310465504571411</v>
      </c>
      <c r="AX83" s="6">
        <f t="shared" si="5"/>
        <v>550.57879085578452</v>
      </c>
      <c r="BD83" s="5">
        <v>46.736000000000004</v>
      </c>
      <c r="BF83" s="5">
        <v>15.24</v>
      </c>
      <c r="BM83" s="5">
        <v>13.490058139534886</v>
      </c>
      <c r="BO83" s="5">
        <v>98.269941860465124</v>
      </c>
      <c r="BP83" s="15">
        <v>350</v>
      </c>
      <c r="BS83" s="6">
        <v>523.73599999999999</v>
      </c>
      <c r="BU83" s="16">
        <v>83.687920000000005</v>
      </c>
      <c r="BV83" s="15">
        <v>276.52980000000002</v>
      </c>
      <c r="BW83" s="15">
        <v>134.11199999999999</v>
      </c>
      <c r="BX83" s="5">
        <v>5.4102000000000006</v>
      </c>
      <c r="BY83" s="5">
        <v>26.226719200000002</v>
      </c>
      <c r="BZ83" s="5">
        <v>1.9685000000000001</v>
      </c>
      <c r="CB83" s="5">
        <v>84.966860800000063</v>
      </c>
      <c r="CC83" s="15">
        <v>612.90200000000004</v>
      </c>
      <c r="CD83" s="127">
        <v>70</v>
      </c>
      <c r="CE83" s="169">
        <v>429.03140000000002</v>
      </c>
      <c r="CH83" s="4">
        <v>0.66039999999999999</v>
      </c>
      <c r="CI83" s="4">
        <v>0.66039999999999999</v>
      </c>
      <c r="CJ83" s="26">
        <v>70</v>
      </c>
      <c r="CK83" s="38">
        <v>0.46228000000000002</v>
      </c>
      <c r="CN83" s="5">
        <v>11.988800000000001</v>
      </c>
      <c r="CO83" s="26">
        <v>70</v>
      </c>
      <c r="CP83" s="25">
        <v>8.3921600000000005</v>
      </c>
      <c r="CS83" s="4">
        <v>0.60960000000000003</v>
      </c>
      <c r="CT83" s="26">
        <v>70</v>
      </c>
      <c r="CU83" s="38">
        <v>0.42672000000000004</v>
      </c>
      <c r="CV83" s="164" t="s">
        <v>1482</v>
      </c>
      <c r="CW83" s="5">
        <f t="shared" si="7"/>
        <v>13.258800000000001</v>
      </c>
      <c r="CX83" s="2">
        <f t="shared" si="8"/>
        <v>70</v>
      </c>
      <c r="CY83" s="5">
        <v>9.2811600000000016</v>
      </c>
      <c r="DA83" s="5">
        <v>23.439119999999999</v>
      </c>
      <c r="DB83" s="5">
        <v>0.50800000000000001</v>
      </c>
      <c r="DE83" s="4">
        <v>0.40640000000000004</v>
      </c>
      <c r="DG83" s="5">
        <v>1.1683999999999999</v>
      </c>
      <c r="DJ83" s="5">
        <v>5.5372000000000003</v>
      </c>
      <c r="DK83" s="5">
        <v>35.014836795252222</v>
      </c>
      <c r="DL83" s="26">
        <v>70</v>
      </c>
      <c r="DM83" s="25">
        <f t="shared" si="9"/>
        <v>24.510385756676556</v>
      </c>
    </row>
    <row r="84" spans="1:117" x14ac:dyDescent="0.25">
      <c r="A84" s="2">
        <v>1931</v>
      </c>
      <c r="F84" s="5">
        <v>10.972800000000001</v>
      </c>
      <c r="G84" s="127">
        <v>50</v>
      </c>
      <c r="J84" s="4">
        <v>5.0800000000000005E-2</v>
      </c>
      <c r="K84" s="127">
        <v>70</v>
      </c>
      <c r="P84" s="5">
        <v>1.8669</v>
      </c>
      <c r="Q84" s="127">
        <v>72.5</v>
      </c>
      <c r="T84" s="4">
        <v>0.58419999999999994</v>
      </c>
      <c r="U84" s="127">
        <v>65</v>
      </c>
      <c r="V84" s="15">
        <v>307.84800000000001</v>
      </c>
      <c r="W84" s="127">
        <v>72.5</v>
      </c>
      <c r="X84" s="5">
        <v>22.097999999999999</v>
      </c>
      <c r="Y84" s="127">
        <v>72.5</v>
      </c>
      <c r="Z84" s="5">
        <v>33.527999999999999</v>
      </c>
      <c r="AA84" s="127">
        <v>72.5</v>
      </c>
      <c r="AF84" s="168">
        <v>1.6256000000000002</v>
      </c>
      <c r="AG84" s="127">
        <v>70</v>
      </c>
      <c r="AJ84" s="15">
        <v>178.56200000000001</v>
      </c>
      <c r="AK84" s="127">
        <v>72.5</v>
      </c>
      <c r="AL84" s="171">
        <v>139.19200000000001</v>
      </c>
      <c r="AM84" s="127">
        <v>70</v>
      </c>
      <c r="AN84" s="5">
        <v>47.244</v>
      </c>
      <c r="AO84" s="127">
        <v>72.5</v>
      </c>
      <c r="AP84" s="4">
        <v>0.76200000000000001</v>
      </c>
      <c r="AQ84" s="127">
        <v>70</v>
      </c>
      <c r="AT84" s="15">
        <v>261.11200000000002</v>
      </c>
      <c r="AU84" s="127">
        <v>65</v>
      </c>
      <c r="AV84" s="6">
        <f t="shared" si="12"/>
        <v>1005.4463000000001</v>
      </c>
      <c r="AW84" s="5">
        <f t="shared" si="11"/>
        <v>69.950201467746211</v>
      </c>
      <c r="AX84" s="6">
        <f t="shared" si="5"/>
        <v>703.3117125</v>
      </c>
      <c r="AZ84" s="5">
        <v>5.8420000000000005</v>
      </c>
      <c r="BA84" s="127">
        <v>65</v>
      </c>
      <c r="BB84" s="25">
        <v>3.7973000000000003</v>
      </c>
      <c r="BD84" s="15">
        <v>144.27199999999999</v>
      </c>
      <c r="BF84" s="5">
        <v>15.24</v>
      </c>
      <c r="BN84" s="5">
        <v>14.775702865685698</v>
      </c>
      <c r="BO84" s="5">
        <v>96.984297134314303</v>
      </c>
      <c r="BP84" s="15">
        <v>332</v>
      </c>
      <c r="BS84" s="6">
        <v>603.27199999999993</v>
      </c>
      <c r="BU84" s="16">
        <v>43.688000000000002</v>
      </c>
      <c r="BV84" s="15">
        <v>153.3271</v>
      </c>
      <c r="BW84" s="15">
        <v>180.47969999999998</v>
      </c>
      <c r="BX84" s="5">
        <v>6.0311791999999995</v>
      </c>
      <c r="BY84" s="5">
        <v>19.733463199999999</v>
      </c>
      <c r="BZ84" s="5">
        <v>3.8862000000000001</v>
      </c>
      <c r="CB84" s="5">
        <v>78.85795760000002</v>
      </c>
      <c r="CC84" s="15">
        <v>486.00360000000001</v>
      </c>
      <c r="CD84" s="127">
        <v>70</v>
      </c>
      <c r="CE84" s="169">
        <v>340.20251999999999</v>
      </c>
      <c r="CN84" s="5">
        <v>6.4008000000000003</v>
      </c>
      <c r="CO84" s="26">
        <v>70</v>
      </c>
      <c r="CP84" s="25">
        <v>4.4805600000000005</v>
      </c>
      <c r="CW84" s="5">
        <f t="shared" si="7"/>
        <v>6.4008000000000003</v>
      </c>
      <c r="CX84" s="2">
        <f t="shared" si="8"/>
        <v>70</v>
      </c>
      <c r="CY84" s="5">
        <v>4.4805600000000005</v>
      </c>
      <c r="DA84" s="5">
        <v>21.112480000000001</v>
      </c>
      <c r="DE84" s="5">
        <v>11.531599999999999</v>
      </c>
      <c r="DG84" s="5">
        <v>1.1683999999999999</v>
      </c>
      <c r="DJ84" s="4">
        <v>0.20320000000000002</v>
      </c>
      <c r="DK84" s="5">
        <v>27.299703264094955</v>
      </c>
      <c r="DL84" s="26">
        <v>70</v>
      </c>
      <c r="DM84" s="25">
        <f t="shared" si="9"/>
        <v>19.109792284866469</v>
      </c>
    </row>
    <row r="85" spans="1:117" x14ac:dyDescent="0.25">
      <c r="A85" s="2">
        <v>1932</v>
      </c>
      <c r="F85" s="5">
        <v>11.684000000000001</v>
      </c>
      <c r="G85" s="2">
        <v>50</v>
      </c>
      <c r="J85" s="4">
        <v>0.4572</v>
      </c>
      <c r="K85" s="127">
        <v>70</v>
      </c>
      <c r="P85" s="4">
        <v>0.17779999999999999</v>
      </c>
      <c r="Q85" s="127">
        <v>72.5</v>
      </c>
      <c r="R85" s="4">
        <v>0.27940000000000004</v>
      </c>
      <c r="S85" s="127">
        <v>72.5</v>
      </c>
      <c r="V85" s="15">
        <v>351.536</v>
      </c>
      <c r="W85" s="127">
        <v>72.5</v>
      </c>
      <c r="X85" s="5">
        <v>48.768000000000001</v>
      </c>
      <c r="Y85" s="127">
        <v>72.5</v>
      </c>
      <c r="Z85" s="5">
        <v>7.62</v>
      </c>
      <c r="AA85" s="127">
        <v>72.5</v>
      </c>
      <c r="AF85" s="168">
        <v>3.302</v>
      </c>
      <c r="AG85" s="127">
        <v>70</v>
      </c>
      <c r="AJ85" s="15">
        <v>212.34399999999999</v>
      </c>
      <c r="AK85" s="127">
        <v>72.5</v>
      </c>
      <c r="AL85" s="171">
        <v>144.27199999999999</v>
      </c>
      <c r="AM85" s="127">
        <v>70</v>
      </c>
      <c r="AN85" s="5">
        <v>38.608000000000004</v>
      </c>
      <c r="AO85" s="127">
        <v>72.5</v>
      </c>
      <c r="AT85" s="15">
        <v>137.66800000000001</v>
      </c>
      <c r="AU85" s="127">
        <v>65</v>
      </c>
      <c r="AV85" s="15">
        <f t="shared" si="12"/>
        <v>956.71639999999991</v>
      </c>
      <c r="AW85" s="5">
        <f t="shared" si="11"/>
        <v>70.759172728720884</v>
      </c>
      <c r="AX85" s="6">
        <f t="shared" si="5"/>
        <v>676.96461000000011</v>
      </c>
      <c r="AZ85" s="5">
        <v>23.876000000000001</v>
      </c>
      <c r="BA85" s="127">
        <v>65</v>
      </c>
      <c r="BB85" s="25">
        <v>15.519400000000001</v>
      </c>
      <c r="BD85" s="15">
        <v>288.54399999999998</v>
      </c>
      <c r="BF85" s="5">
        <v>15.24</v>
      </c>
      <c r="BL85" s="5">
        <v>1.8288</v>
      </c>
      <c r="BM85" s="5">
        <v>19.7104</v>
      </c>
      <c r="BN85" s="5">
        <v>64.960877534973207</v>
      </c>
      <c r="BO85" s="5">
        <v>29.323922465026797</v>
      </c>
      <c r="BP85" s="15">
        <v>261</v>
      </c>
      <c r="BS85" s="6">
        <v>680.60799999999995</v>
      </c>
      <c r="BU85" s="6">
        <v>124.714</v>
      </c>
      <c r="BV85" s="15">
        <v>219.54490000000001</v>
      </c>
      <c r="BW85" s="15">
        <v>204.63509999999999</v>
      </c>
      <c r="BX85" s="5">
        <v>42.646599999999999</v>
      </c>
      <c r="BY85" s="5">
        <v>23.666703999999999</v>
      </c>
      <c r="BZ85" s="5">
        <v>2.3875999999999999</v>
      </c>
      <c r="CB85" s="15">
        <v>102.03789599999993</v>
      </c>
      <c r="CC85" s="15">
        <v>719.63279999999997</v>
      </c>
      <c r="CD85" s="127">
        <v>70</v>
      </c>
      <c r="CE85" s="169">
        <v>503.74295999999993</v>
      </c>
      <c r="CG85" s="5">
        <v>8.3819999999999997</v>
      </c>
      <c r="CI85" s="5">
        <v>8.3819999999999997</v>
      </c>
      <c r="CJ85" s="26">
        <v>70</v>
      </c>
      <c r="CK85" s="25">
        <f t="shared" ref="CK85:CK103" si="13">CI85*CJ85/100</f>
        <v>5.8673999999999999</v>
      </c>
      <c r="CN85" s="15">
        <v>7.1120000000000001</v>
      </c>
      <c r="CO85" s="26">
        <v>70</v>
      </c>
      <c r="CP85" s="25">
        <v>4.9784000000000006</v>
      </c>
      <c r="CW85" s="5">
        <f t="shared" si="7"/>
        <v>15.494</v>
      </c>
      <c r="CX85" s="2">
        <f t="shared" si="8"/>
        <v>70</v>
      </c>
      <c r="CY85" s="5">
        <v>10.845799999999999</v>
      </c>
      <c r="DA85" s="5">
        <v>11.440160000000001</v>
      </c>
      <c r="DE85" s="5">
        <v>7.1627999999999998</v>
      </c>
      <c r="DG85" s="5">
        <v>2.032</v>
      </c>
      <c r="DJ85" s="5">
        <v>5.7607200000000001</v>
      </c>
      <c r="DK85" s="5">
        <v>24.925816023738872</v>
      </c>
      <c r="DL85" s="26">
        <v>70</v>
      </c>
      <c r="DM85" s="25">
        <f t="shared" si="9"/>
        <v>17.448071216617212</v>
      </c>
    </row>
    <row r="86" spans="1:117" x14ac:dyDescent="0.25">
      <c r="A86" s="2">
        <v>1933</v>
      </c>
      <c r="H86" s="5">
        <v>15.24</v>
      </c>
      <c r="I86" s="127">
        <v>70</v>
      </c>
      <c r="R86" s="5">
        <v>1.524</v>
      </c>
      <c r="S86" s="127">
        <v>72.5</v>
      </c>
      <c r="V86" s="15">
        <v>538.48</v>
      </c>
      <c r="W86" s="127">
        <v>72.5</v>
      </c>
      <c r="X86" s="15">
        <v>156.97200000000001</v>
      </c>
      <c r="Y86" s="127">
        <v>72.5</v>
      </c>
      <c r="Z86" s="5">
        <v>4.5720000000000001</v>
      </c>
      <c r="AA86" s="127">
        <v>72.5</v>
      </c>
      <c r="AF86" s="168">
        <v>39.624000000000002</v>
      </c>
      <c r="AG86" s="127">
        <v>70</v>
      </c>
      <c r="AJ86" s="15">
        <v>265.17599999999999</v>
      </c>
      <c r="AK86" s="127">
        <v>72.5</v>
      </c>
      <c r="AL86" s="171">
        <v>235.458</v>
      </c>
      <c r="AM86" s="127">
        <v>70</v>
      </c>
      <c r="AN86" s="5">
        <v>32.003999999999998</v>
      </c>
      <c r="AO86" s="127">
        <v>72.5</v>
      </c>
      <c r="AT86" s="15">
        <v>198.12</v>
      </c>
      <c r="AU86" s="127">
        <v>65</v>
      </c>
      <c r="AV86" s="6">
        <f t="shared" si="12"/>
        <v>1487.17</v>
      </c>
      <c r="AW86" s="5">
        <f t="shared" si="11"/>
        <v>71.012809564474807</v>
      </c>
      <c r="AX86" s="6">
        <f t="shared" si="5"/>
        <v>1056.0812000000001</v>
      </c>
      <c r="AZ86" s="5">
        <v>9.9060000000000006</v>
      </c>
      <c r="BA86" s="127">
        <v>65</v>
      </c>
      <c r="BB86" s="25">
        <v>6.4389000000000003</v>
      </c>
      <c r="BD86" s="15">
        <v>243.84</v>
      </c>
      <c r="BF86" s="5">
        <v>15.24</v>
      </c>
      <c r="BL86" s="5">
        <v>1.8033999999999999</v>
      </c>
      <c r="BM86" s="5">
        <v>29.2608</v>
      </c>
      <c r="BN86" s="15">
        <v>176.806352</v>
      </c>
      <c r="BO86" s="5">
        <v>57.305447999999984</v>
      </c>
      <c r="BP86" s="15">
        <v>393</v>
      </c>
      <c r="BS86" s="6">
        <v>917.25599999999997</v>
      </c>
      <c r="BU86" s="6">
        <v>138.17599999999999</v>
      </c>
      <c r="BV86" s="15">
        <v>302.76800000000003</v>
      </c>
      <c r="BW86" s="15">
        <v>210.7311</v>
      </c>
      <c r="BX86" s="5">
        <v>73.736200000000011</v>
      </c>
      <c r="BY86" s="5">
        <v>26.706576000000002</v>
      </c>
      <c r="BZ86" s="5">
        <v>2.286</v>
      </c>
      <c r="CB86" s="15">
        <v>114.88572399999998</v>
      </c>
      <c r="CC86" s="15">
        <v>869.28960000000006</v>
      </c>
      <c r="CD86" s="127">
        <v>70</v>
      </c>
      <c r="CE86" s="169">
        <v>608.50272000000007</v>
      </c>
      <c r="CH86" s="5">
        <v>3.0886400000000003</v>
      </c>
      <c r="CI86" s="5">
        <v>3.0886400000000003</v>
      </c>
      <c r="CJ86" s="26">
        <v>70</v>
      </c>
      <c r="CK86" s="25">
        <f t="shared" si="13"/>
        <v>2.162048</v>
      </c>
      <c r="CN86" s="5">
        <v>3.048</v>
      </c>
      <c r="CO86" s="26">
        <v>70</v>
      </c>
      <c r="CP86" s="25">
        <v>2.1335999999999999</v>
      </c>
      <c r="CW86" s="5">
        <f t="shared" si="7"/>
        <v>6.1366399999999999</v>
      </c>
      <c r="CX86" s="2">
        <f t="shared" si="8"/>
        <v>70</v>
      </c>
      <c r="CY86" s="5">
        <v>4.2956479999999999</v>
      </c>
      <c r="DA86" s="5">
        <v>10.06856</v>
      </c>
      <c r="DE86" s="5">
        <v>8.7579199999999986</v>
      </c>
      <c r="DJ86" s="5">
        <v>6.35</v>
      </c>
      <c r="DK86" s="5">
        <v>67.655786350148318</v>
      </c>
      <c r="DL86" s="26">
        <v>70</v>
      </c>
      <c r="DM86" s="25">
        <f t="shared" si="9"/>
        <v>47.359050445103819</v>
      </c>
    </row>
    <row r="87" spans="1:117" x14ac:dyDescent="0.25">
      <c r="A87" s="2">
        <v>1934</v>
      </c>
      <c r="B87" s="168">
        <v>2.54</v>
      </c>
      <c r="C87" s="127">
        <v>70</v>
      </c>
      <c r="F87" s="5">
        <v>7.62</v>
      </c>
      <c r="G87" s="2">
        <v>48</v>
      </c>
      <c r="H87" s="5">
        <v>13.208</v>
      </c>
      <c r="I87" s="127">
        <v>70</v>
      </c>
      <c r="J87" s="5">
        <v>1.9812000000000001</v>
      </c>
      <c r="K87" s="127">
        <v>70</v>
      </c>
      <c r="P87" s="4">
        <v>0.55880000000000007</v>
      </c>
      <c r="Q87" s="127">
        <v>72.5</v>
      </c>
      <c r="R87" s="5">
        <v>1.778</v>
      </c>
      <c r="S87" s="127">
        <v>72.5</v>
      </c>
      <c r="V87" s="15">
        <v>558.79999999999995</v>
      </c>
      <c r="W87" s="127">
        <v>72.5</v>
      </c>
      <c r="X87" s="15">
        <v>173.73599999999999</v>
      </c>
      <c r="Y87" s="127">
        <v>72.5</v>
      </c>
      <c r="Z87" s="5">
        <v>10.922000000000001</v>
      </c>
      <c r="AA87" s="127">
        <v>72.5</v>
      </c>
      <c r="AF87" s="168">
        <v>41.402000000000001</v>
      </c>
      <c r="AG87" s="127">
        <v>70</v>
      </c>
      <c r="AJ87" s="15">
        <v>245.87200000000001</v>
      </c>
      <c r="AK87" s="127">
        <v>72.5</v>
      </c>
      <c r="AL87" s="171">
        <v>185.67400000000001</v>
      </c>
      <c r="AM87" s="127">
        <v>70</v>
      </c>
      <c r="AN87" s="5">
        <v>45.72</v>
      </c>
      <c r="AO87" s="127">
        <v>72.5</v>
      </c>
      <c r="AT87" s="15">
        <v>289.56</v>
      </c>
      <c r="AU87" s="127">
        <v>65</v>
      </c>
      <c r="AV87" s="6">
        <f t="shared" si="12"/>
        <v>1579.3720000000001</v>
      </c>
      <c r="AW87" s="5">
        <f t="shared" si="11"/>
        <v>70.619250562881959</v>
      </c>
      <c r="AX87" s="6">
        <f t="shared" si="5"/>
        <v>1115.34067</v>
      </c>
      <c r="AZ87" s="5">
        <v>22.86</v>
      </c>
      <c r="BA87" s="127">
        <v>65</v>
      </c>
      <c r="BB87" s="25">
        <v>14.858999999999998</v>
      </c>
      <c r="BD87" s="15">
        <v>223.52</v>
      </c>
      <c r="BF87" s="5">
        <v>11.176</v>
      </c>
      <c r="BK87" s="5">
        <v>6.9088000000000003</v>
      </c>
      <c r="BL87" s="5">
        <v>4.3688000000000002</v>
      </c>
      <c r="BM87" s="5">
        <v>50.183288000000005</v>
      </c>
      <c r="BN87" s="15">
        <v>151.55976799999999</v>
      </c>
      <c r="BO87" s="5">
        <v>96.859343999999993</v>
      </c>
      <c r="BP87" s="15">
        <v>343</v>
      </c>
      <c r="BS87" s="6">
        <v>887.57599999999991</v>
      </c>
      <c r="BU87" s="6">
        <v>155.95599999999999</v>
      </c>
      <c r="BV87" s="15">
        <v>414.24860000000001</v>
      </c>
      <c r="BW87" s="15">
        <v>279.90800000000002</v>
      </c>
      <c r="BX87" s="5">
        <v>40.2209</v>
      </c>
      <c r="BY87" s="5">
        <v>20.324064</v>
      </c>
      <c r="BZ87" s="5">
        <v>3.556</v>
      </c>
      <c r="CB87" s="15">
        <v>158.68243599999983</v>
      </c>
      <c r="CC87" s="6">
        <v>1072.896</v>
      </c>
      <c r="CD87" s="127">
        <v>70</v>
      </c>
      <c r="CE87" s="169">
        <v>751.02719999999999</v>
      </c>
      <c r="CG87" s="5">
        <v>1.5748</v>
      </c>
      <c r="CI87" s="5">
        <v>1.5748</v>
      </c>
      <c r="CJ87" s="26">
        <v>70</v>
      </c>
      <c r="CK87" s="25">
        <f t="shared" si="13"/>
        <v>1.10236</v>
      </c>
      <c r="CN87" s="5">
        <v>11.65352</v>
      </c>
      <c r="CO87" s="26">
        <v>70</v>
      </c>
      <c r="CP87" s="25">
        <v>8.1574639999999992</v>
      </c>
      <c r="CW87" s="5">
        <f t="shared" si="7"/>
        <v>13.22832</v>
      </c>
      <c r="CX87" s="2">
        <f t="shared" si="8"/>
        <v>70</v>
      </c>
      <c r="CY87" s="5">
        <v>9.2598240000000001</v>
      </c>
      <c r="DA87" s="5">
        <v>47.0916</v>
      </c>
      <c r="DD87" s="5">
        <v>9.2455999999999996</v>
      </c>
      <c r="DE87" s="5">
        <v>6.8580000000000005</v>
      </c>
      <c r="DJ87" s="5">
        <v>3.9116</v>
      </c>
      <c r="DK87" s="5">
        <v>40.35608308605341</v>
      </c>
      <c r="DL87" s="26">
        <v>70</v>
      </c>
      <c r="DM87" s="25">
        <f t="shared" si="9"/>
        <v>28.249258160237385</v>
      </c>
    </row>
    <row r="88" spans="1:117" x14ac:dyDescent="0.25">
      <c r="A88" s="2">
        <v>1935</v>
      </c>
      <c r="B88" s="168">
        <v>6.0960000000000001</v>
      </c>
      <c r="C88" s="127">
        <v>70</v>
      </c>
      <c r="F88" s="5">
        <v>5.8420000000000005</v>
      </c>
      <c r="G88" s="127">
        <v>50</v>
      </c>
      <c r="H88" s="5">
        <v>3.048</v>
      </c>
      <c r="I88" s="127">
        <v>70</v>
      </c>
      <c r="P88" s="4">
        <v>0.254</v>
      </c>
      <c r="Q88" s="127">
        <v>72.5</v>
      </c>
      <c r="R88" s="5">
        <v>1.27</v>
      </c>
      <c r="S88" s="127">
        <v>72.5</v>
      </c>
      <c r="V88" s="15">
        <v>431.03800000000001</v>
      </c>
      <c r="W88" s="127">
        <v>72.5</v>
      </c>
      <c r="X88" s="15">
        <v>201.67600000000002</v>
      </c>
      <c r="Y88" s="127">
        <v>72.5</v>
      </c>
      <c r="Z88" s="5">
        <v>9.9060000000000006</v>
      </c>
      <c r="AA88" s="127">
        <v>72.5</v>
      </c>
      <c r="AD88" s="4">
        <v>0.96519999999999995</v>
      </c>
      <c r="AE88" s="127">
        <v>70</v>
      </c>
      <c r="AF88" s="2">
        <v>25.4</v>
      </c>
      <c r="AG88" s="127">
        <v>70</v>
      </c>
      <c r="AJ88" s="15">
        <v>261.11200000000002</v>
      </c>
      <c r="AK88" s="127">
        <v>72.5</v>
      </c>
      <c r="AL88" s="171">
        <v>192.27799999999999</v>
      </c>
      <c r="AM88" s="127">
        <v>70</v>
      </c>
      <c r="AN88" s="5">
        <v>18.795999999999999</v>
      </c>
      <c r="AO88" s="127">
        <v>72.5</v>
      </c>
      <c r="AP88" s="5">
        <v>8.1280000000000001</v>
      </c>
      <c r="AQ88" s="127">
        <v>70</v>
      </c>
      <c r="AT88" s="15">
        <v>273.05</v>
      </c>
      <c r="AU88" s="127">
        <v>65</v>
      </c>
      <c r="AV88" s="6">
        <f t="shared" si="12"/>
        <v>1438.8591999999999</v>
      </c>
      <c r="AW88" s="5">
        <f t="shared" si="11"/>
        <v>70.575483688744541</v>
      </c>
      <c r="AX88" s="6">
        <f t="shared" si="5"/>
        <v>1015.48184</v>
      </c>
      <c r="AZ88" s="5">
        <v>20.32</v>
      </c>
      <c r="BA88" s="127">
        <v>65</v>
      </c>
      <c r="BB88" s="25">
        <v>13.208</v>
      </c>
      <c r="BD88" s="15">
        <v>229.61600000000001</v>
      </c>
      <c r="BE88" s="5">
        <v>0.20320000000000002</v>
      </c>
      <c r="BF88" s="5">
        <v>27.228800000000003</v>
      </c>
      <c r="BJ88" s="5">
        <v>5.08</v>
      </c>
      <c r="BK88" s="5">
        <v>72.572880000000012</v>
      </c>
      <c r="BM88" s="5">
        <v>59.100720000000003</v>
      </c>
      <c r="BN88" s="15">
        <v>224.536</v>
      </c>
      <c r="BO88" s="15">
        <v>275.74239999999998</v>
      </c>
      <c r="BP88" s="15">
        <v>412</v>
      </c>
      <c r="BS88" s="6">
        <v>1306.08</v>
      </c>
      <c r="BU88" s="6">
        <v>212.34399999999999</v>
      </c>
      <c r="BV88" s="15">
        <v>555.3075</v>
      </c>
      <c r="BW88" s="15">
        <v>258.59739999999999</v>
      </c>
      <c r="BX88" s="5">
        <v>2.2606000000000002</v>
      </c>
      <c r="BY88" s="5">
        <v>13.589</v>
      </c>
      <c r="BZ88" s="5">
        <v>2.8193999999999999</v>
      </c>
      <c r="CB88" s="15">
        <v>163.10609999999997</v>
      </c>
      <c r="CC88" s="6">
        <v>1208.0240000000001</v>
      </c>
      <c r="CD88" s="127">
        <v>70</v>
      </c>
      <c r="CE88" s="169">
        <v>845.61680000000013</v>
      </c>
      <c r="CH88" s="5">
        <v>17.59712</v>
      </c>
      <c r="CI88" s="5">
        <v>17.59712</v>
      </c>
      <c r="CJ88" s="26">
        <v>70</v>
      </c>
      <c r="CK88" s="25">
        <f t="shared" si="13"/>
        <v>12.317984000000001</v>
      </c>
      <c r="CM88" s="4">
        <v>0.55880000000000007</v>
      </c>
      <c r="CN88" s="15">
        <v>1.016</v>
      </c>
      <c r="CO88" s="26">
        <v>70</v>
      </c>
      <c r="CP88" s="25">
        <v>0.71120000000000005</v>
      </c>
      <c r="CW88" s="5">
        <f t="shared" si="7"/>
        <v>18.613120000000002</v>
      </c>
      <c r="CX88" s="2">
        <f t="shared" si="8"/>
        <v>70</v>
      </c>
      <c r="CY88" s="5">
        <v>13.029184000000003</v>
      </c>
      <c r="DA88" s="5">
        <v>31.089600000000001</v>
      </c>
      <c r="DE88" s="4">
        <v>0.30480000000000002</v>
      </c>
      <c r="DJ88" s="5">
        <v>8.9611200000000011</v>
      </c>
      <c r="DK88" s="5">
        <v>29.673590504451038</v>
      </c>
      <c r="DL88" s="26">
        <v>70</v>
      </c>
      <c r="DM88" s="25">
        <f t="shared" si="9"/>
        <v>20.771513353115729</v>
      </c>
    </row>
    <row r="89" spans="1:117" x14ac:dyDescent="0.25">
      <c r="A89" s="2">
        <v>1936</v>
      </c>
      <c r="B89" s="4">
        <v>0.1905</v>
      </c>
      <c r="C89" s="127">
        <v>70</v>
      </c>
      <c r="F89" s="5">
        <v>3.1131599738930298</v>
      </c>
      <c r="G89" s="127">
        <v>50</v>
      </c>
      <c r="H89" s="5">
        <v>1.3716000000000002</v>
      </c>
      <c r="I89" s="127">
        <v>70</v>
      </c>
      <c r="J89" s="4">
        <v>0.3175</v>
      </c>
      <c r="K89" s="127">
        <v>70</v>
      </c>
      <c r="P89" s="4">
        <v>0.15240000000000001</v>
      </c>
      <c r="Q89" s="127">
        <v>72.5</v>
      </c>
      <c r="R89" s="5">
        <v>16.510000000000002</v>
      </c>
      <c r="S89" s="127">
        <v>72.5</v>
      </c>
      <c r="V89" s="15">
        <v>412.49599999999998</v>
      </c>
      <c r="W89" s="127">
        <v>72.5</v>
      </c>
      <c r="X89" s="15">
        <v>178.816</v>
      </c>
      <c r="Y89" s="127">
        <v>72.5</v>
      </c>
      <c r="Z89" s="5">
        <v>17.271999999999998</v>
      </c>
      <c r="AA89" s="127">
        <v>72.5</v>
      </c>
      <c r="AD89" s="170">
        <v>0.30480000000000002</v>
      </c>
      <c r="AE89" s="127">
        <v>70</v>
      </c>
      <c r="AF89" s="168">
        <v>78.231999999999999</v>
      </c>
      <c r="AG89" s="127">
        <v>70</v>
      </c>
      <c r="AJ89" s="15">
        <v>270.25600000000003</v>
      </c>
      <c r="AK89" s="127">
        <v>72.5</v>
      </c>
      <c r="AL89" s="171">
        <v>262.12799999999999</v>
      </c>
      <c r="AM89" s="127">
        <v>70</v>
      </c>
      <c r="AN89" s="5">
        <v>17.271999999999998</v>
      </c>
      <c r="AO89" s="127">
        <v>72.5</v>
      </c>
      <c r="AR89" s="4">
        <v>1.7780000000000001E-2</v>
      </c>
      <c r="AS89" s="127">
        <v>70</v>
      </c>
      <c r="AT89" s="15">
        <v>226.56800000000001</v>
      </c>
      <c r="AU89" s="127">
        <v>65</v>
      </c>
      <c r="AV89" s="6">
        <f t="shared" si="12"/>
        <v>1485.0177399738927</v>
      </c>
      <c r="AW89" s="5">
        <f t="shared" si="11"/>
        <v>70.731865196803142</v>
      </c>
      <c r="AX89" s="6">
        <f t="shared" si="5"/>
        <v>1050.3807459869465</v>
      </c>
      <c r="AZ89" s="5">
        <v>86.867999999999995</v>
      </c>
      <c r="BA89" s="127">
        <v>65</v>
      </c>
      <c r="BB89" s="25">
        <v>56.464199999999998</v>
      </c>
      <c r="BD89" s="15">
        <v>166.624</v>
      </c>
      <c r="BF89" s="5">
        <v>37.591999999999999</v>
      </c>
      <c r="BG89" s="5">
        <v>4.5516800000000002</v>
      </c>
      <c r="BI89" s="5">
        <v>43.200320000000005</v>
      </c>
      <c r="BK89" s="5">
        <v>22.0472</v>
      </c>
      <c r="BM89" s="5">
        <v>45.882559999999998</v>
      </c>
      <c r="BN89" s="15">
        <v>207.24142142300883</v>
      </c>
      <c r="BO89" s="5">
        <v>52.996818576991188</v>
      </c>
      <c r="BP89" s="15">
        <v>428</v>
      </c>
      <c r="BS89" s="6">
        <v>1008.136</v>
      </c>
      <c r="BU89" s="6">
        <v>182.88</v>
      </c>
      <c r="BV89" s="15">
        <v>414.14699999999999</v>
      </c>
      <c r="BW89" s="15">
        <v>275.10739999999998</v>
      </c>
      <c r="BX89" s="5">
        <v>64.795400000000001</v>
      </c>
      <c r="BY89" s="5">
        <v>12.928599999999999</v>
      </c>
      <c r="BZ89" s="5">
        <v>4.0385999999999997</v>
      </c>
      <c r="CB89" s="15">
        <v>171.72940000000017</v>
      </c>
      <c r="CC89" s="6">
        <v>1125.6264000000001</v>
      </c>
      <c r="CD89" s="127">
        <v>70</v>
      </c>
      <c r="CE89" s="169">
        <v>787.93848000000014</v>
      </c>
      <c r="CH89" s="5">
        <v>22.1996</v>
      </c>
      <c r="CI89" s="5">
        <v>22.1996</v>
      </c>
      <c r="CJ89" s="26">
        <v>70</v>
      </c>
      <c r="CK89" s="25">
        <f t="shared" si="13"/>
        <v>15.539719999999999</v>
      </c>
      <c r="CM89" s="5">
        <v>4.6735999999999995</v>
      </c>
      <c r="CN89" s="15">
        <v>5.08</v>
      </c>
      <c r="CO89" s="26">
        <v>70</v>
      </c>
      <c r="CP89" s="25">
        <v>3.556</v>
      </c>
      <c r="CW89" s="5">
        <f t="shared" si="7"/>
        <v>27.279600000000002</v>
      </c>
      <c r="CX89" s="2">
        <f t="shared" si="8"/>
        <v>70</v>
      </c>
      <c r="CY89" s="5">
        <v>19.09572</v>
      </c>
      <c r="DA89" s="5">
        <v>22.514559999999999</v>
      </c>
      <c r="DB89" s="5">
        <v>2.45872</v>
      </c>
      <c r="DE89" s="4">
        <v>0.62992000000000004</v>
      </c>
      <c r="DI89" s="5">
        <v>2.8447999999999998</v>
      </c>
      <c r="DK89" s="5">
        <v>46.884272997032639</v>
      </c>
      <c r="DL89" s="26">
        <v>70</v>
      </c>
      <c r="DM89" s="25">
        <f t="shared" si="9"/>
        <v>32.818991097922847</v>
      </c>
    </row>
    <row r="90" spans="1:117" x14ac:dyDescent="0.25">
      <c r="A90" s="2">
        <v>1937</v>
      </c>
      <c r="B90" s="4">
        <v>0.53339999999999999</v>
      </c>
      <c r="C90" s="127">
        <v>70</v>
      </c>
      <c r="H90" s="5">
        <v>9.1440000000000001</v>
      </c>
      <c r="I90" s="127">
        <v>70</v>
      </c>
      <c r="J90" s="4">
        <v>0.21590000000000001</v>
      </c>
      <c r="K90" s="127">
        <v>70</v>
      </c>
      <c r="P90" s="164">
        <v>1.2700000000000002</v>
      </c>
      <c r="Q90" s="127">
        <v>72.5</v>
      </c>
      <c r="R90" s="5">
        <v>19.7104</v>
      </c>
      <c r="S90" s="127">
        <v>72.5</v>
      </c>
      <c r="T90" s="4">
        <v>0.55103421063336455</v>
      </c>
      <c r="U90" s="127">
        <v>65</v>
      </c>
      <c r="V90" s="15">
        <v>583.18399999999997</v>
      </c>
      <c r="W90" s="127">
        <v>72.5</v>
      </c>
      <c r="X90" s="15">
        <v>134.11199999999999</v>
      </c>
      <c r="Y90" s="127">
        <v>72.5</v>
      </c>
      <c r="Z90" s="5">
        <v>17.78</v>
      </c>
      <c r="AA90" s="127">
        <v>72.5</v>
      </c>
      <c r="AD90" s="4">
        <v>0.30480000000000002</v>
      </c>
      <c r="AE90" s="127">
        <v>70</v>
      </c>
      <c r="AF90" s="168">
        <v>68.58</v>
      </c>
      <c r="AG90" s="127">
        <v>70</v>
      </c>
      <c r="AH90" s="4">
        <v>0.56378928571428577</v>
      </c>
      <c r="AI90" s="127">
        <v>70</v>
      </c>
      <c r="AJ90" s="15">
        <v>246.88800000000001</v>
      </c>
      <c r="AK90" s="127">
        <v>72.5</v>
      </c>
      <c r="AL90" s="171">
        <v>242.82400000000001</v>
      </c>
      <c r="AM90" s="127">
        <v>70</v>
      </c>
      <c r="AN90" s="2">
        <v>25.4</v>
      </c>
      <c r="AO90" s="127">
        <v>72.5</v>
      </c>
      <c r="AR90" s="4">
        <v>5.0800000000000005E-2</v>
      </c>
      <c r="AS90" s="127">
        <v>70</v>
      </c>
      <c r="AT90" s="15">
        <v>155.702</v>
      </c>
      <c r="AU90" s="127">
        <v>65</v>
      </c>
      <c r="AV90" s="6">
        <f t="shared" si="12"/>
        <v>1506.8141234963477</v>
      </c>
      <c r="AW90" s="5">
        <f t="shared" si="11"/>
        <v>71.18766860559704</v>
      </c>
      <c r="AX90" s="6">
        <f t="shared" si="5"/>
        <v>1072.6658447369118</v>
      </c>
      <c r="AZ90" s="15">
        <v>220.98</v>
      </c>
      <c r="BA90" s="127">
        <v>65</v>
      </c>
      <c r="BB90" s="169">
        <v>143.637</v>
      </c>
      <c r="BD90" s="15">
        <v>107.696</v>
      </c>
      <c r="BF90" s="5">
        <v>34.543999999999997</v>
      </c>
      <c r="BG90" s="5">
        <v>23.368000000000002</v>
      </c>
      <c r="BI90" s="5">
        <v>21.335999999999999</v>
      </c>
      <c r="BJ90" s="5">
        <v>1.016</v>
      </c>
      <c r="BK90" s="5">
        <v>31.699200000000001</v>
      </c>
      <c r="BM90" s="5">
        <v>18.084800000000001</v>
      </c>
      <c r="BN90" s="15">
        <v>164.2364</v>
      </c>
      <c r="BO90" s="15">
        <v>139.54759999999999</v>
      </c>
      <c r="BP90" s="15">
        <v>539</v>
      </c>
      <c r="BS90" s="6">
        <v>1080.528</v>
      </c>
      <c r="BU90" s="6">
        <v>172.72</v>
      </c>
      <c r="BV90" s="15">
        <v>379.59030000000001</v>
      </c>
      <c r="BW90" s="15">
        <v>288.62527999999998</v>
      </c>
      <c r="BX90" s="5">
        <v>45.250100000000003</v>
      </c>
      <c r="BY90" s="5">
        <v>52.476399999999998</v>
      </c>
      <c r="CB90" s="15">
        <v>250.56592000000012</v>
      </c>
      <c r="CC90" s="6">
        <v>1189.2280000000001</v>
      </c>
      <c r="CD90" s="127">
        <v>70</v>
      </c>
      <c r="CE90" s="169">
        <v>832.45960000000002</v>
      </c>
      <c r="CG90" s="5">
        <v>27.523440000000001</v>
      </c>
      <c r="CH90" s="5">
        <v>17.861279999999997</v>
      </c>
      <c r="CI90" s="5">
        <v>52.100480000000005</v>
      </c>
      <c r="CJ90" s="26">
        <v>70</v>
      </c>
      <c r="CK90" s="25">
        <f t="shared" si="13"/>
        <v>36.470336000000003</v>
      </c>
      <c r="CM90" s="5">
        <v>2.7432000000000003</v>
      </c>
      <c r="CN90" s="15">
        <v>3.048</v>
      </c>
      <c r="CO90" s="26">
        <v>70</v>
      </c>
      <c r="CP90" s="25">
        <v>2.1335999999999999</v>
      </c>
      <c r="CW90" s="5">
        <f t="shared" si="7"/>
        <v>55.148480000000006</v>
      </c>
      <c r="CX90" s="2">
        <f t="shared" si="8"/>
        <v>70</v>
      </c>
      <c r="CY90" s="5">
        <v>38.603936000000004</v>
      </c>
      <c r="DA90" s="5">
        <v>22.809200000000001</v>
      </c>
      <c r="DB90" s="5">
        <v>1.524</v>
      </c>
      <c r="DI90" s="5">
        <v>18.795999999999999</v>
      </c>
      <c r="DJ90" s="5">
        <v>3.7592000000000003</v>
      </c>
      <c r="DK90" s="5">
        <v>18.397626112759642</v>
      </c>
      <c r="DL90" s="26">
        <v>70</v>
      </c>
      <c r="DM90" s="25">
        <f t="shared" si="9"/>
        <v>12.878338278931748</v>
      </c>
    </row>
    <row r="91" spans="1:117" x14ac:dyDescent="0.25">
      <c r="A91" s="2">
        <v>1938</v>
      </c>
      <c r="B91" s="168">
        <v>16.256</v>
      </c>
      <c r="C91" s="127">
        <v>70</v>
      </c>
      <c r="L91" s="4">
        <v>0.13862521588946461</v>
      </c>
      <c r="M91" s="127">
        <v>65</v>
      </c>
      <c r="P91" s="5">
        <v>2.286</v>
      </c>
      <c r="Q91" s="127">
        <v>72.5</v>
      </c>
      <c r="R91" s="5">
        <v>48.768000000000001</v>
      </c>
      <c r="S91" s="127">
        <v>72.5</v>
      </c>
      <c r="T91" s="5">
        <v>1.016</v>
      </c>
      <c r="U91" s="127">
        <v>65</v>
      </c>
      <c r="V91" s="15">
        <v>624.84</v>
      </c>
      <c r="W91" s="127">
        <v>72.5</v>
      </c>
      <c r="X91" s="15">
        <v>132.08000000000001</v>
      </c>
      <c r="Y91" s="127">
        <v>72.5</v>
      </c>
      <c r="Z91" s="5">
        <v>4.7625000000000002</v>
      </c>
      <c r="AA91" s="127">
        <v>72.5</v>
      </c>
      <c r="AF91" s="168">
        <v>65.328800000000001</v>
      </c>
      <c r="AG91" s="127">
        <v>70</v>
      </c>
      <c r="AJ91" s="15">
        <v>246.38</v>
      </c>
      <c r="AK91" s="127">
        <v>72.5</v>
      </c>
      <c r="AL91" s="171">
        <v>244.85599999999999</v>
      </c>
      <c r="AM91" s="127">
        <v>70</v>
      </c>
      <c r="AN91" s="15">
        <v>102.108</v>
      </c>
      <c r="AO91" s="127">
        <v>72.5</v>
      </c>
      <c r="AT91" s="15">
        <v>208.68640000000002</v>
      </c>
      <c r="AU91" s="127">
        <v>65</v>
      </c>
      <c r="AV91" s="6">
        <f t="shared" si="12"/>
        <v>1697.5063252158895</v>
      </c>
      <c r="AW91" s="5">
        <f t="shared" si="11"/>
        <v>71.092105576504864</v>
      </c>
      <c r="AX91" s="6">
        <f t="shared" ref="AX91:AX121" si="14">AV91*AW91/100</f>
        <v>1206.7929888903282</v>
      </c>
      <c r="AZ91" s="15">
        <v>171.958</v>
      </c>
      <c r="BA91" s="127">
        <v>65</v>
      </c>
      <c r="BB91" s="169">
        <v>111.7727</v>
      </c>
      <c r="BD91" s="15">
        <v>103.63200000000001</v>
      </c>
      <c r="BF91" s="5">
        <v>16.256</v>
      </c>
      <c r="BG91" s="5">
        <v>52.019200000000005</v>
      </c>
      <c r="BI91" s="5">
        <v>17.068799999999989</v>
      </c>
      <c r="BJ91" s="5">
        <v>1.016</v>
      </c>
      <c r="BK91" s="5">
        <v>33.853120000000004</v>
      </c>
      <c r="BM91" s="5">
        <v>21.437600000000003</v>
      </c>
      <c r="BN91" s="15">
        <v>182.6371703386198</v>
      </c>
      <c r="BP91" s="15">
        <v>767</v>
      </c>
      <c r="BS91" s="6">
        <v>1194.9198903386198</v>
      </c>
      <c r="BU91" s="6">
        <v>120.904</v>
      </c>
      <c r="BV91" s="15">
        <v>329.13319999999999</v>
      </c>
      <c r="BW91" s="15">
        <v>281.57423999999997</v>
      </c>
      <c r="BX91" s="5">
        <v>27.889199999999999</v>
      </c>
      <c r="BY91" s="5">
        <v>51.574700000000007</v>
      </c>
      <c r="BZ91" s="5">
        <v>3.8862000000000001</v>
      </c>
      <c r="CB91" s="15">
        <v>206.11846000000014</v>
      </c>
      <c r="CC91" s="6">
        <v>1021.08</v>
      </c>
      <c r="CD91" s="127">
        <v>70</v>
      </c>
      <c r="CE91" s="169">
        <v>714.75600000000009</v>
      </c>
      <c r="CG91" s="5">
        <v>41.910000000000004</v>
      </c>
      <c r="CH91" s="5">
        <v>10.820400000000001</v>
      </c>
      <c r="CI91" s="5">
        <v>52.730399999999996</v>
      </c>
      <c r="CJ91" s="26">
        <v>70</v>
      </c>
      <c r="CK91" s="25">
        <f t="shared" si="13"/>
        <v>36.911279999999998</v>
      </c>
      <c r="CM91" s="4">
        <v>0.60960000000000003</v>
      </c>
      <c r="CN91" s="15">
        <v>1.016</v>
      </c>
      <c r="CO91" s="26">
        <v>70</v>
      </c>
      <c r="CP91" s="38">
        <v>0.71120000000000005</v>
      </c>
      <c r="CW91" s="5">
        <f t="shared" si="7"/>
        <v>53.746399999999994</v>
      </c>
      <c r="CX91" s="2">
        <f t="shared" si="8"/>
        <v>70</v>
      </c>
      <c r="CY91" s="5">
        <v>37.622479999999996</v>
      </c>
      <c r="DA91" s="5">
        <v>12.7</v>
      </c>
      <c r="DI91" s="5">
        <v>5.7911999999999999</v>
      </c>
      <c r="DJ91" s="5">
        <v>3.7795200000000002</v>
      </c>
      <c r="DK91" s="5">
        <v>26.706231454005934</v>
      </c>
      <c r="DL91" s="26">
        <v>70</v>
      </c>
      <c r="DM91" s="25">
        <f t="shared" si="9"/>
        <v>18.694362017804153</v>
      </c>
    </row>
    <row r="92" spans="1:117" x14ac:dyDescent="0.25">
      <c r="A92" s="2">
        <v>1939</v>
      </c>
      <c r="B92" s="15">
        <v>148.33600000000001</v>
      </c>
      <c r="C92" s="127">
        <v>70</v>
      </c>
      <c r="H92" s="5">
        <v>1.1176000000000001</v>
      </c>
      <c r="I92" s="127">
        <v>70</v>
      </c>
      <c r="J92" s="4">
        <v>0.30480000000000002</v>
      </c>
      <c r="K92" s="127">
        <v>70</v>
      </c>
      <c r="P92" s="4">
        <v>0.30480000000000002</v>
      </c>
      <c r="Q92" s="127">
        <v>72.5</v>
      </c>
      <c r="R92" s="5">
        <v>86.512400000000014</v>
      </c>
      <c r="S92" s="127">
        <v>72.5</v>
      </c>
      <c r="V92" s="15">
        <v>652.27200000000005</v>
      </c>
      <c r="W92" s="127">
        <v>72.5</v>
      </c>
      <c r="X92" s="15">
        <v>152.8064</v>
      </c>
      <c r="Y92" s="127">
        <v>72.5</v>
      </c>
      <c r="Z92" s="5">
        <v>3.4544000000000001</v>
      </c>
      <c r="AA92" s="127">
        <v>72.5</v>
      </c>
      <c r="AD92" s="4">
        <v>0.13970000000000002</v>
      </c>
      <c r="AE92" s="127">
        <v>70</v>
      </c>
      <c r="AF92" s="168">
        <v>53.454299999999996</v>
      </c>
      <c r="AG92" s="127">
        <v>70</v>
      </c>
      <c r="AJ92" s="15">
        <v>307.84800000000001</v>
      </c>
      <c r="AK92" s="127">
        <v>72.5</v>
      </c>
      <c r="AL92" s="171">
        <v>300.53280000000001</v>
      </c>
      <c r="AM92" s="127">
        <v>70</v>
      </c>
      <c r="AN92" s="5">
        <v>50.292000000000002</v>
      </c>
      <c r="AO92" s="127">
        <v>72.5</v>
      </c>
      <c r="AT92" s="15">
        <v>183.7182</v>
      </c>
      <c r="AU92" s="127">
        <v>65</v>
      </c>
      <c r="AV92" s="6">
        <f t="shared" si="12"/>
        <v>1941.0934</v>
      </c>
      <c r="AW92" s="5">
        <f t="shared" si="11"/>
        <v>71.141178471885993</v>
      </c>
      <c r="AX92" s="6">
        <f t="shared" si="14"/>
        <v>1380.9167199999999</v>
      </c>
      <c r="AZ92" s="15">
        <v>250.952</v>
      </c>
      <c r="BA92" s="127">
        <v>65</v>
      </c>
      <c r="BB92" s="169">
        <v>163.11879999999999</v>
      </c>
      <c r="BD92" s="15">
        <v>115.824</v>
      </c>
      <c r="BF92" s="5">
        <v>7.1120000000000001</v>
      </c>
      <c r="BG92" s="5">
        <v>3.39344</v>
      </c>
      <c r="BI92" s="5">
        <v>59.598560000000006</v>
      </c>
      <c r="BJ92" s="5">
        <v>2.032</v>
      </c>
      <c r="BK92" s="5">
        <v>24.688800000000001</v>
      </c>
      <c r="BM92" s="5">
        <v>35.255200000000002</v>
      </c>
      <c r="BN92" s="15">
        <v>238.82546829933926</v>
      </c>
      <c r="BO92" s="5">
        <v>28.382531700660707</v>
      </c>
      <c r="BP92" s="15">
        <v>717</v>
      </c>
      <c r="BS92" s="6">
        <v>1232.1120000000001</v>
      </c>
      <c r="BU92" s="6">
        <v>127.15240000000001</v>
      </c>
      <c r="BV92" s="15">
        <v>345.87180000000001</v>
      </c>
      <c r="BW92" s="15">
        <v>416.81400000000002</v>
      </c>
      <c r="BX92" s="5">
        <v>33.896299999999997</v>
      </c>
      <c r="BY92" s="5">
        <v>57.086500000000001</v>
      </c>
      <c r="BZ92" s="5">
        <v>7.1120000000000001</v>
      </c>
      <c r="CB92" s="15">
        <v>270.38300000000004</v>
      </c>
      <c r="CC92" s="6">
        <v>1258.316</v>
      </c>
      <c r="CD92" s="127">
        <v>70</v>
      </c>
      <c r="CE92" s="169">
        <v>880.82119999999998</v>
      </c>
      <c r="CG92" s="5">
        <v>10.95248</v>
      </c>
      <c r="CI92" s="5">
        <v>10.95248</v>
      </c>
      <c r="CJ92" s="26">
        <v>70</v>
      </c>
      <c r="CK92" s="25">
        <f t="shared" si="13"/>
        <v>7.6667359999999993</v>
      </c>
      <c r="CW92" s="5">
        <f t="shared" si="7"/>
        <v>10.95248</v>
      </c>
      <c r="CX92" s="2">
        <f t="shared" si="8"/>
        <v>70</v>
      </c>
      <c r="CY92" s="5">
        <v>7.6667359999999993</v>
      </c>
      <c r="DA92" s="5">
        <v>21.93544</v>
      </c>
      <c r="DB92" s="4">
        <v>0.17272000000000001</v>
      </c>
      <c r="DD92" s="4">
        <v>0.23368000000000003</v>
      </c>
      <c r="DI92" s="5">
        <v>4.3383199999999995</v>
      </c>
      <c r="DJ92" s="4">
        <v>0.38608000000000003</v>
      </c>
      <c r="DK92" s="5">
        <v>26.706231454005934</v>
      </c>
      <c r="DL92" s="26">
        <v>70</v>
      </c>
      <c r="DM92" s="25">
        <f t="shared" si="9"/>
        <v>18.694362017804153</v>
      </c>
    </row>
    <row r="93" spans="1:117" x14ac:dyDescent="0.25">
      <c r="A93" s="2">
        <v>1940</v>
      </c>
      <c r="B93" s="15">
        <v>334.96503999999999</v>
      </c>
      <c r="C93" s="127">
        <v>70</v>
      </c>
      <c r="H93" s="5">
        <v>4.9530000000000003</v>
      </c>
      <c r="I93" s="127">
        <v>70</v>
      </c>
      <c r="P93" s="4">
        <v>5.0800000000000005E-2</v>
      </c>
      <c r="Q93" s="127">
        <v>72.5</v>
      </c>
      <c r="R93" s="5">
        <v>81.97643812311351</v>
      </c>
      <c r="S93" s="127">
        <v>72.5</v>
      </c>
      <c r="T93" s="4">
        <v>0.29844999999999999</v>
      </c>
      <c r="U93" s="127">
        <v>65</v>
      </c>
      <c r="V93" s="15">
        <v>485.67847999999998</v>
      </c>
      <c r="W93" s="127">
        <v>72.5</v>
      </c>
      <c r="X93" s="5">
        <v>88.727279999999993</v>
      </c>
      <c r="Y93" s="127">
        <v>72.5</v>
      </c>
      <c r="Z93" s="5">
        <v>6.2484000000000002</v>
      </c>
      <c r="AA93" s="127">
        <v>72.5</v>
      </c>
      <c r="AF93" s="168">
        <v>58.196479999999994</v>
      </c>
      <c r="AG93" s="127">
        <v>70</v>
      </c>
      <c r="AJ93" s="15">
        <v>293.72486678496301</v>
      </c>
      <c r="AK93" s="127">
        <v>72.5</v>
      </c>
      <c r="AL93" s="171">
        <v>202.50404</v>
      </c>
      <c r="AM93" s="127">
        <v>70</v>
      </c>
      <c r="AN93" s="15">
        <v>123.70815999999999</v>
      </c>
      <c r="AO93" s="127">
        <v>72.5</v>
      </c>
      <c r="AT93" s="15">
        <v>123.19</v>
      </c>
      <c r="AU93" s="127">
        <v>65</v>
      </c>
      <c r="AV93" s="6">
        <f t="shared" si="12"/>
        <v>1804.2214349080764</v>
      </c>
      <c r="AW93" s="5">
        <f t="shared" si="11"/>
        <v>71.154428038582921</v>
      </c>
      <c r="AX93" s="6">
        <f t="shared" si="14"/>
        <v>1283.7834425583555</v>
      </c>
      <c r="AZ93" s="15">
        <v>160.52799999999999</v>
      </c>
      <c r="BA93" s="127">
        <v>65</v>
      </c>
      <c r="BB93" s="169">
        <v>104.3432</v>
      </c>
      <c r="BD93" s="15">
        <v>107.696</v>
      </c>
      <c r="BF93" s="5">
        <v>6.0960000000000001</v>
      </c>
      <c r="BG93" s="5">
        <v>70.7136</v>
      </c>
      <c r="BI93" s="5">
        <v>5.4864000000000033</v>
      </c>
      <c r="BK93" s="5">
        <v>24.61768</v>
      </c>
      <c r="BM93" s="5">
        <v>34.036000000000001</v>
      </c>
      <c r="BN93" s="15">
        <v>323.08800000000002</v>
      </c>
      <c r="BO93" s="5">
        <v>17.54631999999998</v>
      </c>
      <c r="BP93" s="15">
        <v>693</v>
      </c>
      <c r="BS93" s="6">
        <v>1282.28</v>
      </c>
      <c r="BU93" s="6">
        <v>167.74160000000001</v>
      </c>
      <c r="BV93" s="15">
        <v>293.49700000000001</v>
      </c>
      <c r="BW93" s="15">
        <v>472.59849600000001</v>
      </c>
      <c r="BX93" s="5">
        <v>40.3352</v>
      </c>
      <c r="BY93" s="5">
        <v>58.343799999999995</v>
      </c>
      <c r="BZ93" s="5">
        <v>4.0767000000000007</v>
      </c>
      <c r="CB93" s="15">
        <v>255.75920399999995</v>
      </c>
      <c r="CC93" s="6">
        <v>1292.3520000000001</v>
      </c>
      <c r="CD93" s="127">
        <v>70</v>
      </c>
      <c r="CE93" s="169">
        <v>904.64639999999997</v>
      </c>
      <c r="CG93" s="5">
        <v>33.426400000000001</v>
      </c>
      <c r="CH93" s="4">
        <v>0.66039999999999999</v>
      </c>
      <c r="CI93" s="5">
        <v>34.086799999999997</v>
      </c>
      <c r="CJ93" s="26">
        <v>70</v>
      </c>
      <c r="CK93" s="25">
        <f t="shared" si="13"/>
        <v>23.860759999999996</v>
      </c>
      <c r="CM93" s="5">
        <v>2.9972000000000003</v>
      </c>
      <c r="CN93" s="5">
        <v>2.9972000000000003</v>
      </c>
      <c r="CO93" s="26">
        <v>70</v>
      </c>
      <c r="CP93" s="25">
        <v>2.0980400000000001</v>
      </c>
      <c r="CW93" s="5">
        <f t="shared" si="7"/>
        <v>37.083999999999996</v>
      </c>
      <c r="CX93" s="2">
        <f t="shared" si="8"/>
        <v>70</v>
      </c>
      <c r="CY93" s="5">
        <v>25.958799999999997</v>
      </c>
      <c r="DA93" s="5">
        <v>11.094720000000001</v>
      </c>
      <c r="DB93" s="4">
        <v>0.10160000000000001</v>
      </c>
      <c r="DE93" s="4">
        <v>0.20320000000000002</v>
      </c>
      <c r="DF93" s="4">
        <v>0.10160000000000001</v>
      </c>
      <c r="DH93" s="5">
        <v>1.5544800000000001</v>
      </c>
      <c r="DI93" s="5">
        <v>1.5748</v>
      </c>
      <c r="DJ93" s="5">
        <v>12.66952</v>
      </c>
      <c r="DK93" s="5">
        <v>28.486646884272997</v>
      </c>
      <c r="DL93" s="26">
        <v>70</v>
      </c>
      <c r="DM93" s="25">
        <f t="shared" si="9"/>
        <v>19.940652818991097</v>
      </c>
    </row>
    <row r="94" spans="1:117" x14ac:dyDescent="0.25">
      <c r="A94" s="2">
        <v>1941</v>
      </c>
      <c r="B94" s="15">
        <v>688.78704000000005</v>
      </c>
      <c r="C94" s="127">
        <v>70</v>
      </c>
      <c r="H94" s="5">
        <v>4.9530000000000003</v>
      </c>
      <c r="I94" s="127">
        <v>70</v>
      </c>
      <c r="L94" s="4">
        <v>0.21227142857142858</v>
      </c>
      <c r="M94" s="127">
        <v>65</v>
      </c>
      <c r="P94" s="4">
        <v>5.0800000000000005E-2</v>
      </c>
      <c r="Q94" s="127">
        <v>72.5</v>
      </c>
      <c r="R94" s="5">
        <v>64.820800000000006</v>
      </c>
      <c r="S94" s="127">
        <v>72.5</v>
      </c>
      <c r="T94" s="4">
        <v>0.29844999999999999</v>
      </c>
      <c r="U94" s="127">
        <v>65</v>
      </c>
      <c r="V94" s="15">
        <v>490.50448</v>
      </c>
      <c r="W94" s="127">
        <v>72.5</v>
      </c>
      <c r="X94" s="5">
        <v>74.096880000000013</v>
      </c>
      <c r="Y94" s="127">
        <v>72.5</v>
      </c>
      <c r="Z94" s="5">
        <v>3.048</v>
      </c>
      <c r="AA94" s="127">
        <v>72.5</v>
      </c>
      <c r="AF94" s="168">
        <v>52.811679999999996</v>
      </c>
      <c r="AG94" s="127">
        <v>70</v>
      </c>
      <c r="AJ94" s="15">
        <v>294.60952000000003</v>
      </c>
      <c r="AK94" s="127">
        <v>72.5</v>
      </c>
      <c r="AL94" s="171">
        <v>169.48403999999999</v>
      </c>
      <c r="AM94" s="127">
        <v>70</v>
      </c>
      <c r="AN94" s="5">
        <v>97.444559999999996</v>
      </c>
      <c r="AO94" s="127">
        <v>72.5</v>
      </c>
      <c r="AT94" s="15">
        <v>107.696</v>
      </c>
      <c r="AU94" s="127">
        <v>65</v>
      </c>
      <c r="AV94" s="6">
        <f t="shared" si="12"/>
        <v>2048.8175214285716</v>
      </c>
      <c r="AW94" s="5">
        <f t="shared" si="11"/>
        <v>70.986131742688514</v>
      </c>
      <c r="AX94" s="6">
        <f t="shared" si="14"/>
        <v>1454.3763049285712</v>
      </c>
      <c r="AZ94" s="5">
        <v>91.44</v>
      </c>
      <c r="BA94" s="127">
        <v>65</v>
      </c>
      <c r="BB94" s="25">
        <v>59.435999999999993</v>
      </c>
      <c r="BD94" s="5">
        <v>79.248000000000005</v>
      </c>
      <c r="BF94" s="5">
        <v>4.0640000000000001</v>
      </c>
      <c r="BG94" s="5">
        <v>123.56592000000001</v>
      </c>
      <c r="BI94" s="5">
        <v>7.4980799999999874</v>
      </c>
      <c r="BK94" s="5">
        <v>26.527760000000001</v>
      </c>
      <c r="BM94" s="5">
        <v>45.059600000000003</v>
      </c>
      <c r="BN94" s="15">
        <v>256.84480000000002</v>
      </c>
      <c r="BO94" s="5">
        <v>22.087839999999971</v>
      </c>
      <c r="BP94" s="15">
        <v>661</v>
      </c>
      <c r="BS94" s="6">
        <v>1225.896</v>
      </c>
      <c r="BU94" s="6">
        <v>178.18100000000001</v>
      </c>
      <c r="BV94" s="15">
        <v>202.80630000000002</v>
      </c>
      <c r="BW94" s="15">
        <v>413.19399200000004</v>
      </c>
      <c r="BX94" s="5">
        <v>23.456899999999997</v>
      </c>
      <c r="BY94" s="5">
        <v>37.553899999999999</v>
      </c>
      <c r="BZ94" s="5">
        <v>4.5212000000000003</v>
      </c>
      <c r="CB94" s="15">
        <v>242.6467080000001</v>
      </c>
      <c r="CC94" s="6">
        <v>1102.3600000000001</v>
      </c>
      <c r="CD94" s="127">
        <v>70</v>
      </c>
      <c r="CE94" s="169">
        <v>771.65200000000016</v>
      </c>
      <c r="CG94" s="5">
        <v>4.1960800000000003</v>
      </c>
      <c r="CH94" s="4">
        <v>0.96519999999999995</v>
      </c>
      <c r="CI94" s="5">
        <v>5.1612800000000005</v>
      </c>
      <c r="CJ94" s="26">
        <v>70</v>
      </c>
      <c r="CK94" s="25">
        <f t="shared" si="13"/>
        <v>3.6128960000000006</v>
      </c>
      <c r="CM94" s="5">
        <v>5.9537600000000008</v>
      </c>
      <c r="CN94" s="5">
        <v>5.9537600000000008</v>
      </c>
      <c r="CO94" s="26">
        <v>70</v>
      </c>
      <c r="CP94" s="25">
        <v>4.1676320000000002</v>
      </c>
      <c r="CW94" s="5">
        <f t="shared" si="7"/>
        <v>11.11504</v>
      </c>
      <c r="CX94" s="2">
        <f t="shared" si="8"/>
        <v>70.000000000000014</v>
      </c>
      <c r="CY94" s="5">
        <v>7.7805280000000012</v>
      </c>
      <c r="DA94" s="5">
        <v>18.21688</v>
      </c>
      <c r="DB94" s="4">
        <v>4.0640000000000003E-2</v>
      </c>
      <c r="DC94" s="4">
        <v>0.19304000000000002</v>
      </c>
      <c r="DE94" s="4">
        <v>0.14224000000000001</v>
      </c>
      <c r="DF94" s="4">
        <v>0.22352</v>
      </c>
      <c r="DH94" s="5">
        <v>1.05664</v>
      </c>
      <c r="DJ94" s="5">
        <v>2.7330399999999999</v>
      </c>
      <c r="DK94" s="5">
        <v>24.332344213649851</v>
      </c>
      <c r="DL94" s="26">
        <v>70</v>
      </c>
      <c r="DM94" s="25">
        <f t="shared" si="9"/>
        <v>17.032640949554896</v>
      </c>
    </row>
    <row r="95" spans="1:117" x14ac:dyDescent="0.25">
      <c r="A95" s="2">
        <v>1942</v>
      </c>
      <c r="B95" s="15">
        <v>628.03024000000016</v>
      </c>
      <c r="C95" s="127">
        <v>70</v>
      </c>
      <c r="P95" s="4">
        <v>5.0800000000000005E-2</v>
      </c>
      <c r="Q95" s="127">
        <v>72.5</v>
      </c>
      <c r="R95" s="5">
        <v>46.278800000000004</v>
      </c>
      <c r="S95" s="127">
        <v>72.5</v>
      </c>
      <c r="T95" s="4">
        <v>0.29844999999999999</v>
      </c>
      <c r="U95" s="127">
        <v>65</v>
      </c>
      <c r="V95" s="15">
        <v>406.22728000000001</v>
      </c>
      <c r="W95" s="127">
        <v>72.5</v>
      </c>
      <c r="X95" s="5">
        <v>72.166480000000007</v>
      </c>
      <c r="Y95" s="127">
        <v>72.5</v>
      </c>
      <c r="Z95" s="5">
        <v>1.0413999999999999</v>
      </c>
      <c r="AA95" s="127">
        <v>72.5</v>
      </c>
      <c r="AF95" s="168">
        <v>69.778880000000001</v>
      </c>
      <c r="AG95" s="127">
        <v>70</v>
      </c>
      <c r="AJ95" s="15">
        <v>112.50167999999999</v>
      </c>
      <c r="AK95" s="127">
        <v>72.5</v>
      </c>
      <c r="AL95" s="171">
        <v>137.07363999999998</v>
      </c>
      <c r="AM95" s="127">
        <v>70</v>
      </c>
      <c r="AN95" s="5">
        <v>44.56176</v>
      </c>
      <c r="AO95" s="127">
        <v>72.5</v>
      </c>
      <c r="AT95" s="5">
        <v>36.931600000000003</v>
      </c>
      <c r="AU95" s="127">
        <v>65</v>
      </c>
      <c r="AV95" s="6">
        <f t="shared" si="12"/>
        <v>1554.9410100000005</v>
      </c>
      <c r="AW95" s="5">
        <f t="shared" si="11"/>
        <v>70.978120867749169</v>
      </c>
      <c r="AX95" s="6">
        <f t="shared" si="14"/>
        <v>1103.6679095</v>
      </c>
      <c r="AZ95" s="5">
        <v>84.328000000000003</v>
      </c>
      <c r="BA95" s="127">
        <v>65</v>
      </c>
      <c r="BB95" s="25">
        <v>54.813200000000009</v>
      </c>
      <c r="BD95" s="5">
        <v>58.927999999999997</v>
      </c>
      <c r="BF95" s="5">
        <v>9.1440000000000001</v>
      </c>
      <c r="BG95" s="5">
        <v>88.727279999999993</v>
      </c>
      <c r="BI95" s="5">
        <v>7.7927200000000028</v>
      </c>
      <c r="BK95" s="5">
        <v>14.711680000000001</v>
      </c>
      <c r="BM95" s="5">
        <v>26.88336</v>
      </c>
      <c r="BN95" s="15">
        <v>283.0068</v>
      </c>
      <c r="BO95" s="5">
        <v>34.046160000000043</v>
      </c>
      <c r="BP95" s="15">
        <v>605</v>
      </c>
      <c r="BS95" s="6">
        <v>1128.24</v>
      </c>
      <c r="BU95" s="6">
        <v>147.66290000000001</v>
      </c>
      <c r="BV95" s="15">
        <v>208.57210000000001</v>
      </c>
      <c r="BW95" s="15">
        <v>193.7004</v>
      </c>
      <c r="BX95" s="5">
        <v>22.809200000000001</v>
      </c>
      <c r="BY95" s="5">
        <v>24.841200000000001</v>
      </c>
      <c r="BZ95" s="4">
        <v>0.71119999999999994</v>
      </c>
      <c r="CB95" s="15">
        <v>159.23260000000005</v>
      </c>
      <c r="CC95" s="15">
        <v>757.52960000000007</v>
      </c>
      <c r="CD95" s="127">
        <v>70</v>
      </c>
      <c r="CE95" s="169">
        <v>530.2707200000001</v>
      </c>
      <c r="CG95" s="5">
        <v>9.4081600000000005</v>
      </c>
      <c r="CH95" s="5">
        <v>3.5052000000000003</v>
      </c>
      <c r="CI95" s="5">
        <v>12.913360000000001</v>
      </c>
      <c r="CJ95" s="26">
        <v>70</v>
      </c>
      <c r="CK95" s="25">
        <f t="shared" si="13"/>
        <v>9.0393520000000009</v>
      </c>
      <c r="CM95" s="5">
        <v>10.8712</v>
      </c>
      <c r="CN95" s="5">
        <v>10.8712</v>
      </c>
      <c r="CO95" s="26">
        <v>70</v>
      </c>
      <c r="CP95" s="25">
        <v>7.6098400000000002</v>
      </c>
      <c r="CW95" s="5">
        <f t="shared" si="7"/>
        <v>23.784559999999999</v>
      </c>
      <c r="CX95" s="2">
        <f t="shared" si="8"/>
        <v>70</v>
      </c>
      <c r="CY95" s="5">
        <v>16.649191999999999</v>
      </c>
      <c r="DA95" s="5">
        <v>23.876000000000001</v>
      </c>
      <c r="DJ95" s="5">
        <v>8.8493600000000008</v>
      </c>
      <c r="DK95" s="5">
        <v>39.169139465875368</v>
      </c>
      <c r="DL95" s="26">
        <v>70</v>
      </c>
      <c r="DM95" s="25">
        <f t="shared" si="9"/>
        <v>27.418397626112757</v>
      </c>
    </row>
    <row r="96" spans="1:117" x14ac:dyDescent="0.25">
      <c r="A96" s="2">
        <v>1943</v>
      </c>
      <c r="B96" s="15">
        <v>532.83104000000003</v>
      </c>
      <c r="C96" s="127">
        <v>70</v>
      </c>
      <c r="P96" s="4">
        <v>5.0800000000000005E-2</v>
      </c>
      <c r="Q96" s="127">
        <v>72.5</v>
      </c>
      <c r="R96" s="5">
        <v>41.656000000000006</v>
      </c>
      <c r="S96" s="127">
        <v>72.5</v>
      </c>
      <c r="T96" s="4">
        <v>0.29844999999999999</v>
      </c>
      <c r="U96" s="127">
        <v>65</v>
      </c>
      <c r="V96" s="15">
        <v>529.26487999999995</v>
      </c>
      <c r="W96" s="127">
        <v>72.5</v>
      </c>
      <c r="X96" s="5">
        <v>57.129680000000008</v>
      </c>
      <c r="Y96" s="127">
        <v>72.5</v>
      </c>
      <c r="Z96" s="5">
        <v>1.6002000000000001</v>
      </c>
      <c r="AA96" s="127">
        <v>72.5</v>
      </c>
      <c r="AF96" s="168">
        <v>52.557679999999998</v>
      </c>
      <c r="AG96" s="127">
        <v>70</v>
      </c>
      <c r="AJ96" s="15">
        <v>140.65504000000001</v>
      </c>
      <c r="AK96" s="127">
        <v>72.5</v>
      </c>
      <c r="AL96" s="171">
        <v>137.53083999999998</v>
      </c>
      <c r="AM96" s="127">
        <v>70</v>
      </c>
      <c r="AN96" s="5">
        <v>80.37576</v>
      </c>
      <c r="AO96" s="127">
        <v>72.5</v>
      </c>
      <c r="AT96" s="15">
        <v>103.378</v>
      </c>
      <c r="AU96" s="127">
        <v>65</v>
      </c>
      <c r="AV96" s="6">
        <f t="shared" si="12"/>
        <v>1677.3283699999997</v>
      </c>
      <c r="AW96" s="5">
        <f t="shared" si="11"/>
        <v>70.958934862587469</v>
      </c>
      <c r="AX96" s="6">
        <f t="shared" si="14"/>
        <v>1190.2143454999998</v>
      </c>
      <c r="AZ96" s="5">
        <v>60.96</v>
      </c>
      <c r="BA96" s="127">
        <v>65</v>
      </c>
      <c r="BB96" s="25">
        <v>39.624000000000002</v>
      </c>
      <c r="BD96" s="5">
        <v>48.768000000000001</v>
      </c>
      <c r="BF96" s="5">
        <v>3.048</v>
      </c>
      <c r="BG96" s="5">
        <v>68.745608000000004</v>
      </c>
      <c r="BI96" s="5">
        <v>5.4223920000000021</v>
      </c>
      <c r="BM96" s="5">
        <v>37.464238000000002</v>
      </c>
      <c r="BN96" s="15">
        <v>241.52665436000004</v>
      </c>
      <c r="BO96" s="5">
        <v>79.657107639999992</v>
      </c>
      <c r="BP96" s="15">
        <v>432</v>
      </c>
      <c r="BS96" s="6">
        <v>916.63200000000006</v>
      </c>
      <c r="BU96" s="16">
        <v>73.304400000000001</v>
      </c>
      <c r="BV96" s="15">
        <v>188.56960000000001</v>
      </c>
      <c r="BW96" s="15">
        <v>399.04314400000004</v>
      </c>
      <c r="BX96" s="5">
        <v>28.536899999999999</v>
      </c>
      <c r="BY96" s="5">
        <v>19.380199999999999</v>
      </c>
      <c r="CB96" s="5">
        <v>88.72575600000016</v>
      </c>
      <c r="CC96" s="15">
        <v>797.56000000000006</v>
      </c>
      <c r="CD96" s="127">
        <v>70</v>
      </c>
      <c r="CE96" s="169">
        <v>558.29200000000003</v>
      </c>
      <c r="CG96" s="5">
        <v>5.7810400000000008</v>
      </c>
      <c r="CH96" s="4">
        <v>0.18287999999999999</v>
      </c>
      <c r="CI96" s="5">
        <v>3.4340799999999998</v>
      </c>
      <c r="CJ96" s="26">
        <v>70</v>
      </c>
      <c r="CK96" s="25">
        <f t="shared" si="13"/>
        <v>2.4038559999999998</v>
      </c>
      <c r="CM96" s="5">
        <v>4.6735999999999995</v>
      </c>
      <c r="CN96" s="5">
        <v>4.6735999999999995</v>
      </c>
      <c r="CO96" s="26">
        <v>70</v>
      </c>
      <c r="CP96" s="25">
        <v>3.2715199999999998</v>
      </c>
      <c r="CR96" s="4">
        <v>0.75183999999999995</v>
      </c>
      <c r="CS96" s="4">
        <v>0.75183999999999995</v>
      </c>
      <c r="CT96" s="26">
        <v>70</v>
      </c>
      <c r="CU96" s="38">
        <v>0.52628799999999998</v>
      </c>
      <c r="CV96" s="164" t="s">
        <v>1483</v>
      </c>
      <c r="CW96" s="5">
        <f t="shared" si="7"/>
        <v>8.8595199999999981</v>
      </c>
      <c r="CX96" s="2">
        <f t="shared" si="8"/>
        <v>70.000000000000014</v>
      </c>
      <c r="CY96" s="5">
        <v>6.2016639999999992</v>
      </c>
      <c r="DA96" s="5">
        <v>19.82216</v>
      </c>
      <c r="DF96" s="4">
        <v>0.35559999999999997</v>
      </c>
      <c r="DI96" s="4">
        <v>0.56896000000000002</v>
      </c>
      <c r="DJ96" s="5">
        <v>5.5575200000000002</v>
      </c>
      <c r="DK96" s="5">
        <v>8.9020771513353107</v>
      </c>
      <c r="DL96" s="26">
        <v>70</v>
      </c>
      <c r="DM96" s="25">
        <f t="shared" si="9"/>
        <v>6.2314540059347179</v>
      </c>
    </row>
    <row r="97" spans="1:117" x14ac:dyDescent="0.25">
      <c r="A97" s="2">
        <v>1944</v>
      </c>
      <c r="B97" s="15">
        <v>401.97024000000005</v>
      </c>
      <c r="C97" s="127">
        <v>70</v>
      </c>
      <c r="P97" s="4">
        <v>5.0800000000000005E-2</v>
      </c>
      <c r="Q97" s="127">
        <v>72.5</v>
      </c>
      <c r="R97" s="5">
        <v>29.819600000000001</v>
      </c>
      <c r="S97" s="127">
        <v>72.5</v>
      </c>
      <c r="T97" s="4">
        <v>0.29844999999999999</v>
      </c>
      <c r="U97" s="127">
        <v>65</v>
      </c>
      <c r="V97" s="15">
        <v>629.59487999999999</v>
      </c>
      <c r="W97" s="127">
        <v>72.5</v>
      </c>
      <c r="X97" s="5">
        <v>64.089280000000002</v>
      </c>
      <c r="Y97" s="127">
        <v>72.5</v>
      </c>
      <c r="Z97" s="4">
        <v>0.44450000000000001</v>
      </c>
      <c r="AA97" s="127">
        <v>72.5</v>
      </c>
      <c r="AF97" s="168">
        <v>34.980879999999999</v>
      </c>
      <c r="AG97" s="127">
        <v>70</v>
      </c>
      <c r="AJ97" s="15">
        <v>151.09952000000001</v>
      </c>
      <c r="AK97" s="127">
        <v>72.5</v>
      </c>
      <c r="AL97" s="171">
        <v>153.83763999999999</v>
      </c>
      <c r="AM97" s="127">
        <v>70</v>
      </c>
      <c r="AN97" s="5">
        <v>52.130960000000002</v>
      </c>
      <c r="AO97" s="127">
        <v>72.5</v>
      </c>
      <c r="AT97" s="5">
        <v>42.926000000000002</v>
      </c>
      <c r="AU97" s="127">
        <v>65</v>
      </c>
      <c r="AV97" s="6">
        <f t="shared" si="12"/>
        <v>1561.2427499999999</v>
      </c>
      <c r="AW97" s="5">
        <f t="shared" si="11"/>
        <v>71.346332336851546</v>
      </c>
      <c r="AX97" s="6">
        <f t="shared" si="14"/>
        <v>1113.8894410000003</v>
      </c>
      <c r="AZ97" s="5">
        <v>55.88</v>
      </c>
      <c r="BA97" s="127">
        <v>65</v>
      </c>
      <c r="BB97" s="25">
        <v>36.322000000000003</v>
      </c>
      <c r="BD97" s="5">
        <v>79.248000000000005</v>
      </c>
      <c r="BF97" s="5">
        <v>5.08</v>
      </c>
      <c r="BG97" s="5">
        <v>73.584816000000004</v>
      </c>
      <c r="BI97" s="5">
        <v>3.6311840000000046</v>
      </c>
      <c r="BK97" s="5">
        <v>1.18872</v>
      </c>
      <c r="BM97" s="5">
        <v>28.579571999999999</v>
      </c>
      <c r="BN97" s="15">
        <v>241.52860000000001</v>
      </c>
      <c r="BO97" s="5">
        <v>39.599108000000001</v>
      </c>
      <c r="BP97" s="15">
        <v>295</v>
      </c>
      <c r="BS97" s="6">
        <v>767.44</v>
      </c>
      <c r="BU97" s="16">
        <v>63.931799999999996</v>
      </c>
      <c r="BV97" s="15">
        <v>139.38249999999999</v>
      </c>
      <c r="BW97" s="15">
        <v>962.55555519999996</v>
      </c>
      <c r="BX97" s="5">
        <v>13.5509</v>
      </c>
      <c r="BY97" s="5">
        <v>12.179300000000001</v>
      </c>
      <c r="CB97" s="5">
        <v>60.213544799999909</v>
      </c>
      <c r="CC97" s="6">
        <v>1251.8136</v>
      </c>
      <c r="CD97" s="127">
        <v>70</v>
      </c>
      <c r="CE97" s="169">
        <v>876.26951999999994</v>
      </c>
      <c r="CG97" s="4">
        <v>0.91439999999999999</v>
      </c>
      <c r="CI97" s="4">
        <v>0.91439999999999999</v>
      </c>
      <c r="CJ97" s="26">
        <v>70</v>
      </c>
      <c r="CK97" s="38">
        <f t="shared" si="13"/>
        <v>0.64007999999999998</v>
      </c>
      <c r="CL97" s="5">
        <v>10.02792</v>
      </c>
      <c r="CN97" s="5">
        <v>10.02792</v>
      </c>
      <c r="CO97" s="26">
        <v>70</v>
      </c>
      <c r="CP97" s="25">
        <v>7.0195439999999998</v>
      </c>
      <c r="CQ97" s="4">
        <v>0.31496000000000002</v>
      </c>
      <c r="CS97" s="4">
        <v>0.31496000000000002</v>
      </c>
      <c r="CT97" s="26">
        <v>70</v>
      </c>
      <c r="CU97" s="38">
        <v>0.220472</v>
      </c>
      <c r="CV97" s="164" t="s">
        <v>38</v>
      </c>
      <c r="CW97" s="5">
        <f t="shared" si="7"/>
        <v>11.25728</v>
      </c>
      <c r="CX97" s="2">
        <f t="shared" si="8"/>
        <v>70</v>
      </c>
      <c r="CY97" s="5">
        <v>7.880096</v>
      </c>
      <c r="DA97" s="5">
        <v>3.7896800000000002</v>
      </c>
      <c r="DF97" s="4">
        <v>0.21335999999999999</v>
      </c>
      <c r="DJ97" s="4">
        <v>0.11176</v>
      </c>
      <c r="DK97" s="5">
        <v>21.364985163204746</v>
      </c>
      <c r="DL97" s="26">
        <v>70</v>
      </c>
      <c r="DM97" s="25">
        <f t="shared" si="9"/>
        <v>14.955489614243323</v>
      </c>
    </row>
    <row r="98" spans="1:117" x14ac:dyDescent="0.25">
      <c r="A98" s="2">
        <v>1945</v>
      </c>
      <c r="B98" s="15">
        <v>355.6</v>
      </c>
      <c r="C98" s="127">
        <v>70</v>
      </c>
      <c r="P98" s="4">
        <v>5.0800000000000005E-2</v>
      </c>
      <c r="Q98" s="127">
        <v>72.5</v>
      </c>
      <c r="R98" s="5">
        <v>26.771600000000003</v>
      </c>
      <c r="S98" s="127">
        <v>72.5</v>
      </c>
      <c r="T98" s="4">
        <v>0.29844999999999999</v>
      </c>
      <c r="U98" s="127">
        <v>65</v>
      </c>
      <c r="V98" s="15">
        <v>327.76160000000004</v>
      </c>
      <c r="W98" s="127">
        <v>72.5</v>
      </c>
      <c r="X98" s="5">
        <v>56.875680000000003</v>
      </c>
      <c r="Y98" s="127">
        <v>72.5</v>
      </c>
      <c r="Z98" s="5">
        <v>3.0733999999999999</v>
      </c>
      <c r="AA98" s="127">
        <v>72.5</v>
      </c>
      <c r="AF98" s="168">
        <v>32.512</v>
      </c>
      <c r="AG98" s="127">
        <v>70</v>
      </c>
      <c r="AJ98" s="15">
        <v>163.1696</v>
      </c>
      <c r="AK98" s="127">
        <v>72.5</v>
      </c>
      <c r="AL98" s="5">
        <v>73.075800000000001</v>
      </c>
      <c r="AM98" s="127">
        <v>70</v>
      </c>
      <c r="AN98" s="5">
        <v>49.276000000000003</v>
      </c>
      <c r="AO98" s="127">
        <v>72.5</v>
      </c>
      <c r="AT98" s="5">
        <v>7.4676</v>
      </c>
      <c r="AU98" s="127">
        <v>65</v>
      </c>
      <c r="AV98" s="6">
        <f t="shared" si="12"/>
        <v>1095.93253</v>
      </c>
      <c r="AW98" s="5">
        <f t="shared" si="11"/>
        <v>71.394808903062668</v>
      </c>
      <c r="AX98" s="15">
        <f t="shared" si="14"/>
        <v>782.43893549999996</v>
      </c>
      <c r="AZ98" s="5">
        <v>42.671999999999997</v>
      </c>
      <c r="BA98" s="127">
        <v>65</v>
      </c>
      <c r="BB98" s="25">
        <v>27.736799999999999</v>
      </c>
      <c r="BD98" s="5">
        <v>44.704000000000001</v>
      </c>
      <c r="BF98" s="5">
        <v>3.048</v>
      </c>
      <c r="BG98" s="5">
        <v>77.426311999999996</v>
      </c>
      <c r="BI98" s="4">
        <v>0.80568800000000351</v>
      </c>
      <c r="BJ98" s="5">
        <v>1.016</v>
      </c>
      <c r="BK98" s="5">
        <v>5.9483752000000001</v>
      </c>
      <c r="BM98" s="5">
        <v>14.122400000000001</v>
      </c>
      <c r="BN98" s="15">
        <v>248.6362312</v>
      </c>
      <c r="BO98" s="5">
        <v>41.172993599999984</v>
      </c>
      <c r="BP98" s="15">
        <v>347</v>
      </c>
      <c r="BS98" s="6">
        <v>783.88</v>
      </c>
      <c r="BU98" s="16">
        <v>38.938200000000002</v>
      </c>
      <c r="BV98" s="5">
        <v>84.994800800000007</v>
      </c>
      <c r="BW98" s="15">
        <v>745.29035599999997</v>
      </c>
      <c r="BX98" s="5">
        <v>15.709900000000001</v>
      </c>
      <c r="BY98" s="5">
        <v>9.8044000000000011</v>
      </c>
      <c r="CB98" s="5">
        <v>50.447143200000141</v>
      </c>
      <c r="CC98" s="15">
        <v>945.1848</v>
      </c>
      <c r="CD98" s="127">
        <v>70</v>
      </c>
      <c r="CE98" s="169">
        <v>661.62936000000002</v>
      </c>
      <c r="CG98" s="5">
        <v>8.1788000000000007</v>
      </c>
      <c r="CH98" s="5">
        <v>2.6924000000000001</v>
      </c>
      <c r="CI98" s="5">
        <v>10.8712</v>
      </c>
      <c r="CJ98" s="26">
        <v>70</v>
      </c>
      <c r="CK98" s="25">
        <f t="shared" si="13"/>
        <v>7.6098400000000002</v>
      </c>
      <c r="CM98" s="5">
        <v>10.98296</v>
      </c>
      <c r="CN98" s="5">
        <v>10.98296</v>
      </c>
      <c r="CO98" s="26">
        <v>70</v>
      </c>
      <c r="CP98" s="25">
        <v>7.688072</v>
      </c>
      <c r="CW98" s="5">
        <f t="shared" si="7"/>
        <v>21.85416</v>
      </c>
      <c r="CX98" s="2">
        <f t="shared" si="8"/>
        <v>70</v>
      </c>
      <c r="CY98" s="5">
        <v>15.297912000000002</v>
      </c>
      <c r="DA98" s="5">
        <v>8.7477599999999995</v>
      </c>
      <c r="DB98" s="4">
        <v>0.21335999999999999</v>
      </c>
      <c r="DH98" s="5">
        <v>10.972800000000001</v>
      </c>
      <c r="DI98" s="4">
        <v>0.22352</v>
      </c>
      <c r="DJ98" s="5">
        <v>0.58927999999999991</v>
      </c>
      <c r="DK98" s="5">
        <v>18.397626112759642</v>
      </c>
      <c r="DL98" s="26">
        <v>70</v>
      </c>
      <c r="DM98" s="25">
        <f t="shared" si="9"/>
        <v>12.878338278931748</v>
      </c>
    </row>
    <row r="99" spans="1:117" x14ac:dyDescent="0.25">
      <c r="A99" s="2">
        <v>1946</v>
      </c>
      <c r="B99" s="15">
        <v>231.648</v>
      </c>
      <c r="C99" s="127">
        <v>70</v>
      </c>
      <c r="P99" s="4">
        <v>0.15240000000000001</v>
      </c>
      <c r="Q99" s="127">
        <v>72.5</v>
      </c>
      <c r="R99" s="5">
        <v>22.961600000000001</v>
      </c>
      <c r="S99" s="127">
        <v>72.5</v>
      </c>
      <c r="V99" s="15">
        <v>309.47360000000003</v>
      </c>
      <c r="W99" s="127">
        <v>72.5</v>
      </c>
      <c r="X99" s="5">
        <v>41.884599999999999</v>
      </c>
      <c r="Y99" s="127">
        <v>72.5</v>
      </c>
      <c r="Z99" s="5">
        <v>8.6105999999999998</v>
      </c>
      <c r="AA99" s="127">
        <v>72.5</v>
      </c>
      <c r="AF99" s="168">
        <v>39.624000000000002</v>
      </c>
      <c r="AG99" s="127">
        <v>70</v>
      </c>
      <c r="AJ99" s="15">
        <v>110.46459999999999</v>
      </c>
      <c r="AK99" s="127">
        <v>72.5</v>
      </c>
      <c r="AL99" s="5">
        <v>78.079599999999999</v>
      </c>
      <c r="AM99" s="127">
        <v>70</v>
      </c>
      <c r="AN99" s="5">
        <v>52.387500000000003</v>
      </c>
      <c r="AO99" s="127">
        <v>72.5</v>
      </c>
      <c r="AT99" s="5">
        <v>17.271999999999998</v>
      </c>
      <c r="AU99" s="127">
        <v>65</v>
      </c>
      <c r="AV99" s="15">
        <f t="shared" si="12"/>
        <v>912.55850000000009</v>
      </c>
      <c r="AW99" s="5">
        <f t="shared" si="11"/>
        <v>71.4009811425788</v>
      </c>
      <c r="AX99" s="15">
        <f t="shared" si="14"/>
        <v>651.5757225000001</v>
      </c>
      <c r="AZ99" s="5">
        <v>65.024000000000001</v>
      </c>
      <c r="BA99" s="127">
        <v>65</v>
      </c>
      <c r="BB99" s="25">
        <v>42.265600000000006</v>
      </c>
      <c r="BD99" s="5">
        <v>28.448</v>
      </c>
      <c r="BF99" s="5">
        <v>2.032</v>
      </c>
      <c r="BG99" s="5">
        <v>85.346031999999994</v>
      </c>
      <c r="BJ99" s="5">
        <v>2.032</v>
      </c>
      <c r="BM99" s="5">
        <v>16.357600000000001</v>
      </c>
      <c r="BN99" s="15">
        <v>228.29519999999999</v>
      </c>
      <c r="BO99" s="5">
        <v>26.619200000000006</v>
      </c>
      <c r="BP99" s="15">
        <v>295</v>
      </c>
      <c r="BS99" s="6">
        <v>684.13003200000003</v>
      </c>
      <c r="BU99" s="16">
        <v>34.594799999999999</v>
      </c>
      <c r="BV99" s="15">
        <v>109.1692</v>
      </c>
      <c r="BW99" s="15">
        <v>771.26053519999994</v>
      </c>
      <c r="BX99" s="5">
        <v>14.401800000000001</v>
      </c>
      <c r="BY99" s="5">
        <v>9.9568000000000012</v>
      </c>
      <c r="CB99" s="5">
        <v>53.248864800000092</v>
      </c>
      <c r="CC99" s="15">
        <v>992.63200000000006</v>
      </c>
      <c r="CD99" s="127">
        <v>70</v>
      </c>
      <c r="CE99" s="169">
        <v>694.8424</v>
      </c>
      <c r="CH99" s="5">
        <v>14.76248</v>
      </c>
      <c r="CI99" s="5">
        <v>14.76248</v>
      </c>
      <c r="CJ99" s="26">
        <v>70</v>
      </c>
      <c r="CK99" s="25">
        <f t="shared" si="13"/>
        <v>10.333735999999998</v>
      </c>
      <c r="CM99" s="5">
        <v>14.213840000000001</v>
      </c>
      <c r="CN99" s="5">
        <v>14.213840000000001</v>
      </c>
      <c r="CO99" s="26">
        <v>70</v>
      </c>
      <c r="CP99" s="25">
        <v>9.9496880000000019</v>
      </c>
      <c r="CW99" s="5">
        <f t="shared" si="7"/>
        <v>28.976320000000001</v>
      </c>
      <c r="CX99" s="2">
        <f t="shared" si="8"/>
        <v>70</v>
      </c>
      <c r="CY99" s="5">
        <v>20.283424</v>
      </c>
      <c r="DA99" s="5">
        <v>12.659360000000001</v>
      </c>
      <c r="DB99" s="4">
        <v>0.29463999999999996</v>
      </c>
      <c r="DC99" s="4">
        <v>0.24384</v>
      </c>
      <c r="DH99" s="5">
        <v>9.1948000000000008</v>
      </c>
      <c r="DI99" s="4">
        <v>0.17272000000000001</v>
      </c>
      <c r="DJ99" s="5">
        <v>2.0116800000000001</v>
      </c>
      <c r="DK99" s="5">
        <v>18.991097922848663</v>
      </c>
      <c r="DL99" s="26">
        <v>70</v>
      </c>
      <c r="DM99" s="25">
        <f t="shared" si="9"/>
        <v>13.293768545994064</v>
      </c>
    </row>
    <row r="100" spans="1:117" x14ac:dyDescent="0.25">
      <c r="A100" s="2">
        <v>1947</v>
      </c>
      <c r="B100" s="15">
        <v>151.38400000000001</v>
      </c>
      <c r="C100" s="127">
        <v>70</v>
      </c>
      <c r="P100" s="4">
        <v>0.1905</v>
      </c>
      <c r="Q100" s="127">
        <v>72.5</v>
      </c>
      <c r="R100" s="5">
        <v>17.271999999999998</v>
      </c>
      <c r="S100" s="127">
        <v>72.5</v>
      </c>
      <c r="T100" s="4">
        <v>0.14168506682161533</v>
      </c>
      <c r="U100" s="127">
        <v>65</v>
      </c>
      <c r="V100" s="15">
        <v>272.49119999999999</v>
      </c>
      <c r="W100" s="127">
        <v>72.5</v>
      </c>
      <c r="X100" s="5">
        <v>41.148000000000003</v>
      </c>
      <c r="Y100" s="127">
        <v>72.5</v>
      </c>
      <c r="Z100" s="5">
        <v>3.302</v>
      </c>
      <c r="AA100" s="127">
        <v>72.5</v>
      </c>
      <c r="AF100" s="168">
        <v>40.64</v>
      </c>
      <c r="AG100" s="127">
        <v>70</v>
      </c>
      <c r="AJ100" s="15">
        <v>139.9032</v>
      </c>
      <c r="AK100" s="127">
        <v>72.5</v>
      </c>
      <c r="AL100" s="5">
        <v>86.867999999999995</v>
      </c>
      <c r="AM100" s="127">
        <v>70</v>
      </c>
      <c r="AN100" s="5">
        <v>27.279600000000002</v>
      </c>
      <c r="AO100" s="127">
        <v>72.5</v>
      </c>
      <c r="AT100" s="5">
        <v>24.384</v>
      </c>
      <c r="AU100" s="127">
        <v>65</v>
      </c>
      <c r="AV100" s="15">
        <f t="shared" si="12"/>
        <v>805.00418506682161</v>
      </c>
      <c r="AW100" s="5">
        <f t="shared" si="11"/>
        <v>71.40538129571587</v>
      </c>
      <c r="AX100" s="15">
        <f t="shared" si="14"/>
        <v>574.81630779343413</v>
      </c>
      <c r="AZ100" s="5">
        <v>88.391999999999996</v>
      </c>
      <c r="BA100" s="127">
        <v>65</v>
      </c>
      <c r="BB100" s="25">
        <v>57.454799999999999</v>
      </c>
      <c r="BD100" s="5">
        <v>14.224</v>
      </c>
      <c r="BG100" s="5">
        <v>61.409072000000002</v>
      </c>
      <c r="BM100" s="5">
        <v>32.003999999999998</v>
      </c>
      <c r="BN100" s="15">
        <v>346.84208000000001</v>
      </c>
      <c r="BO100" s="5">
        <v>30.60191999999995</v>
      </c>
      <c r="BP100" s="15">
        <v>285</v>
      </c>
      <c r="BS100" s="6">
        <v>770.08107199999995</v>
      </c>
      <c r="BU100" s="16">
        <v>27.279600000000002</v>
      </c>
      <c r="BV100" s="15">
        <v>172.5676</v>
      </c>
      <c r="BW100" s="6">
        <v>1131.1840216000001</v>
      </c>
      <c r="BX100" s="5">
        <v>0.50800000000000001</v>
      </c>
      <c r="BY100" s="5">
        <v>11.303000000000001</v>
      </c>
      <c r="CA100" s="4">
        <v>0.40640000000000004</v>
      </c>
      <c r="CB100" s="5">
        <v>74.579378399999769</v>
      </c>
      <c r="CC100" s="6">
        <v>1417.828</v>
      </c>
      <c r="CD100" s="127">
        <v>70</v>
      </c>
      <c r="CE100" s="169">
        <v>992.47959999999989</v>
      </c>
      <c r="CH100" s="5">
        <v>5.8216800000000006</v>
      </c>
      <c r="CI100" s="5">
        <v>5.8216800000000006</v>
      </c>
      <c r="CJ100" s="26">
        <v>70</v>
      </c>
      <c r="CK100" s="25">
        <f t="shared" si="13"/>
        <v>4.0751759999999999</v>
      </c>
      <c r="CM100" s="5">
        <v>18.186399999999999</v>
      </c>
      <c r="CN100" s="5">
        <v>18.186399999999999</v>
      </c>
      <c r="CO100" s="26">
        <v>70</v>
      </c>
      <c r="CP100" s="25">
        <v>12.73048</v>
      </c>
      <c r="CW100" s="5">
        <f t="shared" si="7"/>
        <v>24.00808</v>
      </c>
      <c r="CX100" s="2">
        <f t="shared" si="8"/>
        <v>70</v>
      </c>
      <c r="CY100" s="5">
        <v>16.805655999999999</v>
      </c>
      <c r="DA100" s="5">
        <v>12.456160000000001</v>
      </c>
      <c r="DB100" s="4">
        <v>7.1120000000000003E-2</v>
      </c>
      <c r="DE100" s="4">
        <v>3.048E-2</v>
      </c>
      <c r="DH100" s="5">
        <v>6.3398400000000006</v>
      </c>
      <c r="DI100" s="4">
        <v>0.66039999999999999</v>
      </c>
      <c r="DJ100" s="4">
        <v>0.75183999999999995</v>
      </c>
      <c r="DK100" s="5">
        <v>23.73887240356083</v>
      </c>
      <c r="DL100" s="26">
        <v>70</v>
      </c>
      <c r="DM100" s="25">
        <f t="shared" si="9"/>
        <v>16.61721068249258</v>
      </c>
    </row>
    <row r="101" spans="1:117" x14ac:dyDescent="0.25">
      <c r="A101" s="2">
        <v>1948</v>
      </c>
      <c r="B101" s="15">
        <v>123.5964</v>
      </c>
      <c r="C101" s="127">
        <v>70</v>
      </c>
      <c r="P101" s="4">
        <v>0.81280000000000008</v>
      </c>
      <c r="Q101" s="127">
        <v>72.5</v>
      </c>
      <c r="R101" s="5">
        <v>8.3693000000000008</v>
      </c>
      <c r="S101" s="127">
        <v>72.5</v>
      </c>
      <c r="T101" s="4">
        <v>0.18899554304480412</v>
      </c>
      <c r="U101" s="127">
        <v>65</v>
      </c>
      <c r="V101" s="15">
        <v>261.30250000000001</v>
      </c>
      <c r="W101" s="127">
        <v>72.5</v>
      </c>
      <c r="X101" s="5">
        <v>29.616399999999999</v>
      </c>
      <c r="Y101" s="127">
        <v>72.5</v>
      </c>
      <c r="Z101" s="5">
        <v>2.9464000000000001</v>
      </c>
      <c r="AA101" s="127">
        <v>72.5</v>
      </c>
      <c r="AF101" s="168">
        <v>39.624000000000002</v>
      </c>
      <c r="AG101" s="127">
        <v>70</v>
      </c>
      <c r="AJ101" s="168">
        <v>93.472000000000008</v>
      </c>
      <c r="AK101" s="127">
        <v>72.5</v>
      </c>
      <c r="AL101" s="5">
        <v>93.218000000000004</v>
      </c>
      <c r="AM101" s="127">
        <v>70</v>
      </c>
      <c r="AN101" s="5">
        <v>33.782000000000004</v>
      </c>
      <c r="AO101" s="127">
        <v>72.5</v>
      </c>
      <c r="AT101" s="5">
        <v>13.208</v>
      </c>
      <c r="AU101" s="127">
        <v>65</v>
      </c>
      <c r="AV101" s="15">
        <f t="shared" si="12"/>
        <v>700.13679554304485</v>
      </c>
      <c r="AW101" s="5">
        <f t="shared" si="11"/>
        <v>71.440816321476632</v>
      </c>
      <c r="AX101" s="15">
        <f t="shared" si="14"/>
        <v>500.18344210297909</v>
      </c>
      <c r="AZ101" s="5">
        <v>54.864000000000004</v>
      </c>
      <c r="BA101" s="127">
        <v>65</v>
      </c>
      <c r="BB101" s="25">
        <v>35.6616</v>
      </c>
      <c r="BF101" s="4">
        <v>0.254</v>
      </c>
      <c r="BG101" s="5">
        <v>57.891680000000001</v>
      </c>
      <c r="BJ101" s="4">
        <v>0.254</v>
      </c>
      <c r="BM101" s="5">
        <v>20.81784</v>
      </c>
      <c r="BN101" s="15">
        <v>344.42399999999998</v>
      </c>
      <c r="BO101" s="5">
        <v>18.806160000000034</v>
      </c>
      <c r="BP101" s="15">
        <v>335</v>
      </c>
      <c r="BS101" s="6">
        <v>777.44767999999999</v>
      </c>
      <c r="BU101" s="16">
        <v>24.828500000000002</v>
      </c>
      <c r="BV101" s="15">
        <v>184.0992</v>
      </c>
      <c r="BW101" s="15">
        <v>376.38217839999999</v>
      </c>
      <c r="BX101" s="5">
        <v>1.3589</v>
      </c>
      <c r="BY101" s="5">
        <v>8.4581999999999997</v>
      </c>
      <c r="CB101" s="5">
        <v>98.39462160000005</v>
      </c>
      <c r="CC101" s="15">
        <v>693.52160000000003</v>
      </c>
      <c r="CD101" s="127">
        <v>70</v>
      </c>
      <c r="CE101" s="169">
        <v>485.46512000000001</v>
      </c>
      <c r="CH101" s="5">
        <v>2.032</v>
      </c>
      <c r="CI101" s="5">
        <v>2.032</v>
      </c>
      <c r="CJ101" s="26">
        <v>70</v>
      </c>
      <c r="CK101" s="25">
        <f t="shared" si="13"/>
        <v>1.4224000000000001</v>
      </c>
      <c r="CM101" s="5">
        <v>35.549840000000003</v>
      </c>
      <c r="CN101" s="5">
        <v>35.549840000000003</v>
      </c>
      <c r="CO101" s="26">
        <v>70</v>
      </c>
      <c r="CP101" s="25">
        <v>24.884888</v>
      </c>
      <c r="CW101" s="5">
        <f t="shared" si="7"/>
        <v>37.58184</v>
      </c>
      <c r="CX101" s="2">
        <f t="shared" si="8"/>
        <v>70</v>
      </c>
      <c r="CY101" s="5">
        <v>26.307288</v>
      </c>
      <c r="DA101" s="5">
        <v>18.531839999999999</v>
      </c>
      <c r="DC101" s="4">
        <v>0.30480000000000002</v>
      </c>
      <c r="DF101" s="4">
        <v>0.10160000000000001</v>
      </c>
      <c r="DH101" s="5">
        <v>8.676639999999999</v>
      </c>
      <c r="DI101" s="4">
        <v>0.71119999999999994</v>
      </c>
      <c r="DJ101" s="5">
        <v>5.2831999999999999</v>
      </c>
      <c r="DK101" s="5">
        <v>27.299703264094955</v>
      </c>
      <c r="DL101" s="26">
        <v>70</v>
      </c>
      <c r="DM101" s="25">
        <f t="shared" si="9"/>
        <v>19.109792284866469</v>
      </c>
    </row>
    <row r="102" spans="1:117" x14ac:dyDescent="0.25">
      <c r="A102" s="2">
        <v>1949</v>
      </c>
      <c r="B102" s="168">
        <v>93.776799999999994</v>
      </c>
      <c r="C102" s="127">
        <v>70</v>
      </c>
      <c r="L102" s="4">
        <v>0.91439999999999999</v>
      </c>
      <c r="M102" s="127">
        <v>65</v>
      </c>
      <c r="P102" s="5">
        <v>5.9436</v>
      </c>
      <c r="Q102" s="127">
        <v>72.5</v>
      </c>
      <c r="R102" s="5">
        <v>5.9436</v>
      </c>
      <c r="S102" s="127">
        <v>72.5</v>
      </c>
      <c r="V102" s="15">
        <v>198.01840000000001</v>
      </c>
      <c r="W102" s="127">
        <v>72.5</v>
      </c>
      <c r="X102" s="5">
        <v>56.184799999999996</v>
      </c>
      <c r="Y102" s="127">
        <v>72.5</v>
      </c>
      <c r="Z102" s="5">
        <v>7.8740000000000006</v>
      </c>
      <c r="AA102" s="127">
        <v>72.5</v>
      </c>
      <c r="AF102" s="168">
        <v>31.546800000000001</v>
      </c>
      <c r="AG102" s="127">
        <v>70</v>
      </c>
      <c r="AJ102" s="168">
        <v>76.758799999999994</v>
      </c>
      <c r="AK102" s="127">
        <v>72.5</v>
      </c>
      <c r="AL102" s="5">
        <v>98.196400000000011</v>
      </c>
      <c r="AM102" s="127">
        <v>70</v>
      </c>
      <c r="AN102" s="5">
        <v>13.766800000000002</v>
      </c>
      <c r="AO102" s="127">
        <v>72.5</v>
      </c>
      <c r="AR102" s="4">
        <v>3.175E-2</v>
      </c>
      <c r="AS102" s="127">
        <v>70</v>
      </c>
      <c r="AT102" s="5">
        <v>13.004800000000001</v>
      </c>
      <c r="AU102" s="127">
        <v>65</v>
      </c>
      <c r="AV102" s="15">
        <f t="shared" si="12"/>
        <v>601.96095000000014</v>
      </c>
      <c r="AW102" s="5">
        <f t="shared" si="11"/>
        <v>71.398145510933887</v>
      </c>
      <c r="AX102" s="15">
        <f t="shared" si="14"/>
        <v>429.78895500000004</v>
      </c>
      <c r="AZ102" s="5">
        <v>49.783999999999999</v>
      </c>
      <c r="BA102" s="127">
        <v>65</v>
      </c>
      <c r="BB102" s="25">
        <v>32.3596</v>
      </c>
      <c r="BG102" s="5">
        <v>61.543183999999997</v>
      </c>
      <c r="BI102" s="4">
        <v>0.43281600000000253</v>
      </c>
      <c r="BM102" s="5">
        <v>9.6113600000000012</v>
      </c>
      <c r="BN102" s="15">
        <v>291.29735999999997</v>
      </c>
      <c r="BO102" s="5">
        <v>17.099280000000022</v>
      </c>
      <c r="BP102" s="15">
        <v>249</v>
      </c>
      <c r="BS102" s="6">
        <v>628.98399999999992</v>
      </c>
      <c r="BU102" s="16">
        <v>33.680399999999999</v>
      </c>
      <c r="BV102" s="15">
        <v>176.8348</v>
      </c>
      <c r="BW102" s="15">
        <v>760.63977920000002</v>
      </c>
      <c r="BX102" s="5">
        <v>8.6868000000000016</v>
      </c>
      <c r="BY102" s="5">
        <v>11.5062</v>
      </c>
      <c r="BZ102" s="4">
        <v>0.1905</v>
      </c>
      <c r="CB102" s="5">
        <v>76.429920800000104</v>
      </c>
      <c r="CC102" s="6">
        <v>1067.9684000000002</v>
      </c>
      <c r="CD102" s="127">
        <v>70</v>
      </c>
      <c r="CE102" s="169">
        <v>747.57788000000016</v>
      </c>
      <c r="CH102" s="5">
        <v>3.048</v>
      </c>
      <c r="CI102" s="5">
        <v>3.048</v>
      </c>
      <c r="CJ102" s="26">
        <v>70</v>
      </c>
      <c r="CK102" s="25">
        <f t="shared" si="13"/>
        <v>2.1335999999999999</v>
      </c>
      <c r="CM102" s="5">
        <v>32.024320000000003</v>
      </c>
      <c r="CN102" s="5">
        <v>32.024320000000003</v>
      </c>
      <c r="CO102" s="26">
        <v>70</v>
      </c>
      <c r="CP102" s="25">
        <v>22.417024000000001</v>
      </c>
      <c r="CW102" s="5">
        <f t="shared" si="7"/>
        <v>35.072320000000005</v>
      </c>
      <c r="CX102" s="2">
        <f t="shared" si="8"/>
        <v>70</v>
      </c>
      <c r="CY102" s="5">
        <v>24.550624000000003</v>
      </c>
      <c r="DA102" s="5">
        <v>18.491199999999999</v>
      </c>
      <c r="DB102" s="4">
        <v>0.18287999999999999</v>
      </c>
      <c r="DC102" s="4">
        <v>5.0800000000000005E-2</v>
      </c>
      <c r="DF102" s="4">
        <v>0.254</v>
      </c>
      <c r="DH102" s="5">
        <v>2.1031199999999997</v>
      </c>
      <c r="DI102" s="4">
        <v>4.0640000000000003E-2</v>
      </c>
      <c r="DJ102" s="5">
        <v>6.7157600000000004</v>
      </c>
      <c r="DK102" s="5">
        <v>17.210682492581601</v>
      </c>
      <c r="DL102" s="26">
        <v>70</v>
      </c>
      <c r="DM102" s="25">
        <f t="shared" si="9"/>
        <v>12.04747774480712</v>
      </c>
    </row>
    <row r="103" spans="1:117" x14ac:dyDescent="0.25">
      <c r="A103" s="2">
        <v>1950</v>
      </c>
      <c r="B103" s="15">
        <v>104.03840000000001</v>
      </c>
      <c r="C103" s="5">
        <v>72.16796875</v>
      </c>
      <c r="H103" s="4">
        <v>5.0800000000000005E-2</v>
      </c>
      <c r="I103" s="127">
        <v>70</v>
      </c>
      <c r="L103" s="4">
        <v>0.81280000000000008</v>
      </c>
      <c r="M103" s="2">
        <v>62.5</v>
      </c>
      <c r="P103" s="5">
        <v>4.6126399999999999</v>
      </c>
      <c r="Q103" s="5">
        <v>75.991189427312776</v>
      </c>
      <c r="R103" s="5">
        <v>4.7751999999999999</v>
      </c>
      <c r="S103" s="5">
        <v>70.212765957446805</v>
      </c>
      <c r="V103" s="15">
        <v>290.27119999999996</v>
      </c>
      <c r="W103" s="5">
        <v>72.453622681134064</v>
      </c>
      <c r="X103" s="5">
        <v>41.655999999999999</v>
      </c>
      <c r="Y103" s="5">
        <v>73.170731707317074</v>
      </c>
      <c r="Z103" s="5">
        <v>2.6415999999999999</v>
      </c>
      <c r="AA103" s="5">
        <v>73.07692307692308</v>
      </c>
      <c r="AF103" s="168">
        <v>34.137599999999999</v>
      </c>
      <c r="AG103" s="5">
        <v>75.595238095238088</v>
      </c>
      <c r="AJ103" s="168">
        <v>81.889600000000002</v>
      </c>
      <c r="AK103" s="5">
        <v>73.635235732009917</v>
      </c>
      <c r="AL103" s="5">
        <v>88.595200000000006</v>
      </c>
      <c r="AM103" s="5">
        <v>68.348623853211009</v>
      </c>
      <c r="AN103" s="5">
        <v>14.731999999999999</v>
      </c>
      <c r="AO103" s="5">
        <v>74.482758620689651</v>
      </c>
      <c r="AR103" s="4">
        <v>5.0800000000000005E-2</v>
      </c>
      <c r="AS103" s="5">
        <v>75</v>
      </c>
      <c r="AT103" s="5">
        <v>11.074400000000001</v>
      </c>
      <c r="AU103" s="5">
        <v>62.38532110091743</v>
      </c>
      <c r="AV103" s="15">
        <f t="shared" si="12"/>
        <v>679.33823999999981</v>
      </c>
      <c r="AW103" s="5">
        <f t="shared" si="11"/>
        <v>72.097466499162493</v>
      </c>
      <c r="AX103" s="15">
        <f t="shared" si="14"/>
        <v>489.78566000000001</v>
      </c>
      <c r="AZ103" s="5">
        <v>40.64</v>
      </c>
      <c r="BA103" s="127">
        <v>65</v>
      </c>
      <c r="BB103" s="25">
        <v>26.416</v>
      </c>
      <c r="BD103" s="5">
        <v>42.671999999999997</v>
      </c>
      <c r="BG103" s="5">
        <v>47.071280000000002</v>
      </c>
      <c r="BI103" s="5">
        <v>2.7127199999999974</v>
      </c>
      <c r="BJ103" s="4">
        <v>0.254</v>
      </c>
      <c r="BM103" s="5">
        <v>7.7520800000000003</v>
      </c>
      <c r="BN103" s="15">
        <v>327.33559120000001</v>
      </c>
      <c r="BO103" s="5">
        <v>14.416328800000031</v>
      </c>
      <c r="BP103" s="15">
        <v>274</v>
      </c>
      <c r="BS103" s="6">
        <v>716.21400000000006</v>
      </c>
      <c r="BU103" s="16">
        <v>47.536100000000005</v>
      </c>
      <c r="BV103" s="15">
        <v>151.48560000000001</v>
      </c>
      <c r="BW103" s="15">
        <v>553.05004959999997</v>
      </c>
      <c r="BX103" s="5">
        <v>11.7729</v>
      </c>
      <c r="BY103" s="5">
        <v>8.293099999999999</v>
      </c>
      <c r="CB103" s="5">
        <v>98.726650399999926</v>
      </c>
      <c r="CC103" s="15">
        <v>870.86439999999993</v>
      </c>
      <c r="CD103" s="127">
        <v>70</v>
      </c>
      <c r="CE103" s="169">
        <v>609.60507999999993</v>
      </c>
      <c r="CH103" s="5">
        <v>30.82544</v>
      </c>
      <c r="CI103" s="5">
        <v>30.82544</v>
      </c>
      <c r="CJ103" s="26">
        <v>70</v>
      </c>
      <c r="CK103" s="25">
        <f t="shared" si="13"/>
        <v>21.577808000000001</v>
      </c>
      <c r="CM103" s="5">
        <v>21.407119999999999</v>
      </c>
      <c r="CN103" s="5">
        <v>21.407119999999999</v>
      </c>
      <c r="CO103" s="26">
        <v>70</v>
      </c>
      <c r="CP103" s="25">
        <v>14.984983999999999</v>
      </c>
      <c r="CW103" s="5">
        <f t="shared" si="7"/>
        <v>52.232559999999999</v>
      </c>
      <c r="CX103" s="2">
        <f t="shared" si="8"/>
        <v>70</v>
      </c>
      <c r="CY103" s="5">
        <v>36.562792000000002</v>
      </c>
      <c r="DA103" s="5">
        <v>23.449279999999998</v>
      </c>
      <c r="DF103" s="4">
        <v>0.50800000000000001</v>
      </c>
      <c r="DH103" s="4">
        <v>0.71119999999999994</v>
      </c>
      <c r="DJ103" s="5">
        <v>13.218159999999999</v>
      </c>
      <c r="DK103" s="5">
        <v>23.73887240356083</v>
      </c>
      <c r="DL103" s="26">
        <v>70</v>
      </c>
      <c r="DM103" s="25">
        <f t="shared" si="9"/>
        <v>16.61721068249258</v>
      </c>
    </row>
    <row r="104" spans="1:117" x14ac:dyDescent="0.25">
      <c r="A104" s="2">
        <v>1951</v>
      </c>
      <c r="B104" s="168">
        <v>83.515200000000007</v>
      </c>
      <c r="C104" s="5">
        <v>71.167883211678827</v>
      </c>
      <c r="P104" s="4">
        <v>0.91439999999999999</v>
      </c>
      <c r="Q104" s="5">
        <v>77.777777777777771</v>
      </c>
      <c r="R104" s="5">
        <v>3.8607999999999998</v>
      </c>
      <c r="S104" s="5">
        <v>71.05263157894737</v>
      </c>
      <c r="T104" s="4">
        <v>5.0800000000000005E-2</v>
      </c>
      <c r="U104" s="127">
        <v>65</v>
      </c>
      <c r="V104" s="15">
        <v>285.69920000000002</v>
      </c>
      <c r="W104" s="5">
        <v>73.506401137980092</v>
      </c>
      <c r="X104" s="5">
        <v>25.8064</v>
      </c>
      <c r="Y104" s="5">
        <v>77.952755905511822</v>
      </c>
      <c r="Z104" s="5">
        <v>2.6415999999999999</v>
      </c>
      <c r="AA104" s="5">
        <v>69.230769230769226</v>
      </c>
      <c r="AF104" s="168">
        <v>21.640800000000002</v>
      </c>
      <c r="AG104" s="5">
        <v>75.586854460093903</v>
      </c>
      <c r="AJ104" s="168">
        <v>91.033599999999993</v>
      </c>
      <c r="AK104" s="5">
        <v>73.660714285714292</v>
      </c>
      <c r="AL104" s="5">
        <v>32.308799999999998</v>
      </c>
      <c r="AM104" s="5">
        <v>67.924528301886795</v>
      </c>
      <c r="AN104" s="5">
        <v>19.913600000000002</v>
      </c>
      <c r="AO104" s="5">
        <v>69.897959183673464</v>
      </c>
      <c r="AR104" s="4">
        <v>5.0800000000000005E-2</v>
      </c>
      <c r="AS104" s="127">
        <v>70</v>
      </c>
      <c r="AT104" s="5">
        <v>8.0264000000000006</v>
      </c>
      <c r="AU104" s="5">
        <v>60.759493670886073</v>
      </c>
      <c r="AV104" s="15">
        <f t="shared" si="12"/>
        <v>575.4624</v>
      </c>
      <c r="AW104" s="5">
        <f t="shared" si="11"/>
        <v>72.822651836158187</v>
      </c>
      <c r="AX104" s="15">
        <f t="shared" si="14"/>
        <v>419.06697999999994</v>
      </c>
      <c r="AZ104" s="5">
        <v>50.8</v>
      </c>
      <c r="BA104" s="127">
        <v>65</v>
      </c>
      <c r="BB104" s="25">
        <v>33.020000000000003</v>
      </c>
      <c r="BD104" s="5">
        <v>12.192</v>
      </c>
      <c r="BF104" s="4">
        <v>0.254</v>
      </c>
      <c r="BG104" s="5">
        <v>46.774608000000001</v>
      </c>
      <c r="BI104" s="5">
        <v>6.0573920000000001</v>
      </c>
      <c r="BM104" s="5">
        <v>8.5445600000000006</v>
      </c>
      <c r="BN104" s="15">
        <v>344.58452800000003</v>
      </c>
      <c r="BO104" s="5">
        <v>12.630911999999967</v>
      </c>
      <c r="BP104" s="15">
        <v>267</v>
      </c>
      <c r="BS104" s="6">
        <v>698.03800000000001</v>
      </c>
      <c r="BU104" s="16">
        <v>21.297899999999998</v>
      </c>
      <c r="BV104" s="15">
        <v>105.3211</v>
      </c>
      <c r="BW104" s="15">
        <v>276.84730000000002</v>
      </c>
      <c r="BX104" s="5">
        <v>4.6989999999999998</v>
      </c>
      <c r="BY104" s="5">
        <v>10.845800000000001</v>
      </c>
      <c r="CB104" s="5">
        <v>76.390499999999975</v>
      </c>
      <c r="CC104" s="15">
        <v>495.40160000000003</v>
      </c>
      <c r="CD104" s="127">
        <v>70</v>
      </c>
      <c r="CE104" s="169">
        <v>346.78111999999999</v>
      </c>
      <c r="CI104" s="5">
        <v>22.799040000000002</v>
      </c>
      <c r="CJ104" s="26">
        <v>70</v>
      </c>
      <c r="CK104" s="25">
        <f>CI104*CJ104/100</f>
        <v>15.959328000000001</v>
      </c>
      <c r="CN104" s="5">
        <v>38.953440000000001</v>
      </c>
      <c r="CO104" s="26">
        <v>70</v>
      </c>
      <c r="CP104" s="25">
        <v>27.267408</v>
      </c>
      <c r="CS104" s="4">
        <v>0.32512000000000002</v>
      </c>
      <c r="CT104" s="4">
        <v>27.267408</v>
      </c>
      <c r="CU104" s="38">
        <v>8.8651796889599996E-2</v>
      </c>
      <c r="CV104" s="164" t="s">
        <v>1484</v>
      </c>
      <c r="CW104" s="5">
        <f t="shared" si="7"/>
        <v>62.077600000000004</v>
      </c>
      <c r="CX104" s="5">
        <f t="shared" si="8"/>
        <v>69.776195917512268</v>
      </c>
      <c r="CY104" s="5">
        <v>43.315387796889603</v>
      </c>
      <c r="DA104" s="5">
        <v>28.68168</v>
      </c>
      <c r="DB104" s="4">
        <v>0.30480000000000002</v>
      </c>
      <c r="DF104" s="4">
        <v>9.1439999999999994E-2</v>
      </c>
      <c r="DI104" s="4">
        <v>0.254</v>
      </c>
      <c r="DJ104" s="5">
        <v>8.1889599999999998</v>
      </c>
      <c r="DK104" s="5">
        <v>22.551928783382788</v>
      </c>
      <c r="DL104" s="26">
        <v>70</v>
      </c>
      <c r="DM104" s="25">
        <f t="shared" si="9"/>
        <v>15.786350148367951</v>
      </c>
    </row>
    <row r="105" spans="1:117" x14ac:dyDescent="0.25">
      <c r="A105" s="2">
        <v>1952</v>
      </c>
      <c r="B105" s="168">
        <v>64.1096</v>
      </c>
      <c r="C105" s="5">
        <v>70.206022187004749</v>
      </c>
      <c r="R105" s="5">
        <v>2.3875999999999999</v>
      </c>
      <c r="S105" s="5">
        <v>70.212765957446805</v>
      </c>
      <c r="T105" s="5">
        <v>1.016</v>
      </c>
      <c r="U105" s="2">
        <v>45</v>
      </c>
      <c r="V105" s="15">
        <v>278.892</v>
      </c>
      <c r="W105" s="5">
        <v>73.005464480874323</v>
      </c>
      <c r="X105" s="5">
        <v>41.859200000000001</v>
      </c>
      <c r="Y105" s="5">
        <v>72.572815533980574</v>
      </c>
      <c r="Z105" s="4">
        <v>0.20320000000000002</v>
      </c>
      <c r="AA105" s="127">
        <v>72.5</v>
      </c>
      <c r="AF105" s="168">
        <v>17.0688</v>
      </c>
      <c r="AG105" s="5">
        <v>73.80952380952381</v>
      </c>
      <c r="AJ105" s="168">
        <v>81.483200000000011</v>
      </c>
      <c r="AK105" s="5">
        <v>71.945137157107226</v>
      </c>
      <c r="AL105" s="5">
        <v>48.26</v>
      </c>
      <c r="AM105" s="5">
        <v>68.84210526315789</v>
      </c>
      <c r="AN105" s="5">
        <v>6.0960000000000001</v>
      </c>
      <c r="AO105" s="5">
        <v>73.333333333333343</v>
      </c>
      <c r="AR105" s="4">
        <v>0.10160000000000001</v>
      </c>
      <c r="AS105" s="127">
        <v>70</v>
      </c>
      <c r="AT105" s="5">
        <v>11.074400000000001</v>
      </c>
      <c r="AU105" s="5">
        <v>59.633027522935777</v>
      </c>
      <c r="AV105" s="15">
        <f t="shared" si="12"/>
        <v>552.55160000000001</v>
      </c>
      <c r="AW105" s="5">
        <f t="shared" si="11"/>
        <v>71.824032361864511</v>
      </c>
      <c r="AX105" s="15">
        <f t="shared" si="14"/>
        <v>396.86484000000013</v>
      </c>
      <c r="AZ105" s="5">
        <v>52.832000000000001</v>
      </c>
      <c r="BA105" s="127">
        <v>65</v>
      </c>
      <c r="BB105" s="25">
        <v>34.340800000000002</v>
      </c>
      <c r="BD105" s="5">
        <v>16.256</v>
      </c>
      <c r="BG105" s="5">
        <v>56.293512</v>
      </c>
      <c r="BI105" s="5">
        <v>4.6664880000000011</v>
      </c>
      <c r="BJ105" s="4">
        <v>0.254</v>
      </c>
      <c r="BM105" s="5">
        <v>9.6438720000000018</v>
      </c>
      <c r="BN105" s="15">
        <v>389.60450400000002</v>
      </c>
      <c r="BO105" s="5">
        <v>9.1836240000000089</v>
      </c>
      <c r="BP105" s="15">
        <v>279</v>
      </c>
      <c r="BS105" s="6">
        <v>764.90200000000004</v>
      </c>
      <c r="BU105" s="16">
        <v>20.345399999999998</v>
      </c>
      <c r="BV105" s="15">
        <v>116.5352</v>
      </c>
      <c r="BW105" s="15">
        <v>235.81451440000001</v>
      </c>
      <c r="BX105" s="5">
        <v>20.269199999999998</v>
      </c>
      <c r="BY105" s="5">
        <v>3.556</v>
      </c>
      <c r="CB105" s="5">
        <v>82.472885599999984</v>
      </c>
      <c r="CC105" s="15">
        <v>478.9932</v>
      </c>
      <c r="CD105" s="127">
        <v>70</v>
      </c>
      <c r="CE105" s="169">
        <v>335.29523999999998</v>
      </c>
      <c r="CI105" s="5">
        <v>36.454080000000005</v>
      </c>
      <c r="CJ105" s="5">
        <v>63.684503901895198</v>
      </c>
      <c r="CK105" s="5">
        <v>23.215599999999998</v>
      </c>
      <c r="CN105" s="5">
        <v>62.697360000000003</v>
      </c>
      <c r="CO105" s="5">
        <v>68.724679954626467</v>
      </c>
      <c r="CP105" s="5">
        <v>43.088559999999994</v>
      </c>
      <c r="CS105" s="4">
        <v>0.21335999999999999</v>
      </c>
      <c r="CT105" s="5">
        <v>71.428571428571431</v>
      </c>
      <c r="CU105" s="4">
        <v>0.15240000000000001</v>
      </c>
      <c r="CV105" s="164" t="s">
        <v>1484</v>
      </c>
      <c r="CW105" s="5">
        <f t="shared" si="7"/>
        <v>99.364800000000002</v>
      </c>
      <c r="CX105" s="5">
        <f t="shared" si="8"/>
        <v>66.88139059304703</v>
      </c>
      <c r="CY105" s="5">
        <v>66.456559999999996</v>
      </c>
      <c r="DA105" s="5">
        <v>12.832080000000001</v>
      </c>
      <c r="DB105" s="5">
        <v>1.35128</v>
      </c>
      <c r="DC105" s="4">
        <v>0.60960000000000003</v>
      </c>
      <c r="DF105" s="4">
        <v>0.84327999999999992</v>
      </c>
      <c r="DG105" s="5">
        <v>1.0769600000000001</v>
      </c>
      <c r="DJ105" s="4">
        <v>0.73151999999999995</v>
      </c>
      <c r="DK105" s="5">
        <v>8.9020771513353107</v>
      </c>
      <c r="DL105" s="26">
        <v>70</v>
      </c>
      <c r="DM105" s="25">
        <f t="shared" si="9"/>
        <v>6.2314540059347179</v>
      </c>
    </row>
    <row r="106" spans="1:117" x14ac:dyDescent="0.25">
      <c r="A106" s="2">
        <v>1953</v>
      </c>
      <c r="B106" s="168">
        <v>78.8416</v>
      </c>
      <c r="C106" s="5">
        <v>71.649484536082483</v>
      </c>
      <c r="P106" s="5">
        <v>1.1176000000000001</v>
      </c>
      <c r="Q106" s="127">
        <v>72.5</v>
      </c>
      <c r="R106" s="5">
        <v>7.8231999999999999</v>
      </c>
      <c r="S106" s="5">
        <v>74.025974025974023</v>
      </c>
      <c r="T106" s="5">
        <v>1.7272000000000001</v>
      </c>
      <c r="U106" s="5">
        <v>47.058823529411768</v>
      </c>
      <c r="V106" s="15">
        <v>239.06480000000002</v>
      </c>
      <c r="W106" s="5">
        <v>73.268168295792606</v>
      </c>
      <c r="X106" s="5">
        <v>14.427199999999999</v>
      </c>
      <c r="Y106" s="5">
        <v>72.535211267605632</v>
      </c>
      <c r="AF106" s="168">
        <v>9.9568000000000012</v>
      </c>
      <c r="AG106" s="5">
        <v>73.469387755102034</v>
      </c>
      <c r="AJ106" s="168">
        <v>48.666399999999996</v>
      </c>
      <c r="AK106" s="5">
        <v>72.025052192066809</v>
      </c>
      <c r="AL106" s="5">
        <v>38.506399999999999</v>
      </c>
      <c r="AM106" s="5">
        <v>70.97625329815304</v>
      </c>
      <c r="AN106" s="5">
        <v>15.9512</v>
      </c>
      <c r="AO106" s="5">
        <v>72.611464968152873</v>
      </c>
      <c r="AT106" s="5">
        <v>24.0792</v>
      </c>
      <c r="AU106" s="5">
        <v>57.383966244725741</v>
      </c>
      <c r="AV106" s="15">
        <f t="shared" si="12"/>
        <v>480.16160000000002</v>
      </c>
      <c r="AW106" s="5">
        <f t="shared" si="11"/>
        <v>71.772640710960658</v>
      </c>
      <c r="AX106" s="15">
        <f t="shared" si="14"/>
        <v>344.62466000000006</v>
      </c>
      <c r="AZ106" s="5">
        <v>44.704000000000001</v>
      </c>
      <c r="BA106" s="127">
        <v>65</v>
      </c>
      <c r="BB106" s="25">
        <v>29.057600000000001</v>
      </c>
      <c r="BD106" s="5">
        <v>32.512</v>
      </c>
      <c r="BF106" s="4">
        <v>0.254</v>
      </c>
      <c r="BG106" s="5">
        <v>70.885710400000008</v>
      </c>
      <c r="BI106" s="5">
        <v>2.2662895999999932</v>
      </c>
      <c r="BJ106" s="4">
        <v>0.254</v>
      </c>
      <c r="BM106" s="5">
        <v>9.7617280000000015</v>
      </c>
      <c r="BN106" s="15">
        <v>413.68776800000001</v>
      </c>
      <c r="BO106" s="5">
        <v>8.3505040000000008</v>
      </c>
      <c r="BP106" s="15">
        <v>241</v>
      </c>
      <c r="BS106" s="6">
        <v>778.97199999999998</v>
      </c>
      <c r="BU106" s="16">
        <v>32.981899999999996</v>
      </c>
      <c r="BV106" s="15">
        <v>135.255</v>
      </c>
      <c r="BW106" s="15">
        <v>124.8686352</v>
      </c>
      <c r="BX106" s="5">
        <v>12.0777</v>
      </c>
      <c r="BY106" s="5">
        <v>10.6553</v>
      </c>
      <c r="CB106" s="15">
        <v>102.28102480000007</v>
      </c>
      <c r="CC106" s="15">
        <v>418.11956000000004</v>
      </c>
      <c r="CD106" s="127">
        <v>70</v>
      </c>
      <c r="CE106" s="169">
        <v>292.68369200000001</v>
      </c>
      <c r="CI106" s="5">
        <v>42.07256000000001</v>
      </c>
      <c r="CJ106" s="5">
        <v>65.708765998551058</v>
      </c>
      <c r="CK106" s="5">
        <v>27.64536</v>
      </c>
      <c r="CN106" s="5">
        <v>72.70496</v>
      </c>
      <c r="CO106" s="5">
        <v>68.362213527110114</v>
      </c>
      <c r="CP106" s="5">
        <v>49.702719999999999</v>
      </c>
      <c r="CS106" s="4">
        <v>0.30480000000000002</v>
      </c>
      <c r="CT106" s="5">
        <v>63.333333333333336</v>
      </c>
      <c r="CU106" s="4">
        <v>0.19304000000000002</v>
      </c>
      <c r="CV106" s="164" t="s">
        <v>1485</v>
      </c>
      <c r="CW106" s="15">
        <f t="shared" si="7"/>
        <v>115.08232000000001</v>
      </c>
      <c r="CX106" s="5">
        <f t="shared" si="8"/>
        <v>67.378829345810885</v>
      </c>
      <c r="CY106" s="5">
        <v>77.541120000000006</v>
      </c>
      <c r="DA106" s="5">
        <v>26.842720000000003</v>
      </c>
      <c r="DC106" s="5">
        <v>7.4879199999999999</v>
      </c>
      <c r="DG106" s="5">
        <v>2.032</v>
      </c>
      <c r="DJ106" s="5">
        <v>4.1757600000000004</v>
      </c>
      <c r="DK106" s="5">
        <v>26.112759643916913</v>
      </c>
      <c r="DL106" s="26">
        <v>70</v>
      </c>
      <c r="DM106" s="25">
        <f t="shared" si="9"/>
        <v>18.27893175074184</v>
      </c>
    </row>
    <row r="107" spans="1:117" x14ac:dyDescent="0.25">
      <c r="A107" s="2">
        <v>1954</v>
      </c>
      <c r="B107" s="168">
        <v>97.536000000000001</v>
      </c>
      <c r="C107" s="5">
        <v>71.250000000000014</v>
      </c>
      <c r="R107" s="5">
        <v>11.2776</v>
      </c>
      <c r="S107" s="5">
        <v>73.873873873873862</v>
      </c>
      <c r="V107" s="15">
        <v>150.06319999999999</v>
      </c>
      <c r="W107" s="5">
        <v>74.069058903182125</v>
      </c>
      <c r="X107" s="5">
        <v>2.1335999999999999</v>
      </c>
      <c r="Y107" s="5">
        <v>76.19047619047619</v>
      </c>
      <c r="AF107" s="168">
        <v>2.8447999999999998</v>
      </c>
      <c r="AG107" s="5">
        <v>71.428571428571431</v>
      </c>
      <c r="AJ107" s="168">
        <v>25.908000000000001</v>
      </c>
      <c r="AK107" s="5">
        <v>72.156862745098024</v>
      </c>
      <c r="AL107" s="5">
        <v>29.463999999999999</v>
      </c>
      <c r="AM107" s="5">
        <v>70.689655172413794</v>
      </c>
      <c r="AN107" s="15">
        <v>150.06319999999999</v>
      </c>
      <c r="AO107" s="5">
        <v>74.069058903182125</v>
      </c>
      <c r="AT107" s="5">
        <v>52.628799999999998</v>
      </c>
      <c r="AU107" s="5">
        <v>68.532818532818538</v>
      </c>
      <c r="AV107" s="15">
        <f t="shared" si="12"/>
        <v>521.91920000000005</v>
      </c>
      <c r="AW107" s="5">
        <f t="shared" si="11"/>
        <v>72.688339497761334</v>
      </c>
      <c r="AX107" s="15">
        <f t="shared" si="14"/>
        <v>379.37440000000004</v>
      </c>
      <c r="AZ107" s="5">
        <v>35.56</v>
      </c>
      <c r="BA107" s="127">
        <v>65</v>
      </c>
      <c r="BB107" s="25">
        <v>23.114000000000001</v>
      </c>
      <c r="BD107" s="5">
        <v>26.416</v>
      </c>
      <c r="BG107" s="5">
        <v>64.672464000000005</v>
      </c>
      <c r="BI107" s="5">
        <v>1.3675360000000012</v>
      </c>
      <c r="BJ107" s="4">
        <v>0.254</v>
      </c>
      <c r="BM107" s="5">
        <v>15.228824000000001</v>
      </c>
      <c r="BN107" s="15">
        <v>549.32071999999994</v>
      </c>
      <c r="BO107" s="5">
        <v>12.538455999999996</v>
      </c>
      <c r="BP107" s="15">
        <v>269</v>
      </c>
      <c r="BS107" s="6">
        <v>938.798</v>
      </c>
      <c r="BU107" s="16">
        <v>16.5989</v>
      </c>
      <c r="BV107" s="15">
        <v>165.81119999999999</v>
      </c>
      <c r="BW107" s="15">
        <v>697.41836639999997</v>
      </c>
      <c r="BX107" s="5">
        <v>53.644799999999996</v>
      </c>
      <c r="BY107" s="5">
        <v>11.5824</v>
      </c>
      <c r="CB107" s="15">
        <v>105.53913360000001</v>
      </c>
      <c r="CC107" s="6">
        <v>1050.5948000000001</v>
      </c>
      <c r="CD107" s="127">
        <v>70</v>
      </c>
      <c r="CE107" s="169">
        <v>735.41635999999994</v>
      </c>
      <c r="CI107" s="5">
        <v>43.535600000000002</v>
      </c>
      <c r="CJ107" s="5">
        <v>66.207701283547252</v>
      </c>
      <c r="CK107" s="5">
        <v>28.823919999999998</v>
      </c>
      <c r="CN107" s="5">
        <v>79.725520000000003</v>
      </c>
      <c r="CO107" s="5">
        <v>65.349815216006107</v>
      </c>
      <c r="CP107" s="5">
        <v>52.100479999999997</v>
      </c>
      <c r="CW107" s="15">
        <f t="shared" ref="CW107:CW119" si="15">CI107+CN107+CS107</f>
        <v>123.26112000000001</v>
      </c>
      <c r="CX107" s="5">
        <f t="shared" ref="CX107:CX161" si="16">(CJ107*CI107+CO107*CN107+CT107*CS107)/CW107</f>
        <v>65.652818991097917</v>
      </c>
      <c r="CY107" s="5">
        <v>80.924399999999991</v>
      </c>
      <c r="DA107" s="5">
        <v>15.24</v>
      </c>
      <c r="DG107" s="5">
        <v>12.68984</v>
      </c>
      <c r="DI107" s="4">
        <v>0.47752</v>
      </c>
      <c r="DJ107" s="4">
        <v>0.84327999999999992</v>
      </c>
      <c r="DK107" s="5">
        <v>21.364985163204746</v>
      </c>
      <c r="DL107" s="26">
        <v>70</v>
      </c>
      <c r="DM107" s="25">
        <f t="shared" si="9"/>
        <v>14.955489614243323</v>
      </c>
    </row>
    <row r="108" spans="1:117" x14ac:dyDescent="0.25">
      <c r="A108" s="2">
        <v>1955</v>
      </c>
      <c r="B108" s="168">
        <v>75.488799999999998</v>
      </c>
      <c r="C108" s="5">
        <v>71.736204576043065</v>
      </c>
      <c r="R108" s="5">
        <v>1.9303999999999999</v>
      </c>
      <c r="S108" s="5">
        <v>75</v>
      </c>
      <c r="T108" s="4">
        <v>1.2700000000000001E-2</v>
      </c>
      <c r="U108" s="2">
        <v>50</v>
      </c>
      <c r="V108" s="15">
        <v>176.9872</v>
      </c>
      <c r="W108" s="5">
        <v>72.675086107921928</v>
      </c>
      <c r="X108" s="5">
        <v>4.0640000000000001</v>
      </c>
      <c r="Y108" s="5">
        <v>75</v>
      </c>
      <c r="AF108" s="168">
        <v>1.3208</v>
      </c>
      <c r="AG108" s="5">
        <v>61.538461538461533</v>
      </c>
      <c r="AJ108" s="168">
        <v>56.489600000000003</v>
      </c>
      <c r="AK108" s="5">
        <v>71.402877697841731</v>
      </c>
      <c r="AL108" s="5">
        <v>18.084800000000001</v>
      </c>
      <c r="AM108" s="5">
        <v>68.539325842696627</v>
      </c>
      <c r="AN108" s="4">
        <v>0.30480000000000002</v>
      </c>
      <c r="AO108" s="5">
        <v>66.666666666666671</v>
      </c>
      <c r="AT108" s="5">
        <v>48.564799999999998</v>
      </c>
      <c r="AU108" s="5">
        <v>65.690376569037667</v>
      </c>
      <c r="AV108" s="15">
        <f t="shared" si="12"/>
        <v>383.24790000000007</v>
      </c>
      <c r="AW108" s="5">
        <f t="shared" si="11"/>
        <v>71.214832488318905</v>
      </c>
      <c r="AX108" s="15">
        <f t="shared" si="14"/>
        <v>272.92935</v>
      </c>
      <c r="AZ108" s="5">
        <v>3</v>
      </c>
      <c r="BA108" s="127">
        <v>65</v>
      </c>
      <c r="BB108" s="25">
        <v>1.95</v>
      </c>
      <c r="BD108" s="5">
        <v>18.288</v>
      </c>
      <c r="BG108" s="5">
        <v>41.372535999999997</v>
      </c>
      <c r="BI108" s="5">
        <v>1.2994640000000004</v>
      </c>
      <c r="BJ108" s="5">
        <v>13.208</v>
      </c>
      <c r="BM108" s="5">
        <v>18.623279999999998</v>
      </c>
      <c r="BN108" s="15">
        <v>461.66836800000004</v>
      </c>
      <c r="BO108" s="5">
        <v>23.644351999999969</v>
      </c>
      <c r="BP108" s="15">
        <v>260</v>
      </c>
      <c r="BS108" s="6">
        <v>838.10400000000004</v>
      </c>
      <c r="BU108" s="16">
        <v>4.8514000000000008</v>
      </c>
      <c r="BV108" s="15">
        <v>152.75559999999999</v>
      </c>
      <c r="BW108" s="15">
        <v>803.16659279999999</v>
      </c>
      <c r="BX108" s="5">
        <v>11.010900000000001</v>
      </c>
      <c r="BY108" s="5">
        <v>8.1788000000000007</v>
      </c>
      <c r="CB108" s="15">
        <v>127.22270719999995</v>
      </c>
      <c r="CC108" s="6">
        <v>1107.1859999999999</v>
      </c>
      <c r="CD108" s="127">
        <v>70</v>
      </c>
      <c r="CE108" s="169">
        <v>775.03019999999992</v>
      </c>
      <c r="CI108" s="5">
        <v>121.48312</v>
      </c>
      <c r="CJ108" s="5">
        <v>64.949402023919035</v>
      </c>
      <c r="CK108" s="5">
        <v>78.902559999999994</v>
      </c>
      <c r="CN108" s="5">
        <v>60.980319999999999</v>
      </c>
      <c r="CO108" s="5">
        <v>69.426857714095291</v>
      </c>
      <c r="CP108" s="5">
        <v>42.336719999999993</v>
      </c>
      <c r="CS108" s="4">
        <v>0.13208</v>
      </c>
      <c r="CT108" s="5">
        <v>69.230769230769226</v>
      </c>
      <c r="CU108" s="4">
        <v>9.1439999999999994E-2</v>
      </c>
      <c r="CV108" s="164" t="s">
        <v>1486</v>
      </c>
      <c r="CW108" s="15">
        <f t="shared" si="15"/>
        <v>182.59551999999999</v>
      </c>
      <c r="CX108" s="5">
        <f t="shared" si="16"/>
        <v>66.447807700868026</v>
      </c>
      <c r="CY108" s="15">
        <v>121.33072000000001</v>
      </c>
      <c r="DG108" s="5">
        <v>4.7751999999999999</v>
      </c>
      <c r="DJ108" s="5">
        <v>1.0668</v>
      </c>
      <c r="DK108" s="5">
        <v>2.9673590504451037</v>
      </c>
      <c r="DL108" s="26">
        <v>70</v>
      </c>
      <c r="DM108" s="25">
        <f t="shared" si="9"/>
        <v>2.0771513353115725</v>
      </c>
    </row>
    <row r="109" spans="1:117" x14ac:dyDescent="0.25">
      <c r="A109" s="2">
        <v>1956</v>
      </c>
      <c r="B109" s="168">
        <v>46.77664</v>
      </c>
      <c r="C109" s="5">
        <v>70.525629887054734</v>
      </c>
      <c r="L109" s="4">
        <v>2.0320000000000001E-2</v>
      </c>
      <c r="M109" s="2">
        <v>50</v>
      </c>
      <c r="P109" s="3">
        <v>1.016E-3</v>
      </c>
      <c r="Q109" s="127">
        <v>72.5</v>
      </c>
      <c r="R109" s="5">
        <v>1.13792</v>
      </c>
      <c r="S109" s="5">
        <v>72.321428571428569</v>
      </c>
      <c r="T109" s="5">
        <v>1.13792</v>
      </c>
      <c r="U109" s="5">
        <v>54.464285714285708</v>
      </c>
      <c r="V109" s="15">
        <v>183.45911999999998</v>
      </c>
      <c r="W109" s="5">
        <v>72.957855679237966</v>
      </c>
      <c r="X109" s="5">
        <v>3.6576</v>
      </c>
      <c r="Y109" s="5">
        <v>73.055555555555557</v>
      </c>
      <c r="AF109" s="168">
        <v>4.0944799999999999</v>
      </c>
      <c r="AG109" s="5">
        <v>67.741935483870961</v>
      </c>
      <c r="AJ109" s="168">
        <v>63.967359999999999</v>
      </c>
      <c r="AK109" s="5">
        <v>73.348157560355787</v>
      </c>
      <c r="AL109" s="5">
        <v>12.98448</v>
      </c>
      <c r="AM109" s="5">
        <v>70.34428794992175</v>
      </c>
      <c r="AT109" s="5">
        <v>61.88456</v>
      </c>
      <c r="AU109" s="5">
        <v>70.021342965030371</v>
      </c>
      <c r="AV109" s="15">
        <f t="shared" si="12"/>
        <v>379.12141600000001</v>
      </c>
      <c r="AW109" s="5">
        <f t="shared" si="11"/>
        <v>72.040735519936959</v>
      </c>
      <c r="AX109" s="15">
        <f t="shared" si="14"/>
        <v>273.12185659999994</v>
      </c>
      <c r="BF109" s="5">
        <v>20.32</v>
      </c>
      <c r="BG109" s="5">
        <v>85.814408</v>
      </c>
      <c r="BI109" s="5">
        <v>2.5775919999999957</v>
      </c>
      <c r="BJ109" s="5">
        <v>20.32</v>
      </c>
      <c r="BM109" s="5">
        <v>13.078968</v>
      </c>
      <c r="BN109" s="15">
        <v>568.43066400000009</v>
      </c>
      <c r="BO109" s="5">
        <v>66.698367999999846</v>
      </c>
      <c r="BP109" s="15">
        <v>222</v>
      </c>
      <c r="BS109" s="6">
        <v>999.24</v>
      </c>
      <c r="BU109" s="16">
        <v>8.2423000000000002</v>
      </c>
      <c r="BV109" s="15">
        <v>122.8852</v>
      </c>
      <c r="BW109" s="15">
        <v>682.84547199999997</v>
      </c>
      <c r="BX109" s="5">
        <v>8.0746599999999997</v>
      </c>
      <c r="BY109" s="5">
        <v>15.036800000000001</v>
      </c>
      <c r="CB109" s="5">
        <v>60.297568000000069</v>
      </c>
      <c r="CC109" s="15">
        <v>897.38200000000006</v>
      </c>
      <c r="CD109" s="127">
        <v>70</v>
      </c>
      <c r="CE109" s="169">
        <v>628.16740000000004</v>
      </c>
      <c r="CI109" s="5">
        <v>133.26872000000003</v>
      </c>
      <c r="CJ109" s="5">
        <v>63.848440954486527</v>
      </c>
      <c r="CK109" s="5">
        <v>85.09</v>
      </c>
      <c r="CN109" s="15">
        <v>230.81487999999999</v>
      </c>
      <c r="CO109" s="5">
        <v>68.971740470111811</v>
      </c>
      <c r="CP109" s="5">
        <v>159.19704000000002</v>
      </c>
      <c r="CS109" s="4">
        <v>6.096E-2</v>
      </c>
      <c r="CT109" s="5">
        <v>83.333333333333329</v>
      </c>
      <c r="CU109" s="4">
        <v>5.0800000000000005E-2</v>
      </c>
      <c r="CV109" s="164" t="s">
        <v>1487</v>
      </c>
      <c r="CW109" s="15">
        <f t="shared" si="15"/>
        <v>364.14456000000007</v>
      </c>
      <c r="CX109" s="5">
        <f t="shared" si="16"/>
        <v>67.099132278675242</v>
      </c>
      <c r="CY109" s="15">
        <v>244.33784</v>
      </c>
      <c r="DH109" s="25">
        <v>0.20320000000000002</v>
      </c>
      <c r="DJ109" s="25">
        <v>0.20320000000000002</v>
      </c>
      <c r="DK109" s="5">
        <v>1.1869436201780414</v>
      </c>
      <c r="DL109" s="26">
        <v>70</v>
      </c>
      <c r="DM109" s="25">
        <f t="shared" si="9"/>
        <v>0.83086053412462901</v>
      </c>
    </row>
    <row r="110" spans="1:117" x14ac:dyDescent="0.25">
      <c r="A110" s="2">
        <v>1957</v>
      </c>
      <c r="B110" s="168">
        <v>31.8262</v>
      </c>
      <c r="C110" s="5">
        <v>70.445331205107735</v>
      </c>
      <c r="R110" s="4">
        <v>0.16052800000000003</v>
      </c>
      <c r="S110" s="5">
        <v>67.721518987341767</v>
      </c>
      <c r="T110" s="4">
        <v>0.81381600000000009</v>
      </c>
      <c r="U110" s="5">
        <v>42.072409488139826</v>
      </c>
      <c r="V110" s="15">
        <v>140.81252000000001</v>
      </c>
      <c r="W110" s="5">
        <v>73.966593311447014</v>
      </c>
      <c r="X110" s="5">
        <v>5.9730639999999999</v>
      </c>
      <c r="Y110" s="5">
        <v>71.219595169246489</v>
      </c>
      <c r="AF110" s="168">
        <v>1.775968</v>
      </c>
      <c r="AG110" s="5">
        <v>67.505720823798626</v>
      </c>
      <c r="AJ110" s="168">
        <v>41.150032000000003</v>
      </c>
      <c r="AK110" s="5">
        <v>62.720359488420314</v>
      </c>
      <c r="AL110" s="5">
        <v>13.451840000000001</v>
      </c>
      <c r="AM110" s="5">
        <v>67.416918429003019</v>
      </c>
      <c r="AN110" s="5">
        <v>15.327376000000001</v>
      </c>
      <c r="AO110" s="5">
        <v>76.216359538645094</v>
      </c>
      <c r="AT110" s="2">
        <v>50.8</v>
      </c>
      <c r="AU110" s="5">
        <v>69.665999999999997</v>
      </c>
      <c r="AV110" s="15">
        <f t="shared" si="12"/>
        <v>302.09134400000005</v>
      </c>
      <c r="AW110" s="5">
        <f t="shared" si="11"/>
        <v>70.981455198530938</v>
      </c>
      <c r="AX110" s="15">
        <f t="shared" si="14"/>
        <v>214.428832</v>
      </c>
      <c r="AZ110" s="4">
        <v>0.50800000000000001</v>
      </c>
      <c r="BA110" s="127">
        <v>65</v>
      </c>
      <c r="BB110" s="38">
        <v>0.33020000000000005</v>
      </c>
      <c r="BF110" s="5">
        <v>14.224</v>
      </c>
      <c r="BG110" s="5">
        <v>76.504800000000003</v>
      </c>
      <c r="BI110" s="5">
        <v>3.7591999999999928</v>
      </c>
      <c r="BM110" s="5">
        <v>13.228319999999998</v>
      </c>
      <c r="BN110" s="15">
        <v>428.75200000000001</v>
      </c>
      <c r="BO110" s="5">
        <v>21.315679999999986</v>
      </c>
      <c r="BP110" s="15">
        <v>226</v>
      </c>
      <c r="BS110" s="6">
        <v>783.78399999999988</v>
      </c>
      <c r="BU110" s="16">
        <v>5.2450999999999999</v>
      </c>
      <c r="BV110" s="15">
        <v>140.48740000000001</v>
      </c>
      <c r="BW110" s="15">
        <v>832.71360000000004</v>
      </c>
      <c r="BX110" s="5">
        <v>9.9949000000000012</v>
      </c>
      <c r="BY110" s="5">
        <v>4.5339</v>
      </c>
      <c r="CB110" s="15">
        <v>180.20029999999997</v>
      </c>
      <c r="CC110" s="6">
        <v>1173.1752000000001</v>
      </c>
      <c r="CD110" s="127">
        <v>70</v>
      </c>
      <c r="CE110" s="169">
        <v>821.22264000000007</v>
      </c>
      <c r="CI110" s="5">
        <v>49.875439999999998</v>
      </c>
      <c r="CJ110" s="5">
        <v>69.179058871460597</v>
      </c>
      <c r="CK110" s="5">
        <v>34.503360000000001</v>
      </c>
      <c r="CN110" s="15">
        <v>224.69856000000001</v>
      </c>
      <c r="CO110" s="5">
        <v>67.023874118285391</v>
      </c>
      <c r="CP110" s="5">
        <v>150.60167999999999</v>
      </c>
      <c r="CW110" s="15">
        <f t="shared" si="15"/>
        <v>274.57400000000001</v>
      </c>
      <c r="CX110" s="5">
        <f t="shared" si="16"/>
        <v>67.415356151711364</v>
      </c>
      <c r="CY110" s="15">
        <v>185.10503999999997</v>
      </c>
      <c r="DJ110" s="5">
        <v>17.271999999999998</v>
      </c>
      <c r="DK110" s="5">
        <v>10.089020771513352</v>
      </c>
      <c r="DL110" s="26">
        <v>70</v>
      </c>
      <c r="DM110" s="25">
        <f t="shared" si="9"/>
        <v>7.0623145400593463</v>
      </c>
    </row>
    <row r="111" spans="1:117" x14ac:dyDescent="0.25">
      <c r="A111" s="2">
        <v>1958</v>
      </c>
      <c r="B111" s="168">
        <v>30.56128</v>
      </c>
      <c r="C111" s="5">
        <v>69.248670212765958</v>
      </c>
      <c r="R111" s="5">
        <v>1.0363200000000001</v>
      </c>
      <c r="S111" s="5">
        <v>70.588235294117652</v>
      </c>
      <c r="T111" s="5">
        <v>1.44272</v>
      </c>
      <c r="U111" s="5">
        <v>65.492957746478879</v>
      </c>
      <c r="V111" s="15">
        <v>177.1396</v>
      </c>
      <c r="W111" s="5">
        <v>73.604817895038721</v>
      </c>
      <c r="X111" s="5">
        <v>4.8260000000000005</v>
      </c>
      <c r="Y111" s="5">
        <v>71.368421052631575</v>
      </c>
      <c r="AF111" s="168">
        <v>1.8694400000000002</v>
      </c>
      <c r="AG111" s="5">
        <v>70.65217391304347</v>
      </c>
      <c r="AJ111" s="168">
        <v>31.252160000000003</v>
      </c>
      <c r="AK111" s="5">
        <v>71.293888166449932</v>
      </c>
      <c r="AL111" s="5">
        <v>26.38552</v>
      </c>
      <c r="AM111" s="5">
        <v>68.92568348093954</v>
      </c>
      <c r="AN111" s="5">
        <v>8.1889599999999998</v>
      </c>
      <c r="AO111" s="5">
        <v>76.302729528535977</v>
      </c>
      <c r="AR111" s="4">
        <v>0.19304000000000002</v>
      </c>
      <c r="AS111" s="5">
        <v>73.684210526315795</v>
      </c>
      <c r="AT111" s="5">
        <v>56.205120000000001</v>
      </c>
      <c r="AU111" s="5">
        <v>68.239334779464926</v>
      </c>
      <c r="AV111" s="15">
        <f t="shared" si="12"/>
        <v>339.10016000000002</v>
      </c>
      <c r="AW111" s="5">
        <f t="shared" si="11"/>
        <v>71.719199424736331</v>
      </c>
      <c r="AX111" s="15">
        <f t="shared" si="14"/>
        <v>243.19991999999999</v>
      </c>
      <c r="BF111" s="5">
        <v>8.1280000000000001</v>
      </c>
      <c r="BG111" s="15">
        <v>82.296000000000006</v>
      </c>
      <c r="BI111" s="5">
        <v>4.063999999999993</v>
      </c>
      <c r="BM111" s="5">
        <v>21.417279999999998</v>
      </c>
      <c r="BN111" s="15">
        <v>502.92</v>
      </c>
      <c r="BO111" s="5">
        <v>25.318720000000098</v>
      </c>
      <c r="BP111" s="15">
        <v>249</v>
      </c>
      <c r="BS111" s="6">
        <v>893.14400000000012</v>
      </c>
      <c r="BU111" s="16">
        <v>9.7155000000000005</v>
      </c>
      <c r="BV111" s="15">
        <v>157.0699424</v>
      </c>
      <c r="BW111" s="6">
        <v>1079.3857</v>
      </c>
      <c r="BX111" s="15">
        <v>121.4247</v>
      </c>
      <c r="BY111" s="5">
        <v>7.0612000000000004</v>
      </c>
      <c r="CB111" s="5">
        <v>72.025357600000007</v>
      </c>
      <c r="CC111" s="6">
        <v>1446.6824000000001</v>
      </c>
      <c r="CD111" s="127">
        <v>70</v>
      </c>
      <c r="CE111" s="115">
        <v>1012.6776800000001</v>
      </c>
      <c r="CI111" s="5">
        <v>14.467840000000001</v>
      </c>
      <c r="CJ111" s="5">
        <v>56.811797752808992</v>
      </c>
      <c r="CK111" s="5">
        <v>8.2194400000000005</v>
      </c>
      <c r="CN111" s="15">
        <v>125.94336000000001</v>
      </c>
      <c r="CO111" s="5">
        <v>68.925459825750238</v>
      </c>
      <c r="CP111" s="5">
        <v>86.807040000000001</v>
      </c>
      <c r="CW111" s="15">
        <f t="shared" si="15"/>
        <v>140.41120000000001</v>
      </c>
      <c r="CX111" s="5">
        <f t="shared" si="16"/>
        <v>67.677279305354546</v>
      </c>
      <c r="CY111" s="5">
        <v>95.026479999999992</v>
      </c>
      <c r="DA111" s="5">
        <v>3.048</v>
      </c>
      <c r="DJ111" s="25">
        <v>0.20320000000000002</v>
      </c>
      <c r="DK111" s="5">
        <v>1.7804154302670621</v>
      </c>
      <c r="DL111" s="26">
        <v>70</v>
      </c>
      <c r="DM111" s="25">
        <f t="shared" si="9"/>
        <v>1.2462908011869436</v>
      </c>
    </row>
    <row r="112" spans="1:117" x14ac:dyDescent="0.25">
      <c r="A112" s="2">
        <v>1959</v>
      </c>
      <c r="B112" s="168">
        <v>10.179304</v>
      </c>
      <c r="C112" s="5">
        <v>69.637688392055097</v>
      </c>
      <c r="P112" s="4">
        <v>0.53949600000000009</v>
      </c>
      <c r="Q112" s="5">
        <v>68.549905838041425</v>
      </c>
      <c r="R112" s="5">
        <v>2.405888</v>
      </c>
      <c r="S112" s="5">
        <v>73.479729729729726</v>
      </c>
      <c r="V112" s="15">
        <v>165.78986399999999</v>
      </c>
      <c r="W112" s="5">
        <v>72.777747136580075</v>
      </c>
      <c r="X112" s="5">
        <v>4.515104</v>
      </c>
      <c r="Y112" s="5">
        <v>74.594959495949595</v>
      </c>
      <c r="AF112" s="168">
        <v>1.795272</v>
      </c>
      <c r="AG112" s="5">
        <v>68.024900962082626</v>
      </c>
      <c r="AJ112" s="168">
        <v>20.296631999999999</v>
      </c>
      <c r="AK112" s="5">
        <v>72.438304049657106</v>
      </c>
      <c r="AL112" s="5">
        <v>5.6824880000000002</v>
      </c>
      <c r="AM112" s="5">
        <v>72.662256391918461</v>
      </c>
      <c r="AN112" s="5">
        <v>19.097752</v>
      </c>
      <c r="AO112" s="5">
        <v>75.735489705804127</v>
      </c>
      <c r="AR112" s="4">
        <v>8.0264000000000002E-2</v>
      </c>
      <c r="AS112" s="5">
        <v>67.088607594936704</v>
      </c>
      <c r="AT112" s="5">
        <v>13.399008</v>
      </c>
      <c r="AU112" s="5">
        <v>63.724598119502573</v>
      </c>
      <c r="AV112" s="15">
        <f t="shared" si="12"/>
        <v>243.78107200000002</v>
      </c>
      <c r="AW112" s="5">
        <f t="shared" si="11"/>
        <v>72.344149836210406</v>
      </c>
      <c r="AX112" s="15">
        <f t="shared" si="14"/>
        <v>176.361344</v>
      </c>
      <c r="BF112" s="5">
        <v>8.1280000000000001</v>
      </c>
      <c r="BG112" s="15">
        <v>88.391999999999996</v>
      </c>
      <c r="BI112" s="5">
        <v>7.112000000000009</v>
      </c>
      <c r="BM112" s="5">
        <v>27.310079999999999</v>
      </c>
      <c r="BN112" s="15">
        <v>558.79999999999995</v>
      </c>
      <c r="BO112" s="5">
        <v>29.585920000000101</v>
      </c>
      <c r="BP112" s="15">
        <v>182</v>
      </c>
      <c r="BS112" s="6">
        <v>901.32800000000009</v>
      </c>
      <c r="BU112" s="16">
        <v>16.4465</v>
      </c>
      <c r="BV112" s="15">
        <v>139.7521208</v>
      </c>
      <c r="BW112" s="6">
        <v>1183.7302208000001</v>
      </c>
      <c r="BX112" s="15">
        <v>155.89250000000001</v>
      </c>
      <c r="BY112" s="5">
        <v>6.4897</v>
      </c>
      <c r="CB112" s="5">
        <v>69.186958399999867</v>
      </c>
      <c r="CC112" s="6">
        <v>1571.498</v>
      </c>
      <c r="CD112" s="127">
        <v>70</v>
      </c>
      <c r="CE112" s="115">
        <v>1100.0486000000001</v>
      </c>
      <c r="CI112" s="5">
        <v>23.317200000000003</v>
      </c>
      <c r="CJ112" s="5">
        <v>65.577342047930273</v>
      </c>
      <c r="CK112" s="5">
        <v>15.290799999999999</v>
      </c>
      <c r="CN112" s="15">
        <v>230.37800000000001</v>
      </c>
      <c r="CO112" s="5">
        <v>70.174200661521496</v>
      </c>
      <c r="CP112" s="15">
        <v>161.66592</v>
      </c>
      <c r="CW112" s="15">
        <f t="shared" si="15"/>
        <v>253.69520000000003</v>
      </c>
      <c r="CX112" s="5">
        <f t="shared" si="16"/>
        <v>69.75170204245093</v>
      </c>
      <c r="CY112" s="15">
        <v>176.95671999999999</v>
      </c>
      <c r="DB112" s="5">
        <v>14.224</v>
      </c>
      <c r="DJ112" s="5">
        <v>1.016</v>
      </c>
      <c r="DK112" s="5">
        <v>8.3086053412462899</v>
      </c>
      <c r="DL112" s="26">
        <v>70</v>
      </c>
      <c r="DM112" s="25">
        <f t="shared" si="9"/>
        <v>5.8160237388724036</v>
      </c>
    </row>
    <row r="113" spans="1:117" x14ac:dyDescent="0.25">
      <c r="A113" s="2">
        <v>1960</v>
      </c>
      <c r="B113" s="168">
        <v>12.744704</v>
      </c>
      <c r="C113" s="5">
        <v>69.897959183673478</v>
      </c>
      <c r="R113" s="4">
        <v>7.0104000000000014E-2</v>
      </c>
      <c r="S113" s="5">
        <v>73.91304347826086</v>
      </c>
      <c r="T113" s="4">
        <v>6.096E-2</v>
      </c>
      <c r="U113" s="5">
        <v>48.333333333333343</v>
      </c>
      <c r="V113" s="15">
        <v>127.800608</v>
      </c>
      <c r="W113" s="5">
        <v>74.816357681177863</v>
      </c>
      <c r="X113" s="5">
        <v>8.9916</v>
      </c>
      <c r="Y113" s="5">
        <v>71.525423728813564</v>
      </c>
      <c r="AF113" s="4">
        <v>0.49377599999999999</v>
      </c>
      <c r="AG113" s="5">
        <v>69.341563786008237</v>
      </c>
      <c r="AJ113" s="168">
        <v>34.526727999999999</v>
      </c>
      <c r="AK113" s="5">
        <v>70.00853367860401</v>
      </c>
      <c r="AL113" s="5">
        <v>35.292792000000006</v>
      </c>
      <c r="AM113" s="5">
        <v>70.524224889886867</v>
      </c>
      <c r="AN113" s="5">
        <v>24.893016000000003</v>
      </c>
      <c r="AO113" s="5">
        <v>74.711236276070366</v>
      </c>
      <c r="AT113" s="5">
        <v>66.954400000000007</v>
      </c>
      <c r="AU113" s="5">
        <v>70.655538694992401</v>
      </c>
      <c r="AV113" s="15">
        <f t="shared" si="12"/>
        <v>311.828688</v>
      </c>
      <c r="AW113" s="5">
        <f t="shared" si="11"/>
        <v>72.586488899315128</v>
      </c>
      <c r="AX113" s="15">
        <f t="shared" si="14"/>
        <v>226.34549600000003</v>
      </c>
      <c r="BF113" s="5">
        <v>5.08</v>
      </c>
      <c r="BG113" s="15">
        <v>85.343999999999994</v>
      </c>
      <c r="BI113" s="5">
        <v>4.0640000000000072</v>
      </c>
      <c r="BM113" s="15">
        <v>29.463999999999999</v>
      </c>
      <c r="BN113" s="15">
        <v>556.76800000000003</v>
      </c>
      <c r="BO113" s="5">
        <v>12.192000000000007</v>
      </c>
      <c r="BP113" s="15">
        <v>202</v>
      </c>
      <c r="BS113" s="6">
        <v>894.91200000000003</v>
      </c>
      <c r="BU113" s="16">
        <v>7.4802999999999997</v>
      </c>
      <c r="BV113" s="15">
        <v>103.2256</v>
      </c>
      <c r="BW113" s="15">
        <v>942.95630559999995</v>
      </c>
      <c r="BX113" s="15">
        <v>107.696</v>
      </c>
      <c r="BY113" s="5">
        <v>14.4145</v>
      </c>
      <c r="CB113" s="5">
        <v>80.257294400000092</v>
      </c>
      <c r="CC113" s="6">
        <v>1256.03</v>
      </c>
      <c r="CD113" s="127">
        <v>70</v>
      </c>
      <c r="CE113" s="169">
        <v>879.22099999999989</v>
      </c>
      <c r="CI113" s="5">
        <v>20.462239999999998</v>
      </c>
      <c r="CJ113" s="5">
        <v>62.313803376365456</v>
      </c>
      <c r="CK113" s="5">
        <v>12.750800000000002</v>
      </c>
      <c r="CN113" s="15">
        <v>264.85088000000002</v>
      </c>
      <c r="CO113" s="5">
        <v>67.891667945373626</v>
      </c>
      <c r="CP113" s="15">
        <v>179.81168</v>
      </c>
      <c r="CW113" s="15">
        <f t="shared" si="15"/>
        <v>285.31312000000003</v>
      </c>
      <c r="CX113" s="5">
        <f t="shared" si="16"/>
        <v>67.491631650167363</v>
      </c>
      <c r="CY113" s="15">
        <v>192.56247999999999</v>
      </c>
      <c r="DB113" s="5">
        <v>40.64</v>
      </c>
      <c r="DJ113" s="5">
        <v>2.032</v>
      </c>
      <c r="DK113" s="5">
        <v>20.178041543026705</v>
      </c>
      <c r="DL113" s="26">
        <v>70</v>
      </c>
      <c r="DM113" s="25">
        <f t="shared" si="9"/>
        <v>14.124629080118693</v>
      </c>
    </row>
    <row r="114" spans="1:117" x14ac:dyDescent="0.25">
      <c r="A114" s="2">
        <v>1961</v>
      </c>
      <c r="B114" s="168">
        <v>17.283176000000001</v>
      </c>
      <c r="C114" s="5">
        <v>68.032449591440837</v>
      </c>
      <c r="R114" s="4">
        <v>0.13309600000000002</v>
      </c>
      <c r="S114" s="5">
        <v>70.992366412213741</v>
      </c>
      <c r="T114" s="4">
        <v>0.37896800000000003</v>
      </c>
      <c r="U114" s="5">
        <v>67.828418230563003</v>
      </c>
      <c r="V114" s="15">
        <v>110.863888</v>
      </c>
      <c r="W114" s="5">
        <v>73.567147491706237</v>
      </c>
      <c r="X114" s="5">
        <v>10.235184</v>
      </c>
      <c r="Y114" s="5">
        <v>75.21342068691682</v>
      </c>
      <c r="AF114" s="4">
        <v>0.79756000000000005</v>
      </c>
      <c r="AG114" s="5">
        <v>44.203821656050948</v>
      </c>
      <c r="AJ114" s="168">
        <v>19.369024</v>
      </c>
      <c r="AK114" s="5">
        <v>73.300461603021404</v>
      </c>
      <c r="AL114" s="5">
        <v>36.112704000000001</v>
      </c>
      <c r="AM114" s="5">
        <v>72.549516092730144</v>
      </c>
      <c r="AN114" s="5">
        <v>15.313151999999999</v>
      </c>
      <c r="AO114" s="5">
        <v>74.217091295116774</v>
      </c>
      <c r="AR114" s="4">
        <v>2.9464000000000001E-2</v>
      </c>
      <c r="AS114" s="5">
        <v>68.965517241379303</v>
      </c>
      <c r="AT114" s="5">
        <v>31.570168000000002</v>
      </c>
      <c r="AU114" s="5">
        <v>70.804235188105423</v>
      </c>
      <c r="AV114" s="15">
        <f t="shared" si="12"/>
        <v>242.08638400000001</v>
      </c>
      <c r="AW114" s="5">
        <f t="shared" si="11"/>
        <v>72.641580701209548</v>
      </c>
      <c r="AX114" s="15">
        <f t="shared" si="14"/>
        <v>175.85537600000004</v>
      </c>
      <c r="BF114" s="5">
        <v>6.0960000000000001</v>
      </c>
      <c r="BG114" s="15">
        <v>173.73599999999999</v>
      </c>
      <c r="BI114" s="5">
        <v>3.0480000000000018</v>
      </c>
      <c r="BM114" s="15">
        <v>10.16</v>
      </c>
      <c r="BN114" s="15">
        <v>464.31200000000001</v>
      </c>
      <c r="BO114" s="15">
        <v>137.16000000000003</v>
      </c>
      <c r="BP114" s="15">
        <v>213</v>
      </c>
      <c r="BS114" s="6">
        <v>1007.5119999999999</v>
      </c>
      <c r="BU114" s="16">
        <v>12.1031</v>
      </c>
      <c r="BV114" s="15">
        <v>145.4658</v>
      </c>
      <c r="BW114" s="6">
        <v>1519.8217</v>
      </c>
      <c r="BX114" s="15">
        <v>134.62</v>
      </c>
      <c r="BY114" s="5">
        <v>15.519400000000001</v>
      </c>
      <c r="CB114" s="5">
        <v>88.645999999999958</v>
      </c>
      <c r="CC114" s="6">
        <v>1916.1759999999999</v>
      </c>
      <c r="CD114" s="127">
        <v>70</v>
      </c>
      <c r="CE114" s="115">
        <v>1341.3232</v>
      </c>
      <c r="CI114" s="5">
        <v>19.639279999999999</v>
      </c>
      <c r="CJ114" s="5">
        <v>60.838075530263851</v>
      </c>
      <c r="CK114" s="5">
        <v>11.948160000000001</v>
      </c>
      <c r="CN114" s="15">
        <v>326.20711999999997</v>
      </c>
      <c r="CO114" s="5">
        <v>68.284174790544128</v>
      </c>
      <c r="CP114" s="15">
        <v>222.74784000000002</v>
      </c>
      <c r="CW114" s="15">
        <f t="shared" si="15"/>
        <v>345.84639999999996</v>
      </c>
      <c r="CX114" s="5">
        <f t="shared" si="16"/>
        <v>67.861339600470046</v>
      </c>
      <c r="CY114" s="15">
        <v>234.69600000000003</v>
      </c>
      <c r="DB114" s="5">
        <v>13.208</v>
      </c>
      <c r="DJ114" s="5">
        <v>1.016</v>
      </c>
      <c r="DK114" s="5">
        <v>5.3412462908011866</v>
      </c>
      <c r="DL114" s="26">
        <v>70</v>
      </c>
      <c r="DM114" s="25">
        <f t="shared" si="9"/>
        <v>3.7388724035608307</v>
      </c>
    </row>
    <row r="115" spans="1:117" x14ac:dyDescent="0.25">
      <c r="A115" s="2">
        <v>1962</v>
      </c>
      <c r="B115" s="168">
        <v>12.566903999999999</v>
      </c>
      <c r="C115" s="5">
        <v>67.863206403104542</v>
      </c>
      <c r="V115" s="15">
        <v>135.53236799999999</v>
      </c>
      <c r="W115" s="5">
        <v>73.115788842411433</v>
      </c>
      <c r="X115" s="5">
        <v>14.276832000000001</v>
      </c>
      <c r="Y115" s="5">
        <v>73.292058070025618</v>
      </c>
      <c r="AF115" s="4">
        <v>0.73761599999999994</v>
      </c>
      <c r="AG115" s="5">
        <v>71.487603305785129</v>
      </c>
      <c r="AJ115" s="168">
        <v>13.72616</v>
      </c>
      <c r="AK115" s="5">
        <v>74.863064396743155</v>
      </c>
      <c r="AL115" s="5">
        <v>32.528255999999999</v>
      </c>
      <c r="AM115" s="5">
        <v>72.841704147926052</v>
      </c>
      <c r="AN115" s="5">
        <v>36.530279999999998</v>
      </c>
      <c r="AO115" s="5">
        <v>73.700458906967043</v>
      </c>
      <c r="AT115" s="5">
        <v>51.839368000000007</v>
      </c>
      <c r="AU115" s="5">
        <v>69.239362640377863</v>
      </c>
      <c r="AV115" s="15">
        <f t="shared" si="12"/>
        <v>297.73778400000003</v>
      </c>
      <c r="AW115" s="5">
        <f t="shared" si="11"/>
        <v>72.345921671802316</v>
      </c>
      <c r="AX115" s="15">
        <f t="shared" si="14"/>
        <v>215.40114399999999</v>
      </c>
      <c r="AZ115" s="5">
        <v>11.176</v>
      </c>
      <c r="BA115" s="127">
        <v>65</v>
      </c>
      <c r="BB115" s="25">
        <v>7.2644000000000002</v>
      </c>
      <c r="BF115" s="5">
        <v>8.1280000000000001</v>
      </c>
      <c r="BG115" s="15">
        <v>241.80799999999999</v>
      </c>
      <c r="BI115" s="5">
        <v>4.0640000000000214</v>
      </c>
      <c r="BM115" s="15">
        <v>52.832000000000001</v>
      </c>
      <c r="BN115" s="15">
        <v>570.99199999999996</v>
      </c>
      <c r="BO115" s="15">
        <v>265.17600000000004</v>
      </c>
      <c r="BP115" s="15">
        <v>381</v>
      </c>
      <c r="BS115" s="6">
        <v>1524</v>
      </c>
      <c r="BU115" s="16">
        <v>71.310500000000005</v>
      </c>
      <c r="BV115" s="15">
        <v>184.45480000000001</v>
      </c>
      <c r="BW115" s="6">
        <v>1008.2642776</v>
      </c>
      <c r="BX115" s="15">
        <v>172.77080000000001</v>
      </c>
      <c r="BY115" s="5">
        <v>18.897600000000001</v>
      </c>
      <c r="CB115" s="5">
        <v>72.874022400000058</v>
      </c>
      <c r="CC115" s="6">
        <v>1528.5720000000001</v>
      </c>
      <c r="CD115" s="127">
        <v>70</v>
      </c>
      <c r="CE115" s="115">
        <v>1070.0004000000001</v>
      </c>
      <c r="CI115" s="5">
        <v>23.174959999999999</v>
      </c>
      <c r="CJ115" s="5">
        <v>59.710653222270935</v>
      </c>
      <c r="CK115" s="5">
        <v>13.837919999999999</v>
      </c>
      <c r="CN115" s="15">
        <v>449.71208000000001</v>
      </c>
      <c r="CO115" s="5">
        <v>70.00203330095114</v>
      </c>
      <c r="CP115" s="15">
        <v>314.80760000000004</v>
      </c>
      <c r="CW115" s="15">
        <f t="shared" si="15"/>
        <v>472.88704000000001</v>
      </c>
      <c r="CX115" s="5">
        <f t="shared" si="16"/>
        <v>69.497679614987973</v>
      </c>
      <c r="CY115" s="15">
        <v>328.64552000000003</v>
      </c>
      <c r="DA115" s="5">
        <v>4.0640000000000001</v>
      </c>
      <c r="DB115" s="5">
        <v>54.864000000000004</v>
      </c>
      <c r="DJ115" s="5">
        <v>3.048</v>
      </c>
      <c r="DK115" s="5">
        <v>37.982195845697326</v>
      </c>
      <c r="DL115" s="26">
        <v>70</v>
      </c>
      <c r="DM115" s="25">
        <f t="shared" si="9"/>
        <v>26.587537091988128</v>
      </c>
    </row>
    <row r="116" spans="1:117" x14ac:dyDescent="0.25">
      <c r="A116" s="2">
        <v>1963</v>
      </c>
      <c r="B116" s="168">
        <v>26.294080000000001</v>
      </c>
      <c r="C116" s="5">
        <v>68.408037094281298</v>
      </c>
      <c r="L116" s="4">
        <v>3.3528000000000002E-2</v>
      </c>
      <c r="M116" s="5">
        <v>42.424242424242429</v>
      </c>
      <c r="R116" s="5">
        <v>45.539152000000001</v>
      </c>
      <c r="S116" s="5">
        <v>69.240551514881076</v>
      </c>
      <c r="V116" s="15">
        <v>136.76782400000002</v>
      </c>
      <c r="W116" s="5">
        <v>72.756176920676893</v>
      </c>
      <c r="X116" s="5">
        <v>25.908000000000001</v>
      </c>
      <c r="Y116" s="5">
        <v>71.905882352941177</v>
      </c>
      <c r="AF116" s="168">
        <v>3.8120319999999999</v>
      </c>
      <c r="AG116" s="5">
        <v>70.788912579957369</v>
      </c>
      <c r="AJ116" s="168">
        <v>13.336015999999999</v>
      </c>
      <c r="AK116" s="5">
        <v>71.156483315556912</v>
      </c>
      <c r="AL116" s="5">
        <v>26.818336000000002</v>
      </c>
      <c r="AM116" s="5">
        <v>71.81391119866646</v>
      </c>
      <c r="AN116" s="5">
        <v>22.791927999999999</v>
      </c>
      <c r="AO116" s="5">
        <v>73.097668613203766</v>
      </c>
      <c r="AR116" s="4">
        <v>0.13614400000000002</v>
      </c>
      <c r="AS116" s="5">
        <v>73.134328358208961</v>
      </c>
      <c r="AT116" s="5">
        <v>56.088279999999997</v>
      </c>
      <c r="AU116" s="5">
        <v>67.368897744769498</v>
      </c>
      <c r="AV116" s="15">
        <f t="shared" si="12"/>
        <v>357.52532000000002</v>
      </c>
      <c r="AW116" s="5">
        <f t="shared" si="11"/>
        <v>70.949573026044703</v>
      </c>
      <c r="AX116" s="15">
        <f t="shared" si="14"/>
        <v>253.662688</v>
      </c>
      <c r="AZ116" s="5">
        <v>15.24</v>
      </c>
      <c r="BA116" s="127">
        <v>65</v>
      </c>
      <c r="BB116" s="25">
        <v>9.9060000000000006</v>
      </c>
      <c r="BF116" s="5">
        <v>17.271999999999998</v>
      </c>
      <c r="BG116" s="15">
        <v>230.63200000000001</v>
      </c>
      <c r="BI116" s="15">
        <v>130.048</v>
      </c>
      <c r="BM116" s="15">
        <v>98.552000000000007</v>
      </c>
      <c r="BN116" s="15">
        <v>487.68</v>
      </c>
      <c r="BO116" s="15">
        <v>233.68000000000006</v>
      </c>
      <c r="BP116" s="15">
        <v>255</v>
      </c>
      <c r="BS116" s="6">
        <v>1452.864</v>
      </c>
      <c r="BU116" s="16">
        <v>60.0456</v>
      </c>
      <c r="BV116" s="15">
        <v>201.3331</v>
      </c>
      <c r="BW116" s="6">
        <v>1079.9888991999999</v>
      </c>
      <c r="BX116" s="15">
        <v>207.77200000000002</v>
      </c>
      <c r="BY116" s="5">
        <v>18.3642</v>
      </c>
      <c r="CB116" s="5">
        <v>80.496200800000224</v>
      </c>
      <c r="CC116" s="6">
        <v>1648</v>
      </c>
      <c r="CD116" s="127">
        <v>70</v>
      </c>
      <c r="CE116" s="115">
        <v>1153.5999999999999</v>
      </c>
      <c r="CI116" s="5">
        <v>47.579279999999997</v>
      </c>
      <c r="CJ116" s="5">
        <v>61.114670083279961</v>
      </c>
      <c r="CK116" s="5">
        <v>29.077920000000002</v>
      </c>
      <c r="CN116" s="15">
        <v>537.73832000000004</v>
      </c>
      <c r="CO116" s="5">
        <v>68.530239764203515</v>
      </c>
      <c r="CP116" s="15">
        <v>368.51335999999998</v>
      </c>
      <c r="CS116" s="4">
        <v>0.13208</v>
      </c>
      <c r="CT116" s="5">
        <v>69.230769230769226</v>
      </c>
      <c r="CU116" s="4">
        <v>9.1439999999999994E-2</v>
      </c>
      <c r="CV116" s="164" t="s">
        <v>1487</v>
      </c>
      <c r="CW116" s="15">
        <f t="shared" si="15"/>
        <v>585.44968000000006</v>
      </c>
      <c r="CX116" s="5">
        <f t="shared" si="16"/>
        <v>67.927737188275501</v>
      </c>
      <c r="CY116" s="15">
        <v>397.68271999999996</v>
      </c>
      <c r="DA116" s="5">
        <v>1.016</v>
      </c>
      <c r="DB116" s="5">
        <v>55.88</v>
      </c>
      <c r="DJ116" s="5">
        <v>6.0960000000000001</v>
      </c>
      <c r="DK116" s="5">
        <v>33.23442136498516</v>
      </c>
      <c r="DL116" s="26">
        <v>70</v>
      </c>
      <c r="DM116" s="25">
        <f t="shared" si="9"/>
        <v>23.264094955489615</v>
      </c>
    </row>
    <row r="117" spans="1:117" x14ac:dyDescent="0.25">
      <c r="A117" s="2">
        <v>1964</v>
      </c>
      <c r="B117" s="168">
        <v>38.463727999999996</v>
      </c>
      <c r="C117" s="5">
        <v>68.175814887210109</v>
      </c>
      <c r="L117" s="4">
        <v>3.3528000000000002E-2</v>
      </c>
      <c r="M117" s="5">
        <v>75.757575757575751</v>
      </c>
      <c r="R117" s="15">
        <v>327.75550399999997</v>
      </c>
      <c r="S117" s="5">
        <v>71.205602088073562</v>
      </c>
      <c r="T117" s="4">
        <v>6.4007999999999995E-2</v>
      </c>
      <c r="U117" s="5">
        <v>36.507936507936506</v>
      </c>
      <c r="V117" s="15">
        <v>219.82988800000001</v>
      </c>
      <c r="W117" s="5">
        <v>71.349275308733269</v>
      </c>
      <c r="X117" s="5">
        <v>13.768832</v>
      </c>
      <c r="Y117" s="5">
        <v>73.671782762691848</v>
      </c>
      <c r="AF117" s="168">
        <v>2.9778959999999999</v>
      </c>
      <c r="AG117" s="5">
        <v>71.57966564312521</v>
      </c>
      <c r="AJ117" s="168">
        <v>47.806864000000004</v>
      </c>
      <c r="AK117" s="5">
        <v>71.084286139329279</v>
      </c>
      <c r="AL117" s="5">
        <v>21.430488</v>
      </c>
      <c r="AM117" s="5">
        <v>67.439434883610673</v>
      </c>
      <c r="AN117" s="5">
        <v>3.0683199999999999</v>
      </c>
      <c r="AO117" s="5">
        <v>74.370860927152322</v>
      </c>
      <c r="AT117" s="15">
        <v>377.26315199999999</v>
      </c>
      <c r="AU117" s="5">
        <v>53.513392688825334</v>
      </c>
      <c r="AV117" s="6">
        <f t="shared" si="12"/>
        <v>1052.4622079999999</v>
      </c>
      <c r="AW117" s="5">
        <f t="shared" si="11"/>
        <v>64.741362000525157</v>
      </c>
      <c r="AX117" s="15">
        <f t="shared" si="14"/>
        <v>681.37836800000002</v>
      </c>
      <c r="AZ117" s="6">
        <v>2054.3519999999999</v>
      </c>
      <c r="BA117" s="127">
        <v>65</v>
      </c>
      <c r="BB117" s="115">
        <v>1335.3288</v>
      </c>
      <c r="BF117" s="5">
        <v>14.224</v>
      </c>
      <c r="BG117" s="15">
        <v>304.8</v>
      </c>
      <c r="BI117" s="15">
        <v>170.68799999999999</v>
      </c>
      <c r="BM117" s="15">
        <v>94.488</v>
      </c>
      <c r="BN117" s="15">
        <v>428.75200000000001</v>
      </c>
      <c r="BO117" s="15">
        <v>224.53600000000006</v>
      </c>
      <c r="BP117" s="15">
        <v>218</v>
      </c>
      <c r="BS117" s="6">
        <v>1455.4880000000001</v>
      </c>
      <c r="BU117" s="16">
        <v>58.267600000000002</v>
      </c>
      <c r="BV117" s="15">
        <v>141.90980000000002</v>
      </c>
      <c r="BW117" s="6">
        <v>1618.2339999999999</v>
      </c>
      <c r="BX117" s="15">
        <v>215.93810000000002</v>
      </c>
      <c r="BY117" s="5">
        <v>13.144500000000001</v>
      </c>
      <c r="CB117" s="5">
        <v>64.505999999999858</v>
      </c>
      <c r="CC117" s="6">
        <v>2112</v>
      </c>
      <c r="CD117" s="127">
        <v>70</v>
      </c>
      <c r="CE117" s="115">
        <v>1478.4</v>
      </c>
      <c r="CI117" s="5">
        <v>58.20664</v>
      </c>
      <c r="CJ117" s="5">
        <v>66.154651771687895</v>
      </c>
      <c r="CK117" s="5">
        <v>38.506399999999999</v>
      </c>
      <c r="CN117" s="15">
        <v>588.02015999999992</v>
      </c>
      <c r="CO117" s="5">
        <v>70.469624714907752</v>
      </c>
      <c r="CP117" s="15">
        <v>414.37560000000008</v>
      </c>
      <c r="CS117" s="5">
        <v>1.0058400000000001</v>
      </c>
      <c r="CT117" s="5">
        <v>66.666666666666671</v>
      </c>
      <c r="CU117" s="4">
        <v>0.67056000000000004</v>
      </c>
      <c r="CV117" s="164" t="s">
        <v>1488</v>
      </c>
      <c r="CW117" s="15">
        <f t="shared" si="15"/>
        <v>647.23263999999995</v>
      </c>
      <c r="CX117" s="5">
        <f t="shared" si="16"/>
        <v>70.075662438779361</v>
      </c>
      <c r="CY117" s="15">
        <v>453.55256000000003</v>
      </c>
      <c r="DA117" s="25">
        <v>0.20320000000000002</v>
      </c>
      <c r="DB117" s="5">
        <v>46.736000000000004</v>
      </c>
      <c r="DJ117" s="25">
        <v>0.20320000000000002</v>
      </c>
      <c r="DK117" s="5">
        <v>27.299703264094955</v>
      </c>
      <c r="DL117" s="26">
        <v>70</v>
      </c>
      <c r="DM117" s="25">
        <f t="shared" ref="DM117:DM143" si="17">DK117*DL117/100</f>
        <v>19.109792284866469</v>
      </c>
    </row>
    <row r="118" spans="1:117" x14ac:dyDescent="0.25">
      <c r="A118" s="2">
        <v>1965</v>
      </c>
      <c r="B118" s="168">
        <v>16.396208000000001</v>
      </c>
      <c r="C118" s="5">
        <v>68.409964059982642</v>
      </c>
      <c r="R118" s="15">
        <v>421.74058400000001</v>
      </c>
      <c r="S118" s="5">
        <v>73.914656503629246</v>
      </c>
      <c r="T118" s="4">
        <v>1.524E-2</v>
      </c>
      <c r="U118" s="5">
        <v>40</v>
      </c>
      <c r="V118" s="15">
        <v>231.70184800000001</v>
      </c>
      <c r="W118" s="5">
        <v>71.825847500361746</v>
      </c>
      <c r="X118" s="5">
        <v>10.5664</v>
      </c>
      <c r="Y118" s="5">
        <v>72</v>
      </c>
      <c r="AF118" s="168">
        <v>1.8582639999999999</v>
      </c>
      <c r="AG118" s="5">
        <v>71.077091306724995</v>
      </c>
      <c r="AJ118" s="168">
        <v>49.418240000000004</v>
      </c>
      <c r="AK118" s="5">
        <v>71.120476973684205</v>
      </c>
      <c r="AL118" s="5">
        <v>2.8783280000000002</v>
      </c>
      <c r="AM118" s="5">
        <v>73.738086833745143</v>
      </c>
      <c r="AN118" s="5">
        <v>1.169416</v>
      </c>
      <c r="AO118" s="5">
        <v>72.458731537793213</v>
      </c>
      <c r="AR118" s="4">
        <v>0.12395199999999999</v>
      </c>
      <c r="AS118" s="5">
        <v>70.491803278688522</v>
      </c>
      <c r="AT118" s="6">
        <v>1626.197408</v>
      </c>
      <c r="AU118" s="5">
        <v>37.213449057471379</v>
      </c>
      <c r="AV118" s="6">
        <f t="shared" si="12"/>
        <v>2362.0658880000001</v>
      </c>
      <c r="AW118" s="5">
        <f t="shared" si="11"/>
        <v>48.333496783473301</v>
      </c>
      <c r="AX118" s="6">
        <f t="shared" si="14"/>
        <v>1141.66904</v>
      </c>
      <c r="AZ118" s="168">
        <v>11.2776</v>
      </c>
      <c r="BA118" s="127">
        <v>65</v>
      </c>
      <c r="BB118" s="25">
        <v>7.3304399999999994</v>
      </c>
      <c r="BF118" s="5">
        <v>8.3616799999999998</v>
      </c>
      <c r="BG118" s="15">
        <v>339.34399999999999</v>
      </c>
      <c r="BI118" s="5">
        <v>3.5025832919999997</v>
      </c>
      <c r="BM118" s="15">
        <v>66.040000000000006</v>
      </c>
      <c r="BN118" s="15">
        <v>442.976</v>
      </c>
      <c r="BO118" s="4">
        <v>0.61874399999999996</v>
      </c>
      <c r="BP118" s="15">
        <v>183.45099200000001</v>
      </c>
      <c r="BS118" s="6">
        <v>1044.2939992919999</v>
      </c>
      <c r="BU118" s="16">
        <v>19.1008</v>
      </c>
      <c r="BV118" s="15">
        <v>195.96100000000001</v>
      </c>
      <c r="BW118" s="6">
        <v>1239.7261464000001</v>
      </c>
      <c r="BX118" s="15">
        <v>124.6378</v>
      </c>
      <c r="BY118" s="5">
        <v>18.2118</v>
      </c>
      <c r="CB118" s="5">
        <v>97.362453599999981</v>
      </c>
      <c r="CC118" s="6">
        <v>1695</v>
      </c>
      <c r="CD118" s="127">
        <v>70</v>
      </c>
      <c r="CE118" s="115">
        <v>1186.5</v>
      </c>
      <c r="CI118" s="5">
        <v>30.21584</v>
      </c>
      <c r="CJ118" s="5">
        <v>72.15870880968393</v>
      </c>
      <c r="CK118" s="5">
        <v>21.803360000000001</v>
      </c>
      <c r="CN118" s="15">
        <v>655.70608000000004</v>
      </c>
      <c r="CO118" s="5">
        <v>69.213486628033095</v>
      </c>
      <c r="CP118" s="15">
        <v>453.83703999999994</v>
      </c>
      <c r="CS118" s="4">
        <v>0.21336000000000002</v>
      </c>
      <c r="CT118" s="5">
        <v>57.142857142857139</v>
      </c>
      <c r="CU118" s="4">
        <v>0.12192</v>
      </c>
      <c r="CV118" s="164" t="s">
        <v>1489</v>
      </c>
      <c r="CW118" s="15">
        <f t="shared" si="15"/>
        <v>686.13527999999997</v>
      </c>
      <c r="CX118" s="5">
        <f t="shared" si="16"/>
        <v>69.339434054462288</v>
      </c>
      <c r="CY118" s="15">
        <v>475.76232000000016</v>
      </c>
      <c r="DK118" s="5">
        <v>28.486646884272997</v>
      </c>
      <c r="DL118" s="26">
        <v>70</v>
      </c>
      <c r="DM118" s="25">
        <f t="shared" si="17"/>
        <v>19.940652818991097</v>
      </c>
    </row>
    <row r="119" spans="1:117" x14ac:dyDescent="0.25">
      <c r="A119" s="2">
        <v>1966</v>
      </c>
      <c r="B119" s="168">
        <v>35.718496000000002</v>
      </c>
      <c r="C119" s="5">
        <v>67.68972579360566</v>
      </c>
      <c r="R119" s="15">
        <v>388.18515200000002</v>
      </c>
      <c r="S119" s="5">
        <v>76.486630792102005</v>
      </c>
      <c r="V119" s="15">
        <v>395.77873600000004</v>
      </c>
      <c r="W119" s="5">
        <v>73.9489046223039</v>
      </c>
      <c r="AF119" s="168">
        <v>3.6322000000000001</v>
      </c>
      <c r="AG119" s="5">
        <v>70.741258741258733</v>
      </c>
      <c r="AJ119" s="168">
        <v>67.176904000000007</v>
      </c>
      <c r="AK119" s="5">
        <v>68.09540374173838</v>
      </c>
      <c r="AL119" s="15">
        <v>129.10007199999998</v>
      </c>
      <c r="AM119" s="5">
        <v>69.353962869981984</v>
      </c>
      <c r="AN119" s="5">
        <v>12.78636</v>
      </c>
      <c r="AO119" s="5">
        <v>71.958680969408007</v>
      </c>
      <c r="AT119" s="6">
        <v>1635.106712</v>
      </c>
      <c r="AU119" s="5">
        <v>39.205782185059</v>
      </c>
      <c r="AV119" s="6">
        <f t="shared" si="12"/>
        <v>2667.4846320000001</v>
      </c>
      <c r="AW119" s="5">
        <f t="shared" si="11"/>
        <v>52.553954957518194</v>
      </c>
      <c r="AX119" s="6">
        <f t="shared" si="14"/>
        <v>1401.8686720000001</v>
      </c>
      <c r="AZ119" s="168">
        <v>26.911911457860839</v>
      </c>
      <c r="BA119" s="127">
        <v>65</v>
      </c>
      <c r="BB119" s="25">
        <v>17.492742447609547</v>
      </c>
      <c r="BF119" s="5">
        <v>12.477496000000002</v>
      </c>
      <c r="BG119" s="15">
        <v>391.16</v>
      </c>
      <c r="BI119" s="5">
        <v>6.8041520000000002</v>
      </c>
      <c r="BM119" s="15">
        <v>70.103999999999999</v>
      </c>
      <c r="BN119" s="15">
        <v>409.44799999999998</v>
      </c>
      <c r="BO119" s="5">
        <v>2.9961840000000004</v>
      </c>
      <c r="BP119" s="15">
        <v>147.18893600000004</v>
      </c>
      <c r="BS119" s="6">
        <v>1040.178768</v>
      </c>
      <c r="BU119" s="16">
        <v>83.565999999999988</v>
      </c>
      <c r="BV119" s="15">
        <v>260.21030000000002</v>
      </c>
      <c r="BW119" s="6">
        <v>1676.3365000000001</v>
      </c>
      <c r="BX119" s="5">
        <v>80.772000000000006</v>
      </c>
      <c r="BY119" s="5">
        <v>95.9739</v>
      </c>
      <c r="CB119" s="5">
        <v>78.141299999999774</v>
      </c>
      <c r="CC119" s="6">
        <v>2275</v>
      </c>
      <c r="CD119" s="127">
        <v>70</v>
      </c>
      <c r="CE119" s="115">
        <v>1592.5</v>
      </c>
      <c r="CI119" s="5">
        <v>21.915120000000002</v>
      </c>
      <c r="CJ119" s="5">
        <v>70.70004636068613</v>
      </c>
      <c r="CK119" s="5">
        <v>15.494</v>
      </c>
      <c r="CN119" s="15">
        <v>572.64808000000005</v>
      </c>
      <c r="CO119" s="5">
        <v>68.507708958004372</v>
      </c>
      <c r="CP119" s="15">
        <v>392.30808000000007</v>
      </c>
      <c r="CS119" s="5">
        <v>3.8709599999999997</v>
      </c>
      <c r="CT119" s="5">
        <v>62.729658792650923</v>
      </c>
      <c r="CU119" s="5">
        <v>2.4282400000000002</v>
      </c>
      <c r="CV119" s="164" t="s">
        <v>1490</v>
      </c>
      <c r="CW119" s="15">
        <f t="shared" si="15"/>
        <v>598.43416000000002</v>
      </c>
      <c r="CX119" s="5">
        <f t="shared" si="16"/>
        <v>68.550618834994324</v>
      </c>
      <c r="CY119" s="15">
        <v>410.23032000000006</v>
      </c>
      <c r="DK119" s="5">
        <v>27.893175074183976</v>
      </c>
      <c r="DL119" s="26">
        <v>70</v>
      </c>
      <c r="DM119" s="25">
        <f t="shared" si="17"/>
        <v>19.525222551928781</v>
      </c>
    </row>
    <row r="120" spans="1:117" x14ac:dyDescent="0.25">
      <c r="A120" s="2">
        <v>1967</v>
      </c>
      <c r="B120" s="168">
        <v>29.468064000000002</v>
      </c>
      <c r="C120" s="5">
        <v>67.204523513998069</v>
      </c>
      <c r="P120" s="4">
        <v>0.43484800000000007</v>
      </c>
      <c r="Q120" s="5">
        <v>93.224299065420567</v>
      </c>
      <c r="R120" s="15">
        <v>444.69812000000002</v>
      </c>
      <c r="S120" s="5">
        <v>73.742217754372348</v>
      </c>
      <c r="T120" s="4">
        <v>5.1815999999999994E-2</v>
      </c>
      <c r="U120" s="5">
        <v>47.058823529411768</v>
      </c>
      <c r="V120" s="15">
        <v>434.874416</v>
      </c>
      <c r="W120" s="5">
        <v>72.577133164807748</v>
      </c>
      <c r="X120" s="5">
        <v>24.091391999999999</v>
      </c>
      <c r="Y120" s="5">
        <v>25.42594466936572</v>
      </c>
      <c r="AD120" s="4">
        <v>0.26517600000000002</v>
      </c>
      <c r="AE120" s="5">
        <v>41.762452107279692</v>
      </c>
      <c r="AF120" s="4">
        <v>0.74879200000000012</v>
      </c>
      <c r="AG120" s="5">
        <v>68.113975576662142</v>
      </c>
      <c r="AJ120" s="168">
        <v>68.248784000000001</v>
      </c>
      <c r="AK120" s="5">
        <v>68.858486914580041</v>
      </c>
      <c r="AL120" s="15">
        <v>205.74101599999997</v>
      </c>
      <c r="AM120" s="5">
        <v>72.4016177697888</v>
      </c>
      <c r="AN120" s="5">
        <v>28.606496</v>
      </c>
      <c r="AO120" s="5">
        <v>72.432163659610737</v>
      </c>
      <c r="AT120" s="6">
        <v>1474.877416</v>
      </c>
      <c r="AU120" s="5">
        <v>47.937693012990039</v>
      </c>
      <c r="AV120" s="6">
        <f t="shared" si="12"/>
        <v>2712.1063360000003</v>
      </c>
      <c r="AW120" s="5">
        <f t="shared" si="11"/>
        <v>58.781874251703385</v>
      </c>
      <c r="AX120" s="6">
        <f t="shared" si="14"/>
        <v>1594.2269360000003</v>
      </c>
      <c r="AZ120" s="168">
        <v>48.294928785267167</v>
      </c>
      <c r="BA120" s="127">
        <v>65</v>
      </c>
      <c r="BB120" s="25">
        <v>31.391703710423659</v>
      </c>
      <c r="BF120" s="5">
        <v>4.4785280000000007</v>
      </c>
      <c r="BG120" s="15">
        <v>832.10400000000004</v>
      </c>
      <c r="BI120" s="5">
        <v>2.5816560000000002</v>
      </c>
      <c r="BM120" s="15">
        <v>66.040000000000006</v>
      </c>
      <c r="BN120" s="15">
        <v>436.88</v>
      </c>
      <c r="BO120" s="5">
        <v>1.9446240000000001</v>
      </c>
      <c r="BP120" s="15">
        <v>209.15071200000003</v>
      </c>
      <c r="BS120" s="6">
        <v>1553.1795199999999</v>
      </c>
      <c r="BU120" s="16">
        <v>69.596000000000004</v>
      </c>
      <c r="BV120" s="15">
        <v>270.0147</v>
      </c>
      <c r="BW120" s="6">
        <v>1579.2218352</v>
      </c>
      <c r="BX120" s="5">
        <v>30.391100000000002</v>
      </c>
      <c r="BY120" s="15">
        <v>233.09580000000003</v>
      </c>
      <c r="CB120" s="15">
        <v>166.68056479999996</v>
      </c>
      <c r="CC120" s="6">
        <v>2349</v>
      </c>
      <c r="CD120" s="127">
        <v>70</v>
      </c>
      <c r="CE120" s="115">
        <v>1644.3</v>
      </c>
      <c r="CI120" s="15">
        <v>113.792</v>
      </c>
      <c r="CJ120" s="5">
        <v>68.303571428571431</v>
      </c>
      <c r="CK120" s="5">
        <v>77.724000000000004</v>
      </c>
      <c r="CN120" s="6">
        <v>1141.49632</v>
      </c>
      <c r="CO120" s="5">
        <v>69.958701224722304</v>
      </c>
      <c r="CP120" s="15">
        <v>798.57600000000002</v>
      </c>
      <c r="CS120" s="5">
        <v>3.2410399999999999</v>
      </c>
      <c r="CT120" s="5">
        <v>64.263322884012538</v>
      </c>
      <c r="CU120" s="5">
        <v>2.0827999999999998</v>
      </c>
      <c r="CV120" s="164" t="s">
        <v>1491</v>
      </c>
      <c r="CW120" s="6">
        <f t="shared" ref="CW120:CW161" si="18">CI120+CN120+CS120</f>
        <v>1258.52936</v>
      </c>
      <c r="CX120" s="5">
        <f t="shared" si="16"/>
        <v>69.794382866046135</v>
      </c>
      <c r="CY120" s="6">
        <v>878.38280000000009</v>
      </c>
      <c r="DK120" s="5">
        <v>62.314540059347181</v>
      </c>
      <c r="DL120" s="26">
        <v>70</v>
      </c>
      <c r="DM120" s="25">
        <f t="shared" si="17"/>
        <v>43.620178041543021</v>
      </c>
    </row>
    <row r="121" spans="1:117" x14ac:dyDescent="0.25">
      <c r="A121" s="2">
        <v>1968</v>
      </c>
      <c r="B121" s="15">
        <v>282.30068</v>
      </c>
      <c r="C121" s="5">
        <v>74.084684457720755</v>
      </c>
      <c r="L121" s="5">
        <v>2.2179279999999997</v>
      </c>
      <c r="M121" s="5">
        <v>74.851122308749424</v>
      </c>
      <c r="R121" s="15">
        <v>381.98755199999999</v>
      </c>
      <c r="S121" s="5">
        <v>72.24553956145671</v>
      </c>
      <c r="T121" s="4">
        <v>1.6256E-2</v>
      </c>
      <c r="U121" s="5">
        <v>56.249999999999993</v>
      </c>
      <c r="V121" s="15">
        <v>279.605232</v>
      </c>
      <c r="W121" s="5">
        <v>73.527445294728949</v>
      </c>
      <c r="X121" s="5">
        <v>97.243392</v>
      </c>
      <c r="Y121" s="5">
        <v>70.959754262788366</v>
      </c>
      <c r="AF121" s="168">
        <v>2.2606000000000002</v>
      </c>
      <c r="AG121" s="5">
        <v>71.146067415730329</v>
      </c>
      <c r="AJ121" s="168">
        <v>47.568104000000005</v>
      </c>
      <c r="AK121" s="5">
        <v>73.203186740425892</v>
      </c>
      <c r="AN121" s="5">
        <v>17.898872000000001</v>
      </c>
      <c r="AO121" s="5">
        <v>74.439461883408072</v>
      </c>
      <c r="AT121" s="6">
        <v>1400.6454080000001</v>
      </c>
      <c r="AU121" s="5">
        <v>47.115381825462002</v>
      </c>
      <c r="AV121" s="6">
        <f t="shared" si="12"/>
        <v>2511.7440240000001</v>
      </c>
      <c r="AW121" s="5">
        <f t="shared" ref="AW121" si="19">(C121*B121+E121*D121+G121*F121+I121*H121+K121*J121+M121*L121+O121*N121+Q121*P121+S121*R121+U121*T121+W121*V121+Y121*X121+AA121*Z121+AC121*AB121+AE121*AD121+AG121*AF121+AI121*AH121+AK121*AJ121+AM121*AL121+AO121*AN121+AQ121*AP121+AS121*AR121+AU121*AT121)/AV121</f>
        <v>58.56659826574748</v>
      </c>
      <c r="AX121" s="6">
        <f t="shared" si="14"/>
        <v>1471.043032</v>
      </c>
      <c r="AZ121" s="5">
        <v>93.472000000000008</v>
      </c>
      <c r="BA121" s="127">
        <v>65</v>
      </c>
      <c r="BB121" s="25">
        <v>60.756800000000005</v>
      </c>
      <c r="BE121" s="15">
        <v>693.928</v>
      </c>
      <c r="BF121" s="5">
        <v>13.579855999999999</v>
      </c>
      <c r="BG121" s="6">
        <v>1771.904</v>
      </c>
      <c r="BI121" s="5">
        <v>16.692879999999999</v>
      </c>
      <c r="BM121" s="15">
        <v>50.8</v>
      </c>
      <c r="BN121" s="15">
        <v>398.27199999999999</v>
      </c>
      <c r="BO121" s="5">
        <v>3.8211760000000004</v>
      </c>
      <c r="BP121" s="15">
        <v>172.03521600000002</v>
      </c>
      <c r="BS121" s="6">
        <v>3121.033128</v>
      </c>
      <c r="BU121" s="16">
        <v>21.056600000000003</v>
      </c>
      <c r="BV121" s="15">
        <v>307.7337</v>
      </c>
      <c r="BW121" s="6">
        <v>1064.4124000000002</v>
      </c>
      <c r="BX121" s="5">
        <v>17.018000000000001</v>
      </c>
      <c r="BY121" s="5">
        <v>88.747599999999991</v>
      </c>
      <c r="CB121" s="15">
        <v>107.03169999999977</v>
      </c>
      <c r="CC121" s="6">
        <v>1606</v>
      </c>
      <c r="CD121" s="127">
        <v>70</v>
      </c>
      <c r="CE121" s="115">
        <v>1124.2</v>
      </c>
      <c r="CI121" s="15">
        <v>334.19288</v>
      </c>
      <c r="CJ121" s="5">
        <v>68.160398869060288</v>
      </c>
      <c r="CK121" s="15">
        <v>227.78720000000001</v>
      </c>
      <c r="CN121" s="6">
        <v>1253.3071199999999</v>
      </c>
      <c r="CO121" s="5">
        <v>48.996003469604481</v>
      </c>
      <c r="CP121" s="15">
        <v>614.07039999999995</v>
      </c>
      <c r="CS121" s="4">
        <v>0.28448000000000001</v>
      </c>
      <c r="CT121" s="5">
        <v>64.285714285714278</v>
      </c>
      <c r="CU121" s="4">
        <v>0.18288000000000001</v>
      </c>
      <c r="CV121" s="164" t="s">
        <v>1492</v>
      </c>
      <c r="CW121" s="6">
        <f t="shared" si="18"/>
        <v>1587.78448</v>
      </c>
      <c r="CX121" s="5">
        <f t="shared" si="16"/>
        <v>53.032416590946909</v>
      </c>
      <c r="CY121" s="6">
        <v>842.04048000000012</v>
      </c>
      <c r="DK121" s="5">
        <v>26.706231454005934</v>
      </c>
      <c r="DL121" s="26">
        <v>70</v>
      </c>
      <c r="DM121" s="25">
        <f t="shared" si="17"/>
        <v>18.694362017804153</v>
      </c>
    </row>
    <row r="122" spans="1:117" x14ac:dyDescent="0.25">
      <c r="A122" s="2">
        <v>1969</v>
      </c>
      <c r="AT122" s="6">
        <v>1438.7393532306589</v>
      </c>
      <c r="AU122" s="5">
        <v>47.812690912731</v>
      </c>
      <c r="AV122" s="6">
        <v>1220</v>
      </c>
      <c r="AW122" s="5">
        <v>59.180327868852459</v>
      </c>
      <c r="AX122" s="2">
        <v>722</v>
      </c>
      <c r="AZ122" s="168">
        <v>16.048999999999999</v>
      </c>
      <c r="BA122" s="127">
        <v>65</v>
      </c>
      <c r="BB122" s="25">
        <v>10.431849999999999</v>
      </c>
      <c r="BE122" s="6">
        <v>1371.6</v>
      </c>
      <c r="BF122" s="5">
        <v>13.568680000000001</v>
      </c>
      <c r="BG122" s="6">
        <v>2683.2559999999999</v>
      </c>
      <c r="BH122" s="5">
        <v>4.0640000000000001</v>
      </c>
      <c r="BI122" s="5">
        <v>12.505944</v>
      </c>
      <c r="BM122" s="15">
        <v>38.608000000000004</v>
      </c>
      <c r="BN122" s="15">
        <v>408.43200000000002</v>
      </c>
      <c r="BO122" s="5">
        <v>2.0533359999999998</v>
      </c>
      <c r="BP122" s="15">
        <v>157.145736</v>
      </c>
      <c r="BS122" s="6">
        <v>4691.2336960000002</v>
      </c>
      <c r="BU122" s="16">
        <v>32.3215</v>
      </c>
      <c r="BV122" s="15">
        <v>368.14760000000001</v>
      </c>
      <c r="BW122" s="6">
        <v>1052.4285784000001</v>
      </c>
      <c r="BX122" s="5">
        <v>15.024100000000001</v>
      </c>
      <c r="BY122" s="5">
        <v>60.2361</v>
      </c>
      <c r="CB122" s="5">
        <v>97.8421215999997</v>
      </c>
      <c r="CC122" s="6">
        <v>1626</v>
      </c>
      <c r="CD122" s="127">
        <v>70</v>
      </c>
      <c r="CE122" s="115">
        <v>1138.2</v>
      </c>
      <c r="CI122" s="15">
        <v>358.15015999999997</v>
      </c>
      <c r="CJ122" s="5">
        <v>66.281807608294812</v>
      </c>
      <c r="CK122" s="15">
        <v>237.38840000000005</v>
      </c>
      <c r="CN122" s="15">
        <v>448.78752000000003</v>
      </c>
      <c r="CO122" s="5">
        <v>52.173322466720997</v>
      </c>
      <c r="CP122" s="15">
        <v>234.14736000000002</v>
      </c>
      <c r="CS122" s="4">
        <v>0.23368000000000003</v>
      </c>
      <c r="CT122" s="5">
        <v>69.565217391304344</v>
      </c>
      <c r="CU122" s="4">
        <v>0.16256000000000001</v>
      </c>
      <c r="CV122" s="164" t="s">
        <v>1487</v>
      </c>
      <c r="CW122" s="15">
        <f t="shared" si="18"/>
        <v>807.17136000000005</v>
      </c>
      <c r="CX122" s="5">
        <f t="shared" si="16"/>
        <v>58.438436170480578</v>
      </c>
      <c r="CY122" s="15">
        <v>471.69832000000002</v>
      </c>
      <c r="DK122" s="5">
        <v>29.080118694362017</v>
      </c>
      <c r="DL122" s="26">
        <v>70</v>
      </c>
      <c r="DM122" s="25">
        <f t="shared" si="17"/>
        <v>20.35608308605341</v>
      </c>
    </row>
    <row r="123" spans="1:117" x14ac:dyDescent="0.25">
      <c r="A123" s="2">
        <v>1970</v>
      </c>
      <c r="AT123" s="6">
        <v>1685.99612</v>
      </c>
      <c r="AU123" s="5">
        <v>48.51</v>
      </c>
      <c r="AV123" s="6">
        <v>2936</v>
      </c>
      <c r="AW123" s="5">
        <v>58.378746594005449</v>
      </c>
      <c r="AX123" s="6">
        <v>1714</v>
      </c>
      <c r="AZ123" s="168">
        <v>5.9740000000000002</v>
      </c>
      <c r="BA123" s="127">
        <v>65</v>
      </c>
      <c r="BB123" s="25">
        <v>3.8831000000000002</v>
      </c>
      <c r="BE123" s="6">
        <v>1861.29168</v>
      </c>
      <c r="BF123" s="5">
        <v>14.265656000000002</v>
      </c>
      <c r="BG123" s="6">
        <v>2743.2</v>
      </c>
      <c r="BH123" s="5">
        <v>3.9358182128284853</v>
      </c>
      <c r="BI123" s="5">
        <v>26.118312</v>
      </c>
      <c r="BM123" s="15">
        <v>29.463999999999999</v>
      </c>
      <c r="BN123" s="15">
        <v>408.43200000000002</v>
      </c>
      <c r="BO123" s="4">
        <v>0.53339999999999999</v>
      </c>
      <c r="BP123" s="15">
        <v>172.69256800000002</v>
      </c>
      <c r="BS123" s="6">
        <v>5259.9334342128277</v>
      </c>
      <c r="BU123" s="16">
        <v>23.977600000000002</v>
      </c>
      <c r="BV123" s="15">
        <v>117.4115</v>
      </c>
      <c r="BW123" s="6">
        <v>1323.1971504000001</v>
      </c>
      <c r="BX123" s="5">
        <v>6.35</v>
      </c>
      <c r="BY123" s="5">
        <v>41.935400000000001</v>
      </c>
      <c r="CB123" s="15">
        <v>185.12834959999986</v>
      </c>
      <c r="CC123" s="6">
        <v>1698</v>
      </c>
      <c r="CD123" s="127">
        <v>70</v>
      </c>
      <c r="CE123" s="115">
        <v>1188.5999999999999</v>
      </c>
      <c r="CI123" s="15">
        <v>408.04592000000002</v>
      </c>
      <c r="CJ123" s="5">
        <v>69.144962900253972</v>
      </c>
      <c r="CK123" s="15">
        <v>282.14319999999998</v>
      </c>
      <c r="CN123" s="15">
        <v>363.15904000000012</v>
      </c>
      <c r="CO123" s="5">
        <v>68.017009847806605</v>
      </c>
      <c r="CP123" s="15">
        <v>247.00991999999997</v>
      </c>
      <c r="CW123" s="15">
        <f t="shared" si="18"/>
        <v>771.20496000000014</v>
      </c>
      <c r="CX123" s="5">
        <f t="shared" si="16"/>
        <v>68.613811819882486</v>
      </c>
      <c r="CY123" s="15">
        <v>529.15312000000017</v>
      </c>
      <c r="DK123" s="5">
        <v>55.786350148367951</v>
      </c>
      <c r="DL123" s="26">
        <v>70</v>
      </c>
      <c r="DM123" s="25">
        <f t="shared" si="17"/>
        <v>39.050445103857562</v>
      </c>
    </row>
    <row r="124" spans="1:117" x14ac:dyDescent="0.25">
      <c r="A124" s="2">
        <v>1971</v>
      </c>
      <c r="AT124" s="6">
        <v>1712.7002408124804</v>
      </c>
      <c r="AU124" s="5">
        <v>47.754999999999995</v>
      </c>
      <c r="AV124" s="6">
        <v>3136</v>
      </c>
      <c r="AW124" s="5">
        <v>58.992346938775512</v>
      </c>
      <c r="AX124" s="6">
        <v>1850</v>
      </c>
      <c r="AZ124" s="168">
        <v>5.2439999999999998</v>
      </c>
      <c r="BA124" s="127">
        <v>65</v>
      </c>
      <c r="BB124" s="25">
        <v>3.4086000000000003</v>
      </c>
      <c r="BE124" s="6">
        <v>1658.1120000000001</v>
      </c>
      <c r="BF124" s="5">
        <v>16.474440000000001</v>
      </c>
      <c r="BG124" s="6">
        <v>3847.5920000000001</v>
      </c>
      <c r="BH124" s="5">
        <v>1.5285900262467191</v>
      </c>
      <c r="BI124" s="5">
        <v>10.620248</v>
      </c>
      <c r="BM124" s="15">
        <v>20.32</v>
      </c>
      <c r="BN124" s="15">
        <v>334.26400000000001</v>
      </c>
      <c r="BO124" s="4">
        <v>0.36880799999999997</v>
      </c>
      <c r="BP124" s="15">
        <v>121.65624639999999</v>
      </c>
      <c r="BS124" s="6">
        <v>6010.9363324262467</v>
      </c>
      <c r="BU124" s="16">
        <v>26.250899999999998</v>
      </c>
      <c r="BV124" s="15">
        <v>126.4539</v>
      </c>
      <c r="BW124" s="6">
        <v>1155.2709432000001</v>
      </c>
      <c r="BX124" s="5">
        <v>32.512</v>
      </c>
      <c r="BY124" s="15">
        <v>146.55799999999999</v>
      </c>
      <c r="CB124" s="15">
        <v>179.95425679999994</v>
      </c>
      <c r="CC124" s="6">
        <v>1667</v>
      </c>
      <c r="CD124" s="127">
        <v>70</v>
      </c>
      <c r="CE124" s="115">
        <v>1166.9000000000001</v>
      </c>
      <c r="CI124" s="15">
        <v>338.81568000000004</v>
      </c>
      <c r="CJ124" s="5">
        <v>67.980088760945179</v>
      </c>
      <c r="CK124" s="15">
        <v>230.3272</v>
      </c>
      <c r="CN124" s="15">
        <v>522.74216000000001</v>
      </c>
      <c r="CO124" s="5">
        <v>71.477716662455535</v>
      </c>
      <c r="CP124" s="15">
        <v>373.64416</v>
      </c>
      <c r="CW124" s="15">
        <f t="shared" si="18"/>
        <v>861.55784000000006</v>
      </c>
      <c r="CX124" s="5">
        <f t="shared" si="16"/>
        <v>70.102241771718994</v>
      </c>
      <c r="CY124" s="15">
        <v>603.97135999999989</v>
      </c>
      <c r="DK124" s="5">
        <v>48.071216617210681</v>
      </c>
      <c r="DL124" s="26">
        <v>70</v>
      </c>
      <c r="DM124" s="25">
        <f t="shared" si="17"/>
        <v>33.649851632047472</v>
      </c>
    </row>
    <row r="125" spans="1:117" x14ac:dyDescent="0.25">
      <c r="A125" s="2">
        <v>1972</v>
      </c>
      <c r="AT125" s="6">
        <v>2268.0980800000002</v>
      </c>
      <c r="AU125" s="5">
        <v>47</v>
      </c>
      <c r="AV125" s="6">
        <v>4166</v>
      </c>
      <c r="AW125" s="5">
        <v>59.049447911665865</v>
      </c>
      <c r="AX125" s="6">
        <v>2460</v>
      </c>
      <c r="AZ125" s="4">
        <v>0.159</v>
      </c>
      <c r="BA125" s="127">
        <v>65</v>
      </c>
      <c r="BB125" s="38">
        <v>0.10335000000000001</v>
      </c>
      <c r="BE125" s="6">
        <v>2169.16</v>
      </c>
      <c r="BF125" s="5">
        <v>11.072367999999999</v>
      </c>
      <c r="BG125" s="6">
        <v>4139</v>
      </c>
      <c r="BH125" s="4">
        <v>0.80098644578313261</v>
      </c>
      <c r="BI125" s="5">
        <v>6.8966079999999996</v>
      </c>
      <c r="BM125" s="15">
        <v>31.496000000000002</v>
      </c>
      <c r="BN125" s="15">
        <v>242.82400000000001</v>
      </c>
      <c r="BO125" s="4">
        <v>0.56997600000000004</v>
      </c>
      <c r="BP125" s="15">
        <v>130.55193600000001</v>
      </c>
      <c r="BS125" s="6">
        <v>6732.3718744457829</v>
      </c>
      <c r="BU125" s="16">
        <v>23.06</v>
      </c>
      <c r="BV125" s="15">
        <v>343.5</v>
      </c>
      <c r="BW125" s="6">
        <v>1071.96</v>
      </c>
      <c r="BX125" s="5">
        <v>86</v>
      </c>
      <c r="BY125" s="15">
        <v>206.5</v>
      </c>
      <c r="CB125" s="5">
        <v>84.980000000000018</v>
      </c>
      <c r="CC125" s="6">
        <v>1816</v>
      </c>
      <c r="CD125" s="127">
        <v>70</v>
      </c>
      <c r="CE125" s="115">
        <v>1271.2</v>
      </c>
      <c r="CI125" s="6">
        <v>1504.1981599999999</v>
      </c>
      <c r="CJ125" s="5">
        <v>70.320362577760363</v>
      </c>
      <c r="CK125" s="6">
        <v>1057.7575999999999</v>
      </c>
      <c r="CN125" s="15">
        <v>533.13584000000003</v>
      </c>
      <c r="CO125" s="5">
        <v>70.331973929946258</v>
      </c>
      <c r="CP125" s="15">
        <v>374.96496000000002</v>
      </c>
      <c r="CW125" s="6">
        <f t="shared" si="18"/>
        <v>2037.3339999999998</v>
      </c>
      <c r="CX125" s="5">
        <f t="shared" si="16"/>
        <v>70.323401072185519</v>
      </c>
      <c r="CY125" s="6">
        <v>1432.7225599999999</v>
      </c>
      <c r="DK125" s="5">
        <v>13.056379821958457</v>
      </c>
      <c r="DL125" s="26">
        <v>70</v>
      </c>
      <c r="DM125" s="25">
        <f t="shared" si="17"/>
        <v>9.1394658753709201</v>
      </c>
    </row>
    <row r="126" spans="1:117" x14ac:dyDescent="0.25">
      <c r="A126" s="2">
        <v>1973</v>
      </c>
      <c r="AT126" s="6">
        <v>3423.7</v>
      </c>
      <c r="AU126" s="5">
        <v>48.281099395390953</v>
      </c>
      <c r="AV126" s="6">
        <v>5265</v>
      </c>
      <c r="AW126" s="5">
        <v>56.942070275403609</v>
      </c>
      <c r="AX126" s="6">
        <v>2998</v>
      </c>
      <c r="AZ126" s="4">
        <v>9.9000000000000005E-2</v>
      </c>
      <c r="BA126" s="127">
        <v>65</v>
      </c>
      <c r="BB126" s="72">
        <v>6.4350000000000004E-2</v>
      </c>
      <c r="BE126" s="6">
        <v>1675</v>
      </c>
      <c r="BF126" s="15">
        <v>114.431</v>
      </c>
      <c r="BG126" s="6">
        <v>3573</v>
      </c>
      <c r="BH126" s="2">
        <v>8.8999999999999996E-2</v>
      </c>
      <c r="BI126" s="5">
        <v>2.286</v>
      </c>
      <c r="BM126" s="2">
        <v>25</v>
      </c>
      <c r="BN126" s="2">
        <v>190</v>
      </c>
      <c r="BO126" s="2">
        <v>0.27</v>
      </c>
      <c r="BP126" s="15">
        <v>127.48600000000002</v>
      </c>
      <c r="BS126" s="6">
        <v>5707.5620000000008</v>
      </c>
      <c r="BU126" s="16">
        <v>18.739999999999998</v>
      </c>
      <c r="BV126" s="15">
        <v>678.19</v>
      </c>
      <c r="BW126" s="6">
        <v>1295.21</v>
      </c>
      <c r="BX126" s="15">
        <v>235.7</v>
      </c>
      <c r="BY126" s="15">
        <v>461.98390000000001</v>
      </c>
      <c r="CC126" s="6">
        <v>2689.8239000000003</v>
      </c>
      <c r="CD126" s="127">
        <v>70</v>
      </c>
      <c r="CE126" s="115">
        <v>1882.8767300000002</v>
      </c>
      <c r="CI126" s="15">
        <v>878.83</v>
      </c>
      <c r="CJ126" s="5">
        <v>71.665737400862511</v>
      </c>
      <c r="CK126" s="15">
        <v>629.82000000000005</v>
      </c>
      <c r="CN126" s="15">
        <v>336.7</v>
      </c>
      <c r="CO126" s="5">
        <v>70.594000594000605</v>
      </c>
      <c r="CP126" s="15">
        <v>237.69000000000003</v>
      </c>
      <c r="CW126" s="6">
        <f t="shared" si="18"/>
        <v>1215.53</v>
      </c>
      <c r="CX126" s="5">
        <f t="shared" si="16"/>
        <v>71.368867901244741</v>
      </c>
      <c r="CY126" s="6">
        <v>867.5100000000001</v>
      </c>
      <c r="DK126" s="5">
        <v>9.4955489614243316</v>
      </c>
      <c r="DL126" s="26">
        <v>70</v>
      </c>
      <c r="DM126" s="25">
        <f t="shared" si="17"/>
        <v>6.6468842729970321</v>
      </c>
    </row>
    <row r="127" spans="1:117" x14ac:dyDescent="0.25">
      <c r="A127" s="2">
        <v>1974</v>
      </c>
      <c r="AT127" s="6">
        <v>3083.4929999999999</v>
      </c>
      <c r="AU127" s="5">
        <v>46.58711078637117</v>
      </c>
      <c r="AV127" s="6">
        <v>4157</v>
      </c>
      <c r="AW127" s="5">
        <v>53.740678373827279</v>
      </c>
      <c r="AX127" s="6">
        <v>2234</v>
      </c>
      <c r="BE127" s="6">
        <v>1595</v>
      </c>
      <c r="BF127" s="5">
        <v>70.38</v>
      </c>
      <c r="BG127" s="6">
        <v>3878</v>
      </c>
      <c r="BI127" s="4">
        <v>0.27700000000000002</v>
      </c>
      <c r="BM127" s="2">
        <v>42</v>
      </c>
      <c r="BN127" s="2">
        <v>168</v>
      </c>
      <c r="BO127" s="5">
        <v>1.2210000000000001</v>
      </c>
      <c r="BP127" s="5">
        <v>87.004000000000005</v>
      </c>
      <c r="BS127" s="6">
        <v>5841.8819999999996</v>
      </c>
      <c r="BU127" s="16">
        <v>43.34</v>
      </c>
      <c r="BV127" s="15">
        <v>947.452</v>
      </c>
      <c r="BW127" s="6">
        <v>1067.077</v>
      </c>
      <c r="BX127" s="5">
        <v>58.15</v>
      </c>
      <c r="BY127" s="15">
        <v>187.1</v>
      </c>
      <c r="CB127" s="5">
        <v>52.880999999999858</v>
      </c>
      <c r="CC127" s="6">
        <v>2356</v>
      </c>
      <c r="CD127" s="127">
        <v>70</v>
      </c>
      <c r="CE127" s="115">
        <v>1649.2</v>
      </c>
      <c r="CI127" s="15">
        <v>749.67000000000007</v>
      </c>
      <c r="CJ127" s="5">
        <v>68.84896020915869</v>
      </c>
      <c r="CK127" s="15">
        <v>516.14</v>
      </c>
      <c r="CN127" s="15">
        <v>130.78</v>
      </c>
      <c r="CO127" s="5">
        <v>70.981801498700108</v>
      </c>
      <c r="CP127" s="5">
        <v>92.83</v>
      </c>
      <c r="CW127" s="15">
        <f t="shared" si="18"/>
        <v>880.45</v>
      </c>
      <c r="CX127" s="5">
        <f t="shared" si="16"/>
        <v>69.165767505252987</v>
      </c>
      <c r="CY127" s="15">
        <v>608.96999999999991</v>
      </c>
      <c r="DK127" s="5">
        <v>1.7804154302670621</v>
      </c>
      <c r="DL127" s="26">
        <v>70</v>
      </c>
      <c r="DM127" s="25">
        <f t="shared" si="17"/>
        <v>1.2462908011869436</v>
      </c>
    </row>
    <row r="128" spans="1:117" x14ac:dyDescent="0.25">
      <c r="A128" s="2">
        <v>1975</v>
      </c>
      <c r="AT128" s="6">
        <v>2935.96</v>
      </c>
      <c r="AU128" s="5">
        <v>44.653196910039647</v>
      </c>
      <c r="AV128" s="6">
        <v>3475</v>
      </c>
      <c r="AW128" s="5">
        <v>53.352517985611513</v>
      </c>
      <c r="AX128" s="6">
        <v>1854</v>
      </c>
      <c r="AZ128" s="2">
        <v>4.5999999999999999E-2</v>
      </c>
      <c r="BA128" s="127">
        <v>65</v>
      </c>
      <c r="BB128" s="72">
        <v>2.9899999999999996E-2</v>
      </c>
      <c r="BE128" s="6">
        <v>1409</v>
      </c>
      <c r="BF128" s="15">
        <v>265.63900000000001</v>
      </c>
      <c r="BG128" s="6">
        <v>3548</v>
      </c>
      <c r="BH128" s="2">
        <v>14</v>
      </c>
      <c r="BI128" s="4">
        <v>0.79500000000000004</v>
      </c>
      <c r="BM128" s="2">
        <v>43</v>
      </c>
      <c r="BN128" s="2">
        <v>138</v>
      </c>
      <c r="BO128" s="4">
        <v>0.42800000000000005</v>
      </c>
      <c r="BP128" s="5">
        <v>98.924000000000007</v>
      </c>
      <c r="BS128" s="6">
        <v>5517.7860000000001</v>
      </c>
      <c r="BU128" s="16">
        <v>25.61</v>
      </c>
      <c r="BV128" s="15">
        <v>836.83900000000006</v>
      </c>
      <c r="BW128" s="6">
        <v>1281.085</v>
      </c>
      <c r="BX128" s="15">
        <v>217.1</v>
      </c>
      <c r="BY128" s="15">
        <v>150.04</v>
      </c>
      <c r="CB128" s="5">
        <v>72.326000000000022</v>
      </c>
      <c r="CC128" s="6">
        <v>2583</v>
      </c>
      <c r="CD128" s="127">
        <v>70</v>
      </c>
      <c r="CE128" s="115">
        <v>1808.1</v>
      </c>
      <c r="CI128" s="15">
        <v>624.18000000000006</v>
      </c>
      <c r="CJ128" s="5">
        <v>68.98651030151558</v>
      </c>
      <c r="CK128" s="15">
        <v>430.6</v>
      </c>
      <c r="CN128" s="15">
        <v>343.07000000000005</v>
      </c>
      <c r="CO128" s="5">
        <v>66.018596787827533</v>
      </c>
      <c r="CP128" s="15">
        <v>226.48999999999998</v>
      </c>
      <c r="CW128" s="15">
        <f t="shared" si="18"/>
        <v>967.25000000000011</v>
      </c>
      <c r="CX128" s="5">
        <f t="shared" si="16"/>
        <v>67.933833031791153</v>
      </c>
      <c r="CY128" s="15">
        <v>657.09</v>
      </c>
      <c r="DK128" s="5">
        <v>20.178041543026705</v>
      </c>
      <c r="DL128" s="26">
        <v>70</v>
      </c>
      <c r="DM128" s="25">
        <f t="shared" si="17"/>
        <v>14.124629080118693</v>
      </c>
    </row>
    <row r="129" spans="1:117" x14ac:dyDescent="0.25">
      <c r="A129" s="2">
        <v>1976</v>
      </c>
      <c r="AT129" s="6">
        <v>2265</v>
      </c>
      <c r="AU129" s="5">
        <v>45</v>
      </c>
      <c r="AV129" s="6">
        <v>2787</v>
      </c>
      <c r="AW129" s="5">
        <v>52.529601722282024</v>
      </c>
      <c r="AX129" s="6">
        <v>1464</v>
      </c>
      <c r="AZ129" s="5">
        <v>2.8570000000000002</v>
      </c>
      <c r="BA129" s="2">
        <v>72</v>
      </c>
      <c r="BB129" s="5">
        <v>2.0570400000000002</v>
      </c>
      <c r="BE129" s="6">
        <v>1644</v>
      </c>
      <c r="BF129" s="15">
        <v>110.13000000000001</v>
      </c>
      <c r="BG129" s="6">
        <v>4525.5</v>
      </c>
      <c r="BH129" s="2">
        <v>75</v>
      </c>
      <c r="BI129" s="5">
        <v>1.266</v>
      </c>
      <c r="BM129" s="2">
        <v>11</v>
      </c>
      <c r="BN129" s="2">
        <v>117</v>
      </c>
      <c r="BO129" s="4">
        <v>0.33400000000000002</v>
      </c>
      <c r="BP129" s="5">
        <v>82.875000000000014</v>
      </c>
      <c r="BS129" s="6">
        <v>6567.1049999999996</v>
      </c>
      <c r="BU129" s="2">
        <v>29.6</v>
      </c>
      <c r="BV129" s="15">
        <v>631.92399999999998</v>
      </c>
      <c r="BW129" s="6">
        <v>1175.492</v>
      </c>
      <c r="BX129" s="15">
        <v>372.9</v>
      </c>
      <c r="BY129" s="15">
        <v>168.1001</v>
      </c>
      <c r="CB129" s="5">
        <v>10.983899999999721</v>
      </c>
      <c r="CC129" s="6">
        <v>2389</v>
      </c>
      <c r="CD129" s="127">
        <v>70</v>
      </c>
      <c r="CE129" s="115">
        <v>1672.3</v>
      </c>
      <c r="CI129" s="2">
        <v>563</v>
      </c>
      <c r="CJ129" s="5">
        <v>72.291296625222031</v>
      </c>
      <c r="CK129" s="2">
        <v>407</v>
      </c>
      <c r="CN129" s="2">
        <v>39</v>
      </c>
      <c r="CO129" s="5">
        <v>71.794871794871796</v>
      </c>
      <c r="CP129" s="2">
        <v>28</v>
      </c>
      <c r="CW129" s="15">
        <f t="shared" si="18"/>
        <v>602</v>
      </c>
      <c r="CX129" s="5">
        <f t="shared" si="16"/>
        <v>72.259136212624597</v>
      </c>
      <c r="CY129" s="15">
        <v>435.00000000000006</v>
      </c>
      <c r="DK129" s="5">
        <v>18.397626112759642</v>
      </c>
      <c r="DL129" s="26">
        <v>70</v>
      </c>
      <c r="DM129" s="25">
        <f t="shared" si="17"/>
        <v>12.878338278931748</v>
      </c>
    </row>
    <row r="130" spans="1:117" x14ac:dyDescent="0.25">
      <c r="A130" s="2">
        <v>1977</v>
      </c>
      <c r="AT130" s="6">
        <v>2361.7021276595747</v>
      </c>
      <c r="AU130" s="5">
        <v>47</v>
      </c>
      <c r="AV130" s="6">
        <v>2700</v>
      </c>
      <c r="AW130" s="5">
        <v>52.333333333333336</v>
      </c>
      <c r="AX130" s="6">
        <v>1413</v>
      </c>
      <c r="AZ130" s="5">
        <v>2.1139999999999999</v>
      </c>
      <c r="BA130" s="127">
        <v>65</v>
      </c>
      <c r="BB130" s="25">
        <v>1.3740999999999999</v>
      </c>
      <c r="BE130" s="6">
        <v>1465</v>
      </c>
      <c r="BF130" s="2">
        <v>13</v>
      </c>
      <c r="BG130" s="6">
        <v>4871.6650000000009</v>
      </c>
      <c r="BH130" s="2">
        <v>63.5</v>
      </c>
      <c r="BI130" s="5">
        <v>3.149</v>
      </c>
      <c r="BM130" s="15">
        <v>11.612903225806452</v>
      </c>
      <c r="BN130" s="2">
        <v>127</v>
      </c>
      <c r="BO130" s="4">
        <v>0.22600000000000001</v>
      </c>
      <c r="BP130" s="5">
        <v>85.820000000000022</v>
      </c>
      <c r="BS130" s="6">
        <v>6640.9729032258074</v>
      </c>
      <c r="BU130" s="16">
        <v>22.277999999999999</v>
      </c>
      <c r="BV130" s="15">
        <v>704.90099999999995</v>
      </c>
      <c r="BW130" s="6">
        <v>1187.3320000000001</v>
      </c>
      <c r="BX130" s="2">
        <v>445</v>
      </c>
      <c r="BY130" s="15">
        <v>153.8372</v>
      </c>
      <c r="CB130" s="15">
        <v>338.65180000000009</v>
      </c>
      <c r="CC130" s="6">
        <v>2852</v>
      </c>
      <c r="CD130" s="127">
        <v>70</v>
      </c>
      <c r="CE130" s="115">
        <v>1996.4</v>
      </c>
      <c r="CI130" s="17">
        <v>480</v>
      </c>
      <c r="CJ130" s="5">
        <v>72.5</v>
      </c>
      <c r="CK130" s="2">
        <v>348</v>
      </c>
      <c r="CN130" s="15">
        <v>156.39000000000001</v>
      </c>
      <c r="CO130" s="5">
        <v>71.807660336338628</v>
      </c>
      <c r="CP130" s="15">
        <v>112.3</v>
      </c>
      <c r="CW130" s="15">
        <f t="shared" si="18"/>
        <v>636.39</v>
      </c>
      <c r="CX130" s="5">
        <f t="shared" si="16"/>
        <v>72.329860620060032</v>
      </c>
      <c r="CY130" s="15">
        <v>460.3</v>
      </c>
      <c r="DK130" s="5">
        <v>20.771513353115726</v>
      </c>
      <c r="DL130" s="26">
        <v>70</v>
      </c>
      <c r="DM130" s="25">
        <f t="shared" si="17"/>
        <v>14.540059347181009</v>
      </c>
    </row>
    <row r="131" spans="1:117" x14ac:dyDescent="0.25">
      <c r="A131" s="2">
        <v>1978</v>
      </c>
      <c r="AT131" s="6">
        <v>3499.795918367347</v>
      </c>
      <c r="AU131" s="5">
        <v>49</v>
      </c>
      <c r="AV131" s="6">
        <v>4059</v>
      </c>
      <c r="AW131" s="5">
        <v>54.422271495442224</v>
      </c>
      <c r="AX131" s="6">
        <v>2209</v>
      </c>
      <c r="AZ131" s="5">
        <v>1.774</v>
      </c>
      <c r="BA131" s="127">
        <v>65</v>
      </c>
      <c r="BB131" s="25">
        <v>1.1531</v>
      </c>
      <c r="BE131" s="6">
        <v>1241.8</v>
      </c>
      <c r="BF131" s="4">
        <v>0.17300000000000001</v>
      </c>
      <c r="BG131" s="6">
        <v>5761.46</v>
      </c>
      <c r="BH131" s="2">
        <v>12.8</v>
      </c>
      <c r="BI131" s="5">
        <v>11.398000000000001</v>
      </c>
      <c r="BM131" s="15">
        <v>8.4870000000000001</v>
      </c>
      <c r="BN131" s="15">
        <v>105.4</v>
      </c>
      <c r="BO131" s="4">
        <v>0.79299999999999993</v>
      </c>
      <c r="BP131" s="15">
        <v>113.77100000000002</v>
      </c>
      <c r="BS131" s="6">
        <v>7256.0819999999994</v>
      </c>
      <c r="BU131" s="16">
        <v>36.558</v>
      </c>
      <c r="BV131" s="15">
        <v>429.23270000000002</v>
      </c>
      <c r="BW131" s="6">
        <v>1246.2828</v>
      </c>
      <c r="BX131" s="15">
        <v>390.06</v>
      </c>
      <c r="BY131" s="15">
        <v>471.11489999999998</v>
      </c>
      <c r="CB131" s="15">
        <v>219.75160000000005</v>
      </c>
      <c r="CC131" s="6">
        <v>2793</v>
      </c>
      <c r="CD131" s="127">
        <v>67.5</v>
      </c>
      <c r="CE131" s="115">
        <v>1885.2750000000001</v>
      </c>
      <c r="CI131" s="15">
        <v>565.33000000000004</v>
      </c>
      <c r="CJ131" s="5">
        <v>72.269294040648816</v>
      </c>
      <c r="CK131" s="15">
        <v>408.56</v>
      </c>
      <c r="CN131" s="15">
        <v>127.00699999999999</v>
      </c>
      <c r="CO131" s="5">
        <v>69.788279386175574</v>
      </c>
      <c r="CP131" s="5">
        <v>88.635999999999996</v>
      </c>
      <c r="CW131" s="15">
        <f t="shared" si="18"/>
        <v>692.33699999999999</v>
      </c>
      <c r="CX131" s="5">
        <f t="shared" si="16"/>
        <v>71.814159867232291</v>
      </c>
      <c r="CY131" s="15">
        <v>497.19599999999997</v>
      </c>
      <c r="DK131" s="5">
        <v>8.3086053412462899</v>
      </c>
      <c r="DL131" s="26">
        <v>70</v>
      </c>
      <c r="DM131" s="25">
        <f t="shared" si="17"/>
        <v>5.8160237388724036</v>
      </c>
    </row>
    <row r="132" spans="1:117" x14ac:dyDescent="0.25">
      <c r="A132" s="2">
        <v>1979</v>
      </c>
      <c r="AT132" s="6">
        <v>3817.5</v>
      </c>
      <c r="AU132" s="5">
        <v>51.5</v>
      </c>
      <c r="AV132" s="6">
        <v>4639</v>
      </c>
      <c r="AW132" s="5">
        <v>55.787885320112096</v>
      </c>
      <c r="AX132" s="6">
        <v>2588</v>
      </c>
      <c r="AZ132" s="4">
        <v>0.496</v>
      </c>
      <c r="BA132" s="127">
        <v>65</v>
      </c>
      <c r="BB132" s="38">
        <v>0.32240000000000002</v>
      </c>
      <c r="BE132" s="6">
        <v>1105.94</v>
      </c>
      <c r="BF132" s="4">
        <v>0.24399999999999999</v>
      </c>
      <c r="BG132" s="6">
        <v>5336.53</v>
      </c>
      <c r="BI132" s="5">
        <v>28.253999999999998</v>
      </c>
      <c r="BM132" s="15">
        <v>5.8225499999999997</v>
      </c>
      <c r="BN132" s="15">
        <v>108.69745</v>
      </c>
      <c r="BO132" s="5">
        <v>1.4570000000000001</v>
      </c>
      <c r="BP132" s="15">
        <v>144.32050000000004</v>
      </c>
      <c r="BS132" s="6">
        <v>6731.2654999999995</v>
      </c>
      <c r="BU132" s="16">
        <v>43.737000000000002</v>
      </c>
      <c r="BV132" s="15">
        <v>996.34820000000002</v>
      </c>
      <c r="BW132" s="6">
        <v>1066.6084000000001</v>
      </c>
      <c r="BX132" s="2">
        <v>322</v>
      </c>
      <c r="BY132" s="15">
        <v>735.69</v>
      </c>
      <c r="CB132" s="15">
        <v>533.61639999999989</v>
      </c>
      <c r="CC132" s="6">
        <v>3698</v>
      </c>
      <c r="CD132" s="127">
        <v>65</v>
      </c>
      <c r="CE132" s="115">
        <v>2403.6999999999998</v>
      </c>
      <c r="CI132" s="15">
        <v>533.66</v>
      </c>
      <c r="CJ132" s="5">
        <v>72.355057527264549</v>
      </c>
      <c r="CK132" s="15">
        <v>386.13</v>
      </c>
      <c r="CN132" s="15">
        <v>161.24</v>
      </c>
      <c r="CO132" s="5">
        <v>63.90473827834284</v>
      </c>
      <c r="CP132" s="15">
        <v>103.03999999999999</v>
      </c>
      <c r="CW132" s="15">
        <f t="shared" si="18"/>
        <v>694.9</v>
      </c>
      <c r="CX132" s="5">
        <f t="shared" si="16"/>
        <v>70.394301338322066</v>
      </c>
      <c r="CY132" s="15">
        <v>489.17</v>
      </c>
      <c r="DK132" s="5">
        <v>60.534124629080118</v>
      </c>
      <c r="DL132" s="26">
        <v>70</v>
      </c>
      <c r="DM132" s="25">
        <f t="shared" si="17"/>
        <v>42.373887240356083</v>
      </c>
    </row>
    <row r="133" spans="1:117" x14ac:dyDescent="0.25">
      <c r="A133" s="2">
        <v>1980</v>
      </c>
      <c r="AT133" s="6">
        <v>3297.3076923076919</v>
      </c>
      <c r="AU133" s="5">
        <v>52</v>
      </c>
      <c r="AV133" s="6">
        <v>4390</v>
      </c>
      <c r="AW133" s="5">
        <v>54.715261958997722</v>
      </c>
      <c r="AX133" s="6">
        <v>2402</v>
      </c>
      <c r="BE133" s="5">
        <v>774.62</v>
      </c>
      <c r="BF133" s="4">
        <v>0.155</v>
      </c>
      <c r="BG133" s="6">
        <v>2540.3200000000002</v>
      </c>
      <c r="BI133" s="5">
        <v>11.28735</v>
      </c>
      <c r="BN133" s="15">
        <v>79.75</v>
      </c>
      <c r="BO133" s="5">
        <v>0.5089999999999999</v>
      </c>
      <c r="BP133" s="15">
        <v>66.960750000000019</v>
      </c>
      <c r="BS133" s="6">
        <v>3473.6021000000005</v>
      </c>
      <c r="BU133" s="16">
        <v>52.067</v>
      </c>
      <c r="BV133" s="2">
        <v>882</v>
      </c>
      <c r="BW133" s="6">
        <v>1622.6169</v>
      </c>
      <c r="BX133" s="15">
        <v>293.7</v>
      </c>
      <c r="BY133" s="15">
        <v>988.57190000000003</v>
      </c>
      <c r="CB133" s="15">
        <v>764.04420000000027</v>
      </c>
      <c r="CC133" s="6">
        <v>4603</v>
      </c>
      <c r="CD133" s="127">
        <v>62.5</v>
      </c>
      <c r="CE133" s="115">
        <v>2876.875</v>
      </c>
      <c r="CI133" s="17">
        <v>420</v>
      </c>
      <c r="CJ133" s="5">
        <v>71.428571428571431</v>
      </c>
      <c r="CK133" s="2">
        <v>300</v>
      </c>
      <c r="CN133" s="15">
        <v>138.13399999999999</v>
      </c>
      <c r="CO133" s="5">
        <v>69.316026467053746</v>
      </c>
      <c r="CP133" s="5">
        <v>95.749000000000024</v>
      </c>
      <c r="CW133" s="15">
        <f t="shared" si="18"/>
        <v>558.13400000000001</v>
      </c>
      <c r="CX133" s="5">
        <f t="shared" si="16"/>
        <v>70.905732315178795</v>
      </c>
      <c r="CY133" s="15">
        <v>395.74900000000002</v>
      </c>
      <c r="DK133" s="5">
        <v>21.958456973293767</v>
      </c>
      <c r="DL133" s="26">
        <v>70</v>
      </c>
      <c r="DM133" s="25">
        <f t="shared" si="17"/>
        <v>15.370919881305637</v>
      </c>
    </row>
    <row r="134" spans="1:117" x14ac:dyDescent="0.25">
      <c r="A134" s="2">
        <v>1981</v>
      </c>
      <c r="AT134" s="6">
        <v>2750.9615384615386</v>
      </c>
      <c r="AU134" s="5">
        <v>52</v>
      </c>
      <c r="AV134" s="6">
        <v>3728</v>
      </c>
      <c r="AW134" s="5">
        <v>55.069742489270389</v>
      </c>
      <c r="AX134" s="6">
        <v>2053</v>
      </c>
      <c r="BE134" s="6">
        <v>1121.74</v>
      </c>
      <c r="BF134" s="4">
        <v>0.30299999999999999</v>
      </c>
      <c r="BG134" s="6">
        <v>5545.8</v>
      </c>
      <c r="BI134" s="5">
        <v>33.068000000000005</v>
      </c>
      <c r="BN134" s="15">
        <v>148.625</v>
      </c>
      <c r="BO134" s="5">
        <v>4.4700000000000006</v>
      </c>
      <c r="BP134" s="15">
        <v>102.55075000000002</v>
      </c>
      <c r="BS134" s="6">
        <v>6956.5567500000016</v>
      </c>
      <c r="BU134" s="16">
        <v>71.673000000000002</v>
      </c>
      <c r="BV134" s="15">
        <v>489.56150000000002</v>
      </c>
      <c r="BW134" s="6">
        <v>1594.3831</v>
      </c>
      <c r="BX134" s="15">
        <v>250.148</v>
      </c>
      <c r="BY134" s="6">
        <v>1233.0074</v>
      </c>
      <c r="CB134" s="15">
        <v>580.22699999999986</v>
      </c>
      <c r="CC134" s="6">
        <v>4219</v>
      </c>
      <c r="CD134" s="127">
        <v>60</v>
      </c>
      <c r="CE134" s="115">
        <v>2531.4</v>
      </c>
      <c r="CI134" s="15">
        <v>599.46</v>
      </c>
      <c r="CJ134" s="5">
        <v>72.121576085143289</v>
      </c>
      <c r="CK134" s="15">
        <v>432.34</v>
      </c>
      <c r="CN134" s="15">
        <v>322.09000000000003</v>
      </c>
      <c r="CO134" s="5">
        <v>63.712005961066765</v>
      </c>
      <c r="CP134" s="15">
        <v>205.20999999999998</v>
      </c>
      <c r="CW134" s="15">
        <f t="shared" si="18"/>
        <v>921.55000000000007</v>
      </c>
      <c r="CX134" s="5">
        <f t="shared" si="16"/>
        <v>69.182355813574944</v>
      </c>
      <c r="CY134" s="15">
        <v>637.54999999999995</v>
      </c>
      <c r="DK134" s="5">
        <v>75.964391691394511</v>
      </c>
      <c r="DL134" s="26">
        <v>70</v>
      </c>
      <c r="DM134" s="25">
        <f t="shared" si="17"/>
        <v>53.175074183976157</v>
      </c>
    </row>
    <row r="135" spans="1:117" x14ac:dyDescent="0.25">
      <c r="A135" s="2">
        <v>1982</v>
      </c>
      <c r="AT135" s="6">
        <v>2523.6538461538462</v>
      </c>
      <c r="AU135" s="5">
        <v>52</v>
      </c>
      <c r="AV135" s="6">
        <v>3169</v>
      </c>
      <c r="AW135" s="5">
        <v>52.130009466708742</v>
      </c>
      <c r="AX135" s="6">
        <v>1652</v>
      </c>
      <c r="BE135" s="6">
        <v>1302.07</v>
      </c>
      <c r="BF135" s="4">
        <v>0.17699999999999999</v>
      </c>
      <c r="BG135" s="6">
        <v>5152</v>
      </c>
      <c r="BI135" s="5">
        <v>53.677000000000007</v>
      </c>
      <c r="BN135" s="15">
        <v>112.6</v>
      </c>
      <c r="BO135" s="5">
        <v>1.46855</v>
      </c>
      <c r="BP135" s="15">
        <v>83.239625000000004</v>
      </c>
      <c r="BS135" s="6">
        <v>6705.2321749999992</v>
      </c>
      <c r="BU135" s="5">
        <v>56.336500000000001</v>
      </c>
      <c r="CC135" s="115">
        <v>4008</v>
      </c>
      <c r="CD135" s="127">
        <v>57.5</v>
      </c>
      <c r="CE135" s="115">
        <v>2304.6</v>
      </c>
      <c r="CI135" s="15">
        <v>550.51</v>
      </c>
      <c r="CJ135" s="5">
        <v>69.722620842491509</v>
      </c>
      <c r="CK135" s="15">
        <v>383.83</v>
      </c>
      <c r="CN135" s="15">
        <v>169.6</v>
      </c>
      <c r="CO135" s="5">
        <v>71.680424528301884</v>
      </c>
      <c r="CP135" s="15">
        <v>121.57</v>
      </c>
      <c r="CW135" s="15">
        <f t="shared" si="18"/>
        <v>720.11</v>
      </c>
      <c r="CX135" s="5">
        <f t="shared" si="16"/>
        <v>70.183721931371593</v>
      </c>
      <c r="CY135" s="15">
        <v>505.4</v>
      </c>
      <c r="DK135" s="5">
        <v>32.047477744807118</v>
      </c>
      <c r="DL135" s="26">
        <v>70</v>
      </c>
      <c r="DM135" s="25">
        <f t="shared" si="17"/>
        <v>22.433234421364983</v>
      </c>
    </row>
    <row r="136" spans="1:117" x14ac:dyDescent="0.25">
      <c r="A136" s="2">
        <v>1983</v>
      </c>
      <c r="AT136" s="6">
        <v>2035.5769230769231</v>
      </c>
      <c r="AU136" s="5">
        <v>52</v>
      </c>
      <c r="AV136" s="6">
        <v>3214</v>
      </c>
      <c r="AW136" s="5">
        <v>49.035469819539514</v>
      </c>
      <c r="AX136" s="6">
        <v>1576</v>
      </c>
      <c r="BE136" s="6">
        <v>1319</v>
      </c>
      <c r="BF136" s="4">
        <v>0.13600000000000001</v>
      </c>
      <c r="BG136" s="6">
        <v>5078</v>
      </c>
      <c r="BI136" s="5">
        <v>32.236000000000004</v>
      </c>
      <c r="BO136" s="4">
        <v>0.63900000000000001</v>
      </c>
      <c r="BP136" s="15">
        <v>33.805000000000007</v>
      </c>
      <c r="BS136" s="6">
        <v>6463.8160000000007</v>
      </c>
      <c r="BU136" s="2">
        <v>41</v>
      </c>
      <c r="CC136" s="6">
        <v>3797</v>
      </c>
      <c r="CD136" s="5">
        <v>56.096918619963127</v>
      </c>
      <c r="CE136" s="6">
        <v>2130</v>
      </c>
      <c r="CI136" s="15">
        <v>491.98</v>
      </c>
      <c r="CJ136" s="5">
        <v>70.002845644131867</v>
      </c>
      <c r="CK136" s="15">
        <v>344.4</v>
      </c>
      <c r="CN136" s="15">
        <v>282.85999999999996</v>
      </c>
      <c r="CO136" s="5">
        <v>72.449268189210215</v>
      </c>
      <c r="CP136" s="15">
        <v>204.93</v>
      </c>
      <c r="CW136" s="15">
        <f t="shared" si="18"/>
        <v>774.83999999999992</v>
      </c>
      <c r="CX136" s="5">
        <f t="shared" si="16"/>
        <v>70.89592690103764</v>
      </c>
      <c r="CY136" s="15">
        <v>549.33000000000004</v>
      </c>
      <c r="DK136" s="5">
        <v>48.071216617210681</v>
      </c>
      <c r="DL136" s="26">
        <v>70</v>
      </c>
      <c r="DM136" s="25">
        <f t="shared" si="17"/>
        <v>33.649851632047472</v>
      </c>
    </row>
    <row r="137" spans="1:117" x14ac:dyDescent="0.25">
      <c r="A137" s="2">
        <v>1984</v>
      </c>
      <c r="AT137" s="6">
        <v>2063.0769230769229</v>
      </c>
      <c r="AU137" s="5">
        <v>52</v>
      </c>
      <c r="AV137" s="6">
        <v>2832</v>
      </c>
      <c r="AW137" s="5">
        <v>49.011299435028249</v>
      </c>
      <c r="AX137" s="6">
        <v>1388</v>
      </c>
      <c r="BE137" s="2">
        <v>955</v>
      </c>
      <c r="BF137" s="4">
        <v>0.11805555555555555</v>
      </c>
      <c r="BG137" s="6">
        <v>3822</v>
      </c>
      <c r="BI137" s="5">
        <v>27.982638888888886</v>
      </c>
      <c r="BO137" s="4">
        <v>0.55468749999999989</v>
      </c>
      <c r="BP137" s="15">
        <v>29.34461805555555</v>
      </c>
      <c r="BS137" s="6">
        <v>4835</v>
      </c>
      <c r="BU137" s="2">
        <v>39</v>
      </c>
      <c r="CC137" s="6">
        <v>3411</v>
      </c>
      <c r="CD137" s="5">
        <v>51.128701260627381</v>
      </c>
      <c r="CE137" s="6">
        <v>1744</v>
      </c>
      <c r="CI137" s="15">
        <v>560.12</v>
      </c>
      <c r="CJ137" s="5">
        <v>69.985003213597082</v>
      </c>
      <c r="CK137" s="17">
        <v>392</v>
      </c>
      <c r="CN137" s="15">
        <v>159.70499999999998</v>
      </c>
      <c r="CO137" s="5">
        <v>71.011552550014102</v>
      </c>
      <c r="CP137" s="15">
        <v>113.40900000000001</v>
      </c>
      <c r="CW137" s="15">
        <f t="shared" si="18"/>
        <v>719.82500000000005</v>
      </c>
      <c r="CX137" s="5">
        <f t="shared" si="16"/>
        <v>70.212760045844476</v>
      </c>
      <c r="CY137" s="15">
        <v>505.40899999999999</v>
      </c>
      <c r="DK137" s="5">
        <v>78.931750741839579</v>
      </c>
      <c r="DL137" s="26">
        <v>70</v>
      </c>
      <c r="DM137" s="25">
        <f t="shared" si="17"/>
        <v>55.252225519287705</v>
      </c>
    </row>
    <row r="138" spans="1:117" x14ac:dyDescent="0.25">
      <c r="A138" s="2">
        <v>1985</v>
      </c>
      <c r="AT138" s="6">
        <v>1441.3461538461538</v>
      </c>
      <c r="AU138" s="5">
        <v>52</v>
      </c>
      <c r="AV138" s="6">
        <v>2430</v>
      </c>
      <c r="AW138" s="5">
        <v>53.744855967078188</v>
      </c>
      <c r="AX138" s="6">
        <v>1306</v>
      </c>
      <c r="BE138" s="2">
        <v>516</v>
      </c>
      <c r="BF138" s="4">
        <v>0.10177203065134099</v>
      </c>
      <c r="BG138" s="6">
        <v>2892</v>
      </c>
      <c r="BI138" s="5">
        <v>24.122964559386968</v>
      </c>
      <c r="BO138" s="4">
        <v>0.4781788793103447</v>
      </c>
      <c r="BP138" s="15">
        <v>25.297084530651336</v>
      </c>
      <c r="BS138" s="6">
        <v>3458</v>
      </c>
      <c r="BU138" s="2">
        <v>48</v>
      </c>
      <c r="CC138" s="6">
        <v>3448</v>
      </c>
      <c r="CD138" s="5">
        <v>56.873549883990719</v>
      </c>
      <c r="CE138" s="6">
        <v>1961</v>
      </c>
      <c r="CI138" s="15">
        <v>436.1</v>
      </c>
      <c r="CJ138" s="5">
        <v>69.997706947947719</v>
      </c>
      <c r="CK138" s="15">
        <v>305.26</v>
      </c>
      <c r="CN138" s="5">
        <v>22.13</v>
      </c>
      <c r="CO138" s="5">
        <v>71.396294622684138</v>
      </c>
      <c r="CP138" s="2">
        <v>15.8</v>
      </c>
      <c r="CW138" s="15">
        <f t="shared" si="18"/>
        <v>458.23</v>
      </c>
      <c r="CX138" s="5">
        <f t="shared" si="16"/>
        <v>70.065251074787781</v>
      </c>
      <c r="CY138" s="15">
        <v>321.06000000000006</v>
      </c>
      <c r="DK138" s="5">
        <v>56.973293768545993</v>
      </c>
      <c r="DL138" s="26">
        <v>70</v>
      </c>
      <c r="DM138" s="25">
        <f t="shared" si="17"/>
        <v>39.881305637982194</v>
      </c>
    </row>
    <row r="139" spans="1:117" x14ac:dyDescent="0.25">
      <c r="A139" s="2">
        <v>1986</v>
      </c>
      <c r="AT139" s="6">
        <v>1030.7692307692307</v>
      </c>
      <c r="AU139" s="5">
        <v>52</v>
      </c>
      <c r="AV139" s="6">
        <v>2479</v>
      </c>
      <c r="AW139" s="5">
        <v>51.633723275514321</v>
      </c>
      <c r="AX139" s="6">
        <v>1280</v>
      </c>
      <c r="BE139" s="2">
        <v>666</v>
      </c>
      <c r="BF139" s="4">
        <v>0.1445162835249042</v>
      </c>
      <c r="BG139" s="6">
        <v>3646</v>
      </c>
      <c r="BI139" s="5">
        <v>34.254609674329494</v>
      </c>
      <c r="BO139" s="4">
        <v>0.6790140086206895</v>
      </c>
      <c r="BP139" s="15">
        <v>35.921860033524901</v>
      </c>
      <c r="BS139" s="6">
        <v>4383.0000000000009</v>
      </c>
      <c r="BU139" s="2">
        <v>35</v>
      </c>
      <c r="CC139" s="6">
        <v>2303</v>
      </c>
      <c r="CD139" s="5">
        <v>53.278332609639598</v>
      </c>
      <c r="CE139" s="6">
        <v>1227</v>
      </c>
      <c r="CI139" s="15">
        <v>709.61</v>
      </c>
      <c r="CJ139" s="5">
        <v>70.000422767435637</v>
      </c>
      <c r="CK139" s="15">
        <v>496.73</v>
      </c>
      <c r="CN139" s="5">
        <v>32.06</v>
      </c>
      <c r="CO139" s="5">
        <v>73.611977542108548</v>
      </c>
      <c r="CP139" s="2">
        <v>23.6</v>
      </c>
      <c r="CW139" s="15">
        <f t="shared" si="18"/>
        <v>741.67000000000007</v>
      </c>
      <c r="CX139" s="5">
        <f t="shared" si="16"/>
        <v>70.156538622298314</v>
      </c>
      <c r="CY139" s="15">
        <v>520.32999999999993</v>
      </c>
      <c r="DK139" s="5">
        <v>55.786350148367951</v>
      </c>
      <c r="DL139" s="26">
        <v>70</v>
      </c>
      <c r="DM139" s="25">
        <f t="shared" si="17"/>
        <v>39.050445103857562</v>
      </c>
    </row>
    <row r="140" spans="1:117" x14ac:dyDescent="0.25">
      <c r="A140" s="2">
        <v>1987</v>
      </c>
      <c r="AV140" s="2">
        <v>486</v>
      </c>
      <c r="AW140" s="5">
        <v>51.23456790123457</v>
      </c>
      <c r="AX140" s="2">
        <v>249</v>
      </c>
      <c r="BF140" s="4">
        <v>6.5134099616858232E-2</v>
      </c>
      <c r="BG140" s="6">
        <v>6832</v>
      </c>
      <c r="BI140" s="5">
        <v>15.438697318007661</v>
      </c>
      <c r="BO140" s="4">
        <v>0.30603448275862061</v>
      </c>
      <c r="BP140" s="15">
        <v>16.190134099616856</v>
      </c>
      <c r="BS140" s="6">
        <v>6864</v>
      </c>
      <c r="BU140" s="2">
        <v>31</v>
      </c>
      <c r="CC140" s="6">
        <v>1268</v>
      </c>
      <c r="CD140" s="5">
        <v>55.047318611987379</v>
      </c>
      <c r="CE140" s="2">
        <v>698</v>
      </c>
      <c r="CI140" s="15">
        <v>613.5</v>
      </c>
      <c r="CJ140" s="5">
        <v>70.008149959250204</v>
      </c>
      <c r="CK140" s="15">
        <v>429.5</v>
      </c>
      <c r="CN140" s="2">
        <v>33.9</v>
      </c>
      <c r="CO140" s="5">
        <v>71.976401179941007</v>
      </c>
      <c r="CP140" s="2">
        <v>24.4</v>
      </c>
      <c r="CW140" s="15">
        <f t="shared" si="18"/>
        <v>647.4</v>
      </c>
      <c r="CX140" s="5">
        <f t="shared" si="16"/>
        <v>70.111214087117702</v>
      </c>
      <c r="CY140" s="15">
        <v>453.9</v>
      </c>
      <c r="DK140" s="5">
        <v>59.347181008902076</v>
      </c>
      <c r="DL140" s="26">
        <v>70</v>
      </c>
      <c r="DM140" s="25">
        <f t="shared" si="17"/>
        <v>41.543026706231458</v>
      </c>
    </row>
    <row r="141" spans="1:117" x14ac:dyDescent="0.25">
      <c r="A141" s="2">
        <v>1988</v>
      </c>
      <c r="AV141" s="2">
        <v>8</v>
      </c>
      <c r="AW141" s="5">
        <v>37.5</v>
      </c>
      <c r="AX141" s="2">
        <v>3</v>
      </c>
      <c r="BG141" s="6">
        <v>6222</v>
      </c>
      <c r="BS141" s="6">
        <v>6222</v>
      </c>
      <c r="BU141" s="2">
        <v>13</v>
      </c>
      <c r="CC141" s="2">
        <v>630</v>
      </c>
      <c r="CD141" s="5">
        <v>52.38095238095238</v>
      </c>
      <c r="CE141" s="2">
        <v>330</v>
      </c>
      <c r="CI141" s="2">
        <v>375</v>
      </c>
      <c r="CJ141" s="5">
        <v>69.92</v>
      </c>
      <c r="CK141" s="15">
        <v>262.2</v>
      </c>
      <c r="CW141" s="15">
        <f t="shared" si="18"/>
        <v>375</v>
      </c>
      <c r="CX141" s="5">
        <f t="shared" si="16"/>
        <v>69.92</v>
      </c>
      <c r="CY141" s="15">
        <v>262.2</v>
      </c>
      <c r="DK141" s="5">
        <v>37.982195845697326</v>
      </c>
      <c r="DL141" s="26">
        <v>70</v>
      </c>
      <c r="DM141" s="25">
        <f t="shared" si="17"/>
        <v>26.587537091988128</v>
      </c>
    </row>
    <row r="142" spans="1:117" x14ac:dyDescent="0.25">
      <c r="A142" s="2">
        <v>1989</v>
      </c>
      <c r="BG142" s="6">
        <v>6940</v>
      </c>
      <c r="BS142" s="6">
        <v>6940</v>
      </c>
      <c r="CC142" s="2">
        <v>251</v>
      </c>
      <c r="CD142" s="5">
        <v>66.135458167330682</v>
      </c>
      <c r="CE142" s="2">
        <v>166</v>
      </c>
      <c r="CI142" s="15">
        <v>325.3</v>
      </c>
      <c r="CJ142" s="5">
        <v>69.111589302182594</v>
      </c>
      <c r="CK142" s="15">
        <v>224.82</v>
      </c>
      <c r="CN142" s="25">
        <v>6.935861429905068</v>
      </c>
      <c r="CO142" s="25">
        <v>72.089098816791605</v>
      </c>
      <c r="CP142" s="5">
        <v>5</v>
      </c>
      <c r="CW142" s="15">
        <f t="shared" si="18"/>
        <v>332.23586142990507</v>
      </c>
      <c r="CX142" s="5">
        <f t="shared" si="16"/>
        <v>69.173748737081254</v>
      </c>
      <c r="CY142" s="15">
        <v>229.82</v>
      </c>
      <c r="DK142" s="5">
        <v>29.673590504451038</v>
      </c>
      <c r="DL142" s="26">
        <v>70</v>
      </c>
      <c r="DM142" s="25">
        <f t="shared" si="17"/>
        <v>20.771513353115729</v>
      </c>
    </row>
    <row r="143" spans="1:117" x14ac:dyDescent="0.25">
      <c r="A143" s="2">
        <v>1990</v>
      </c>
      <c r="BG143" s="6">
        <v>7831</v>
      </c>
      <c r="BK143" s="2">
        <v>132</v>
      </c>
      <c r="BS143" s="6">
        <v>7963</v>
      </c>
      <c r="CC143" s="169">
        <v>103.33333333333334</v>
      </c>
      <c r="CD143" s="127">
        <v>60</v>
      </c>
      <c r="CE143" s="2">
        <v>62</v>
      </c>
      <c r="CI143" s="2">
        <v>208</v>
      </c>
      <c r="CJ143" s="5">
        <v>68.649038461538467</v>
      </c>
      <c r="CK143" s="15">
        <v>142.79</v>
      </c>
      <c r="CN143" s="2">
        <v>4</v>
      </c>
      <c r="CO143" s="5">
        <v>60.25</v>
      </c>
      <c r="CP143" s="5">
        <v>2.41</v>
      </c>
      <c r="CW143" s="15">
        <f t="shared" si="18"/>
        <v>212</v>
      </c>
      <c r="CX143" s="5">
        <f t="shared" si="16"/>
        <v>68.49056603773586</v>
      </c>
      <c r="CY143" s="15">
        <v>145.20000000000002</v>
      </c>
      <c r="DK143" s="5">
        <v>27.893175074183976</v>
      </c>
      <c r="DL143" s="26">
        <v>70</v>
      </c>
      <c r="DM143" s="25">
        <f t="shared" si="17"/>
        <v>19.525222551928781</v>
      </c>
    </row>
    <row r="144" spans="1:117" x14ac:dyDescent="0.25">
      <c r="A144" s="2">
        <v>1991</v>
      </c>
      <c r="BG144" s="6">
        <v>5120</v>
      </c>
      <c r="BK144" s="2">
        <v>437</v>
      </c>
      <c r="BS144" s="6">
        <v>5557</v>
      </c>
      <c r="CC144" s="169">
        <v>93.333333333333343</v>
      </c>
      <c r="CD144" s="127">
        <v>60</v>
      </c>
      <c r="CE144" s="2">
        <v>56</v>
      </c>
      <c r="CI144" s="2">
        <v>272</v>
      </c>
      <c r="CJ144" s="5">
        <v>67.647058823529406</v>
      </c>
      <c r="CK144" s="2">
        <v>184</v>
      </c>
      <c r="CN144" s="25">
        <v>1.3837298244286673</v>
      </c>
      <c r="CO144" s="25">
        <v>72.268443040381328</v>
      </c>
      <c r="CP144" s="2">
        <v>1</v>
      </c>
      <c r="CW144" s="15">
        <f t="shared" si="18"/>
        <v>273.38372982442866</v>
      </c>
      <c r="CX144" s="5">
        <f t="shared" si="16"/>
        <v>67.670449927217661</v>
      </c>
      <c r="CY144" s="15">
        <v>185</v>
      </c>
    </row>
    <row r="145" spans="1:117" x14ac:dyDescent="0.25">
      <c r="A145" s="2">
        <v>1992</v>
      </c>
      <c r="BG145" s="6">
        <v>6007</v>
      </c>
      <c r="BK145" s="5">
        <v>110.105</v>
      </c>
      <c r="BS145" s="6">
        <v>6117.1049999999996</v>
      </c>
      <c r="CC145" s="169">
        <v>86.666666666666671</v>
      </c>
      <c r="CD145" s="127">
        <v>60</v>
      </c>
      <c r="CE145" s="2">
        <v>52</v>
      </c>
      <c r="CI145" s="2">
        <v>284</v>
      </c>
      <c r="CJ145" s="5">
        <v>68.309859154929583</v>
      </c>
      <c r="CK145" s="2">
        <v>194</v>
      </c>
      <c r="CN145" s="25">
        <v>5.7568974977524316</v>
      </c>
      <c r="CO145" s="25">
        <v>69.481869384710294</v>
      </c>
      <c r="CP145" s="2">
        <v>4</v>
      </c>
      <c r="CW145" s="15">
        <f t="shared" si="18"/>
        <v>289.75689749775245</v>
      </c>
      <c r="CX145" s="5">
        <f t="shared" si="16"/>
        <v>68.333144684342102</v>
      </c>
      <c r="CY145" s="15">
        <v>198.00000000000003</v>
      </c>
    </row>
    <row r="146" spans="1:117" x14ac:dyDescent="0.25">
      <c r="A146" s="2">
        <v>1993</v>
      </c>
      <c r="AV146" s="2">
        <v>19</v>
      </c>
      <c r="AW146" s="5">
        <v>68.421052631578945</v>
      </c>
      <c r="AX146" s="2">
        <v>13</v>
      </c>
      <c r="BG146" s="6">
        <v>7732</v>
      </c>
      <c r="BS146" s="6">
        <v>7732</v>
      </c>
      <c r="CC146" s="169">
        <v>21.666666666666668</v>
      </c>
      <c r="CD146" s="127">
        <v>60</v>
      </c>
      <c r="CE146" s="2">
        <v>13</v>
      </c>
      <c r="CI146" s="169">
        <v>142.59210207712019</v>
      </c>
      <c r="CJ146" s="25">
        <v>68.727509148436013</v>
      </c>
      <c r="CK146" s="2">
        <v>98</v>
      </c>
      <c r="CN146" s="169">
        <v>17.512533513248389</v>
      </c>
      <c r="CO146" s="25">
        <v>68.522352810470807</v>
      </c>
      <c r="CP146" s="2">
        <v>12</v>
      </c>
      <c r="CW146" s="15">
        <f t="shared" si="18"/>
        <v>160.10463559036859</v>
      </c>
      <c r="CX146" s="5">
        <f t="shared" si="16"/>
        <v>68.705068778544018</v>
      </c>
      <c r="CY146" s="15">
        <v>110</v>
      </c>
    </row>
    <row r="147" spans="1:117" x14ac:dyDescent="0.25">
      <c r="A147" s="2">
        <v>1994</v>
      </c>
      <c r="BG147" s="6">
        <v>7525</v>
      </c>
      <c r="BS147" s="6">
        <v>7525</v>
      </c>
      <c r="CC147" s="169">
        <v>35</v>
      </c>
      <c r="CD147" s="127">
        <v>60</v>
      </c>
      <c r="CE147" s="2">
        <v>21</v>
      </c>
      <c r="CI147" s="169">
        <v>296.39791420676568</v>
      </c>
      <c r="CJ147" s="25">
        <v>68.489010978123218</v>
      </c>
      <c r="CK147" s="2">
        <v>203</v>
      </c>
      <c r="CN147" s="25">
        <v>8.7562667566241945</v>
      </c>
      <c r="CO147" s="25">
        <v>68.522352810470807</v>
      </c>
      <c r="CP147" s="2">
        <v>6</v>
      </c>
      <c r="CW147" s="15">
        <f t="shared" si="18"/>
        <v>305.15418096338988</v>
      </c>
      <c r="CX147" s="5">
        <f t="shared" si="16"/>
        <v>68.489967707528891</v>
      </c>
      <c r="CY147" s="15">
        <v>209</v>
      </c>
    </row>
    <row r="148" spans="1:117" x14ac:dyDescent="0.25">
      <c r="A148" s="2">
        <v>1995</v>
      </c>
      <c r="BG148" s="6">
        <v>7303</v>
      </c>
      <c r="BK148" s="5">
        <v>17.385000000000002</v>
      </c>
      <c r="BS148" s="6">
        <v>7320.3850000000002</v>
      </c>
      <c r="CC148" s="169">
        <v>131.66666666666669</v>
      </c>
      <c r="CD148" s="127">
        <v>60</v>
      </c>
      <c r="CE148" s="2">
        <v>79</v>
      </c>
      <c r="CI148" s="169">
        <v>601.18925491427376</v>
      </c>
      <c r="CJ148" s="25">
        <v>68.364495313311338</v>
      </c>
      <c r="CK148" s="17">
        <v>411</v>
      </c>
      <c r="CN148" s="169">
        <v>26.29591802109746</v>
      </c>
      <c r="CO148" s="25">
        <v>67.809003609206655</v>
      </c>
      <c r="CP148" s="5">
        <v>17.831</v>
      </c>
      <c r="CW148" s="15">
        <f t="shared" si="18"/>
        <v>627.48517293537122</v>
      </c>
      <c r="CX148" s="5">
        <f t="shared" si="16"/>
        <v>68.341216413757095</v>
      </c>
      <c r="CY148" s="15">
        <v>428.83099999999996</v>
      </c>
      <c r="DK148" s="5">
        <v>24.925816023738872</v>
      </c>
      <c r="DL148" s="26">
        <v>70</v>
      </c>
      <c r="DM148" s="25">
        <f t="shared" ref="DM148:DM152" si="20">DK148*DL148/100</f>
        <v>17.448071216617212</v>
      </c>
    </row>
    <row r="149" spans="1:117" x14ac:dyDescent="0.25">
      <c r="A149" s="2">
        <v>1996</v>
      </c>
      <c r="BG149" s="6">
        <v>8319</v>
      </c>
      <c r="BK149" s="5">
        <v>140.94149999999999</v>
      </c>
      <c r="BS149" s="6">
        <v>8459.9415000000008</v>
      </c>
      <c r="CC149" s="169">
        <v>116.66666666666667</v>
      </c>
      <c r="CD149" s="127">
        <v>60</v>
      </c>
      <c r="CE149" s="2">
        <v>70</v>
      </c>
      <c r="CI149" s="2">
        <v>584</v>
      </c>
      <c r="CJ149" s="5">
        <v>62.842465753424655</v>
      </c>
      <c r="CK149" s="2">
        <v>367</v>
      </c>
      <c r="CN149" s="25">
        <v>4.3277051225101477</v>
      </c>
      <c r="CO149" s="25">
        <v>69.320804331047981</v>
      </c>
      <c r="CP149" s="2">
        <v>3</v>
      </c>
      <c r="CW149" s="15">
        <f t="shared" si="18"/>
        <v>588.32770512251011</v>
      </c>
      <c r="CX149" s="5">
        <f t="shared" si="16"/>
        <v>62.890120043378417</v>
      </c>
      <c r="CY149" s="15">
        <v>370</v>
      </c>
      <c r="DK149" s="5">
        <v>50.445103857566764</v>
      </c>
      <c r="DL149" s="26">
        <v>70</v>
      </c>
      <c r="DM149" s="25">
        <f t="shared" si="20"/>
        <v>35.311572700296736</v>
      </c>
    </row>
    <row r="150" spans="1:117" x14ac:dyDescent="0.25">
      <c r="A150" s="2">
        <v>1997</v>
      </c>
      <c r="BG150" s="6">
        <v>8635</v>
      </c>
      <c r="BK150" s="5">
        <v>115.05</v>
      </c>
      <c r="BS150" s="6">
        <v>8750.0499999999993</v>
      </c>
      <c r="CC150" s="169">
        <v>66.666666666666671</v>
      </c>
      <c r="CD150" s="127">
        <v>60</v>
      </c>
      <c r="CE150" s="2">
        <v>40</v>
      </c>
      <c r="CI150" s="169">
        <v>776.5788790904279</v>
      </c>
      <c r="CJ150" s="25">
        <v>67.346668069644963</v>
      </c>
      <c r="CK150" s="2">
        <v>523</v>
      </c>
      <c r="CW150" s="15">
        <f t="shared" si="18"/>
        <v>776.5788790904279</v>
      </c>
      <c r="CX150" s="5">
        <f t="shared" si="16"/>
        <v>67.346668069644963</v>
      </c>
      <c r="CY150" s="15">
        <v>523</v>
      </c>
      <c r="DK150" s="5">
        <v>96.142433234420977</v>
      </c>
      <c r="DL150" s="26">
        <v>70</v>
      </c>
      <c r="DM150" s="25">
        <f t="shared" si="20"/>
        <v>67.299703264094688</v>
      </c>
    </row>
    <row r="151" spans="1:117" x14ac:dyDescent="0.25">
      <c r="A151" s="2">
        <v>1998</v>
      </c>
      <c r="BG151" s="6">
        <v>8261.5789999999997</v>
      </c>
      <c r="BS151" s="6">
        <v>8261.5789999999997</v>
      </c>
      <c r="CC151" s="169">
        <v>66.666666666666671</v>
      </c>
      <c r="CD151" s="127">
        <v>60</v>
      </c>
      <c r="CE151" s="2">
        <v>40</v>
      </c>
      <c r="CI151" s="169">
        <v>875.59897937731751</v>
      </c>
      <c r="CJ151" s="25">
        <v>67.154029852588039</v>
      </c>
      <c r="CK151" s="2">
        <v>588</v>
      </c>
      <c r="CW151" s="15">
        <f t="shared" si="18"/>
        <v>875.59897937731751</v>
      </c>
      <c r="CX151" s="5">
        <f t="shared" si="16"/>
        <v>67.154029852588039</v>
      </c>
      <c r="CY151" s="15">
        <v>588</v>
      </c>
      <c r="DK151" s="5">
        <v>64.094955489614236</v>
      </c>
      <c r="DL151" s="26">
        <v>70</v>
      </c>
      <c r="DM151" s="25">
        <f t="shared" si="20"/>
        <v>44.866468842729965</v>
      </c>
    </row>
    <row r="152" spans="1:117" x14ac:dyDescent="0.25">
      <c r="A152" s="2">
        <v>1999</v>
      </c>
      <c r="AV152" s="169">
        <f>AX152/(AW152/100)</f>
        <v>61.538461538461533</v>
      </c>
      <c r="AW152" s="127">
        <v>65</v>
      </c>
      <c r="AX152" s="2">
        <v>40</v>
      </c>
      <c r="BG152" s="6">
        <v>9236</v>
      </c>
      <c r="BS152" s="6">
        <v>9236</v>
      </c>
      <c r="CC152" s="169">
        <v>66.666666666666671</v>
      </c>
      <c r="CD152" s="127">
        <v>60</v>
      </c>
      <c r="CE152" s="2">
        <v>40</v>
      </c>
      <c r="CI152" s="169">
        <v>697.19425996358109</v>
      </c>
      <c r="CJ152" s="25">
        <v>66.839333993418435</v>
      </c>
      <c r="CK152" s="2">
        <v>466</v>
      </c>
      <c r="CW152" s="15">
        <f t="shared" si="18"/>
        <v>697.19425996358109</v>
      </c>
      <c r="CX152" s="5">
        <f t="shared" si="16"/>
        <v>66.839333993418435</v>
      </c>
      <c r="CY152" s="15">
        <v>465.99999999999994</v>
      </c>
      <c r="DK152" s="5">
        <v>11.869436201780415</v>
      </c>
      <c r="DL152" s="26">
        <v>70</v>
      </c>
      <c r="DM152" s="25">
        <f t="shared" si="20"/>
        <v>8.3086053412462899</v>
      </c>
    </row>
    <row r="153" spans="1:117" x14ac:dyDescent="0.25">
      <c r="A153" s="2">
        <v>2000</v>
      </c>
      <c r="BG153" s="6">
        <v>9194</v>
      </c>
      <c r="BS153" s="6">
        <v>9194</v>
      </c>
      <c r="CI153" s="115">
        <v>1071.2771653865711</v>
      </c>
      <c r="CJ153" s="25">
        <v>66.509398596477496</v>
      </c>
      <c r="CK153" s="15">
        <v>712.5</v>
      </c>
      <c r="CW153" s="6">
        <f t="shared" si="18"/>
        <v>1071.2771653865711</v>
      </c>
      <c r="CX153" s="5">
        <f t="shared" si="16"/>
        <v>66.509398596477496</v>
      </c>
      <c r="CY153" s="6">
        <v>712.5</v>
      </c>
    </row>
    <row r="154" spans="1:117" x14ac:dyDescent="0.25">
      <c r="A154" s="2">
        <v>2001</v>
      </c>
      <c r="BG154" s="6">
        <v>8977</v>
      </c>
      <c r="BS154" s="6">
        <v>8977</v>
      </c>
      <c r="CI154" s="115">
        <v>1475.6938573666291</v>
      </c>
      <c r="CJ154" s="25">
        <v>66.138379253110728</v>
      </c>
      <c r="CK154" s="2">
        <v>976</v>
      </c>
      <c r="CW154" s="6">
        <f t="shared" si="18"/>
        <v>1475.6938573666291</v>
      </c>
      <c r="CX154" s="5">
        <f t="shared" si="16"/>
        <v>66.138379253110728</v>
      </c>
      <c r="CY154" s="6">
        <v>976</v>
      </c>
    </row>
    <row r="155" spans="1:117" x14ac:dyDescent="0.25">
      <c r="A155" s="2">
        <v>2002</v>
      </c>
      <c r="AV155" s="115">
        <f t="shared" ref="AV155:AV157" si="21">AX155/(AW155/100)</f>
        <v>1153.2307692307693</v>
      </c>
      <c r="AW155" s="127">
        <v>65</v>
      </c>
      <c r="AX155" s="15">
        <v>749.6</v>
      </c>
      <c r="BG155" s="6">
        <v>7355.9849999999997</v>
      </c>
      <c r="BS155" s="6">
        <v>7355.9849999999997</v>
      </c>
      <c r="CC155" s="2">
        <v>2</v>
      </c>
      <c r="CD155" s="2">
        <v>50</v>
      </c>
      <c r="CE155" s="2">
        <v>1</v>
      </c>
      <c r="CI155" s="115">
        <v>1142.257258635148</v>
      </c>
      <c r="CJ155" s="25">
        <v>66.797561953047932</v>
      </c>
      <c r="CK155" s="2">
        <v>763</v>
      </c>
      <c r="CW155" s="6">
        <f t="shared" si="18"/>
        <v>1142.257258635148</v>
      </c>
      <c r="CX155" s="5">
        <f t="shared" si="16"/>
        <v>66.797561953047932</v>
      </c>
      <c r="CY155" s="6">
        <v>763</v>
      </c>
    </row>
    <row r="156" spans="1:117" x14ac:dyDescent="0.25">
      <c r="A156" s="2">
        <v>2003</v>
      </c>
      <c r="AV156" s="115">
        <f t="shared" si="21"/>
        <v>1586.1538461538462</v>
      </c>
      <c r="AW156" s="127">
        <v>65</v>
      </c>
      <c r="AX156" s="6">
        <v>1031</v>
      </c>
      <c r="BG156" s="6">
        <v>4645</v>
      </c>
      <c r="BS156" s="6">
        <v>4645</v>
      </c>
      <c r="CC156" s="2">
        <v>4</v>
      </c>
      <c r="CD156" s="2">
        <v>50</v>
      </c>
      <c r="CE156" s="2">
        <v>2</v>
      </c>
      <c r="CI156" s="169">
        <v>979.19046717517779</v>
      </c>
      <c r="CJ156" s="25">
        <v>66.687740729728517</v>
      </c>
      <c r="CK156" s="2">
        <v>653</v>
      </c>
      <c r="CW156" s="15">
        <f t="shared" si="18"/>
        <v>979.19046717517779</v>
      </c>
      <c r="CX156" s="5">
        <f t="shared" si="16"/>
        <v>66.687740729728517</v>
      </c>
      <c r="CY156" s="15">
        <v>653</v>
      </c>
    </row>
    <row r="157" spans="1:117" x14ac:dyDescent="0.25">
      <c r="A157" s="2">
        <v>2004</v>
      </c>
      <c r="AV157" s="169">
        <f t="shared" si="21"/>
        <v>660</v>
      </c>
      <c r="AW157" s="127">
        <v>65</v>
      </c>
      <c r="AX157" s="2">
        <v>429</v>
      </c>
      <c r="CC157" s="2">
        <v>10</v>
      </c>
      <c r="CD157" s="2">
        <v>80</v>
      </c>
      <c r="CE157" s="2">
        <v>8</v>
      </c>
      <c r="CI157" s="169">
        <v>639.69263130506795</v>
      </c>
      <c r="CJ157" s="25">
        <v>66.59448290515661</v>
      </c>
      <c r="CK157" s="2">
        <v>426</v>
      </c>
      <c r="CW157" s="15">
        <f t="shared" si="18"/>
        <v>639.69263130506795</v>
      </c>
      <c r="CX157" s="5">
        <f t="shared" si="16"/>
        <v>66.59448290515661</v>
      </c>
      <c r="CY157" s="15">
        <v>426</v>
      </c>
    </row>
    <row r="158" spans="1:117" x14ac:dyDescent="0.25">
      <c r="A158" s="2">
        <v>2005</v>
      </c>
      <c r="BG158" s="6">
        <v>1831.4599999999998</v>
      </c>
      <c r="BS158" s="6">
        <v>1831.4599999999998</v>
      </c>
      <c r="CC158" s="2">
        <v>19</v>
      </c>
      <c r="CD158" s="5">
        <v>78.94736842105263</v>
      </c>
      <c r="CE158" s="2">
        <v>15</v>
      </c>
      <c r="CI158" s="169">
        <v>641.66610603058871</v>
      </c>
      <c r="CJ158" s="25">
        <v>66.545512687504271</v>
      </c>
      <c r="CK158" s="2">
        <v>427</v>
      </c>
      <c r="CW158" s="15">
        <f t="shared" si="18"/>
        <v>641.66610603058871</v>
      </c>
      <c r="CX158" s="5">
        <f t="shared" si="16"/>
        <v>66.545512687504271</v>
      </c>
      <c r="CY158" s="15">
        <v>427</v>
      </c>
    </row>
    <row r="159" spans="1:117" x14ac:dyDescent="0.25">
      <c r="A159" s="2">
        <v>2006</v>
      </c>
      <c r="CC159" s="2">
        <v>431</v>
      </c>
      <c r="CD159" s="25">
        <v>59.012345679012348</v>
      </c>
      <c r="CE159" s="169">
        <v>254.34320987654323</v>
      </c>
      <c r="CI159" s="169">
        <v>640.0938996165728</v>
      </c>
      <c r="CJ159" s="25">
        <v>66.552735505709592</v>
      </c>
      <c r="CK159" s="2">
        <v>426</v>
      </c>
      <c r="CW159" s="15">
        <f t="shared" si="18"/>
        <v>640.0938996165728</v>
      </c>
      <c r="CX159" s="5">
        <f t="shared" si="16"/>
        <v>66.552735505709592</v>
      </c>
      <c r="CY159" s="15">
        <v>425.99999999999994</v>
      </c>
    </row>
    <row r="160" spans="1:117" x14ac:dyDescent="0.25">
      <c r="A160" s="2">
        <v>2007</v>
      </c>
      <c r="CC160" s="6">
        <v>3240</v>
      </c>
      <c r="CD160" s="5">
        <v>59.012345679012348</v>
      </c>
      <c r="CE160" s="6">
        <v>1912</v>
      </c>
      <c r="CI160" s="169">
        <v>222.10347771188307</v>
      </c>
      <c r="CJ160" s="25">
        <v>66.635606756229393</v>
      </c>
      <c r="CK160" s="2">
        <v>148</v>
      </c>
      <c r="CW160" s="15">
        <f t="shared" si="18"/>
        <v>222.10347771188307</v>
      </c>
      <c r="CX160" s="5">
        <f t="shared" si="16"/>
        <v>66.635606756229393</v>
      </c>
      <c r="CY160" s="15">
        <v>148</v>
      </c>
    </row>
    <row r="161" spans="1:103" x14ac:dyDescent="0.25">
      <c r="A161" s="2">
        <v>2008</v>
      </c>
      <c r="BG161" s="6">
        <v>1079</v>
      </c>
      <c r="BS161" s="6">
        <v>1079</v>
      </c>
      <c r="CI161" s="169">
        <v>255.24293109612063</v>
      </c>
      <c r="CJ161" s="25">
        <v>66.603215716865662</v>
      </c>
      <c r="CK161" s="2">
        <v>170</v>
      </c>
      <c r="CW161" s="15">
        <f t="shared" si="18"/>
        <v>255.24293109612063</v>
      </c>
      <c r="CX161" s="5">
        <f t="shared" si="16"/>
        <v>66.603215716865662</v>
      </c>
      <c r="CY161" s="15">
        <v>170</v>
      </c>
    </row>
    <row r="162" spans="1:103" x14ac:dyDescent="0.25">
      <c r="A162" s="2">
        <v>2009</v>
      </c>
      <c r="BG162" s="6">
        <v>5630</v>
      </c>
      <c r="BS162" s="6">
        <v>5630</v>
      </c>
    </row>
    <row r="163" spans="1:103" x14ac:dyDescent="0.25">
      <c r="A163" s="2">
        <v>2010</v>
      </c>
      <c r="BG163" s="6">
        <v>6263</v>
      </c>
      <c r="BS163" s="6">
        <v>6263</v>
      </c>
      <c r="CC163" s="2">
        <v>3</v>
      </c>
      <c r="CD163" s="127">
        <v>65</v>
      </c>
      <c r="CE163" s="25">
        <v>1.95</v>
      </c>
    </row>
    <row r="164" spans="1:103" x14ac:dyDescent="0.25">
      <c r="A164" s="2">
        <v>2011</v>
      </c>
      <c r="BG164" s="6">
        <v>5014</v>
      </c>
      <c r="BS164" s="6">
        <v>5014</v>
      </c>
      <c r="CC164" s="2">
        <v>2</v>
      </c>
      <c r="CD164" s="5">
        <v>50</v>
      </c>
      <c r="CE164" s="2">
        <v>1</v>
      </c>
    </row>
    <row r="165" spans="1:103" x14ac:dyDescent="0.25">
      <c r="A165" s="2">
        <v>2012</v>
      </c>
      <c r="BG165" s="6">
        <v>5848</v>
      </c>
      <c r="BS165" s="6">
        <v>5848</v>
      </c>
      <c r="CC165" s="2">
        <v>3</v>
      </c>
      <c r="CD165" s="5">
        <v>66.666666666666671</v>
      </c>
      <c r="CE165" s="2">
        <v>2</v>
      </c>
    </row>
    <row r="166" spans="1:103" x14ac:dyDescent="0.25">
      <c r="A166" s="2">
        <v>2013</v>
      </c>
      <c r="BG166" s="6">
        <v>6152</v>
      </c>
      <c r="BS166" s="6">
        <v>6152</v>
      </c>
      <c r="CC166" s="2">
        <v>36</v>
      </c>
      <c r="CD166" s="5">
        <v>66.666666666666671</v>
      </c>
      <c r="CE166" s="2">
        <v>24</v>
      </c>
    </row>
    <row r="167" spans="1:103" x14ac:dyDescent="0.25">
      <c r="A167" s="2">
        <v>2014</v>
      </c>
      <c r="BG167" s="6">
        <v>6887</v>
      </c>
      <c r="BS167" s="6">
        <v>6887</v>
      </c>
      <c r="CC167" s="2">
        <v>9</v>
      </c>
      <c r="CD167" s="127">
        <v>65</v>
      </c>
      <c r="CE167" s="25">
        <v>5.85</v>
      </c>
      <c r="CW167" s="25">
        <v>20</v>
      </c>
      <c r="CX167" s="26">
        <v>70</v>
      </c>
      <c r="CY167" s="2">
        <v>14</v>
      </c>
    </row>
    <row r="168" spans="1:103" x14ac:dyDescent="0.25">
      <c r="A168" s="2">
        <v>2015</v>
      </c>
      <c r="BG168" s="6">
        <v>6816</v>
      </c>
      <c r="BS168" s="6">
        <v>6816</v>
      </c>
      <c r="CC168" s="2">
        <v>1</v>
      </c>
      <c r="CD168" s="127">
        <v>65</v>
      </c>
      <c r="CE168" s="25">
        <v>0.65</v>
      </c>
      <c r="CW168" s="25">
        <v>31.095714285714287</v>
      </c>
      <c r="CX168" s="26">
        <v>70</v>
      </c>
      <c r="CY168" s="5">
        <v>21.766999999999999</v>
      </c>
    </row>
    <row r="169" spans="1:103" x14ac:dyDescent="0.25">
      <c r="A169" s="2">
        <v>2016</v>
      </c>
      <c r="BG169" s="6">
        <v>6314</v>
      </c>
      <c r="BS169" s="6">
        <v>6314</v>
      </c>
      <c r="CC169" s="61">
        <v>1.98421</v>
      </c>
      <c r="CD169" s="127">
        <v>65</v>
      </c>
      <c r="CE169" s="25">
        <v>1.2897364999999998</v>
      </c>
      <c r="CW169" s="25">
        <v>58.971428571428575</v>
      </c>
      <c r="CX169" s="26">
        <v>70</v>
      </c>
      <c r="CY169" s="5">
        <v>41.28</v>
      </c>
    </row>
    <row r="170" spans="1:103" x14ac:dyDescent="0.25">
      <c r="A170" s="2">
        <v>2017</v>
      </c>
      <c r="BG170" s="6">
        <v>7082</v>
      </c>
      <c r="BS170" s="6">
        <v>7082</v>
      </c>
      <c r="CC170" s="61">
        <v>0.26500000000000001</v>
      </c>
      <c r="CD170" s="127">
        <v>65</v>
      </c>
      <c r="CE170" s="38">
        <v>0.17225000000000001</v>
      </c>
      <c r="CW170" s="25">
        <v>30.142857142857146</v>
      </c>
      <c r="CX170" s="26">
        <v>70</v>
      </c>
      <c r="CY170" s="2">
        <v>21.1</v>
      </c>
    </row>
    <row r="171" spans="1:103" x14ac:dyDescent="0.25">
      <c r="A171" s="2">
        <v>2018</v>
      </c>
      <c r="BG171" s="6">
        <v>6557</v>
      </c>
      <c r="BS171" s="6">
        <v>6557</v>
      </c>
      <c r="CC171" s="61">
        <v>1.252</v>
      </c>
      <c r="CD171" s="127">
        <v>65</v>
      </c>
      <c r="CE171" s="38">
        <v>0.81379999999999997</v>
      </c>
      <c r="CW171" s="169">
        <v>117.28571428571429</v>
      </c>
      <c r="CX171" s="26">
        <v>70</v>
      </c>
      <c r="CY171" s="2">
        <v>82.1</v>
      </c>
    </row>
    <row r="172" spans="1:103" x14ac:dyDescent="0.25">
      <c r="A172" s="2">
        <v>2019</v>
      </c>
      <c r="BG172" s="6">
        <v>7418</v>
      </c>
      <c r="BS172" s="6">
        <v>7418</v>
      </c>
      <c r="CC172" s="61">
        <v>0.56700000000000006</v>
      </c>
      <c r="CD172" s="127">
        <v>65</v>
      </c>
      <c r="CE172" s="38">
        <v>0.36855000000000004</v>
      </c>
      <c r="CW172" s="169">
        <v>141.91999999999999</v>
      </c>
      <c r="CX172" s="26">
        <v>70</v>
      </c>
      <c r="CY172" s="5">
        <v>99.343999999999994</v>
      </c>
    </row>
    <row r="173" spans="1:103" x14ac:dyDescent="0.25">
      <c r="A173" s="2">
        <v>2020</v>
      </c>
      <c r="BG173" s="6">
        <v>7798</v>
      </c>
      <c r="BS173" s="6">
        <v>7798</v>
      </c>
      <c r="CC173" s="61">
        <v>1.3149999999999999</v>
      </c>
      <c r="CD173" s="127">
        <v>65</v>
      </c>
      <c r="CE173" s="38">
        <v>0.8547499999999999</v>
      </c>
      <c r="CW173" s="169">
        <v>160.24857142857144</v>
      </c>
      <c r="CX173" s="26">
        <v>70</v>
      </c>
      <c r="CY173" s="15">
        <v>112.17400000000001</v>
      </c>
    </row>
    <row r="174" spans="1:103" x14ac:dyDescent="0.25">
      <c r="A174" s="2">
        <v>2021</v>
      </c>
      <c r="BG174" s="6">
        <v>8452</v>
      </c>
      <c r="BS174" s="6">
        <v>8452</v>
      </c>
      <c r="CC174" s="61">
        <v>1.405</v>
      </c>
      <c r="CD174" s="127">
        <v>65</v>
      </c>
      <c r="CE174" s="38">
        <v>0.91325000000000001</v>
      </c>
      <c r="CW174" s="169">
        <v>102.15714285714284</v>
      </c>
      <c r="CX174" s="26">
        <v>70</v>
      </c>
      <c r="CY174" s="5">
        <v>71.509999999999991</v>
      </c>
    </row>
    <row r="181" spans="1:102" x14ac:dyDescent="0.25">
      <c r="C181" s="115">
        <f>SUM(C182:C349)</f>
        <v>341111.55482934008</v>
      </c>
      <c r="E181" s="115">
        <f>SUM(E182:E349)</f>
        <v>1389.5506437939971</v>
      </c>
      <c r="G181" s="115">
        <f>SUM(G182:G349)</f>
        <v>18113.238883859449</v>
      </c>
      <c r="I181" s="115">
        <f>SUM(I182:I349)</f>
        <v>4975.6507338666106</v>
      </c>
      <c r="K181" s="115">
        <f>SUM(K182:K349)</f>
        <v>7952.108922797056</v>
      </c>
      <c r="M181" s="115">
        <f>SUM(M182:M349)</f>
        <v>8389.7207364192509</v>
      </c>
      <c r="O181" s="115">
        <f>SUM(O182:O349)</f>
        <v>453.2246541626921</v>
      </c>
      <c r="Q181" s="115">
        <f>SUM(Q182:Q349)</f>
        <v>3069.4139511960311</v>
      </c>
      <c r="S181" s="115">
        <f>SUM(S182:S349)</f>
        <v>188876.55051953322</v>
      </c>
      <c r="U181" s="115">
        <f>SUM(U182:U349)</f>
        <v>26658.618100225845</v>
      </c>
      <c r="W181" s="115">
        <f>SUM(W182:W349)</f>
        <v>5368789.0020500012</v>
      </c>
      <c r="Y181" s="115">
        <f>SUM(Y182:Y349)</f>
        <v>705396.46816284198</v>
      </c>
      <c r="AA181" s="115">
        <f>SUM(AA182:AA349)</f>
        <v>75119.37456033424</v>
      </c>
      <c r="AC181" s="115">
        <f>SUM(AC182:AC349)</f>
        <v>4195.0771797554362</v>
      </c>
      <c r="AE181" s="115">
        <f>SUM(AE182:AE349)</f>
        <v>842.35247278287466</v>
      </c>
      <c r="AG181" s="115">
        <f>SUM(AG182:AG349)</f>
        <v>126015.9460551473</v>
      </c>
      <c r="AI181" s="115">
        <f>SUM(AI182:AI349)</f>
        <v>37284.165007684525</v>
      </c>
      <c r="AK181" s="115">
        <f>SUM(AK182:AK349)</f>
        <v>5489337.0885419119</v>
      </c>
      <c r="AM181" s="115">
        <f>SUM(AM182:AM349)</f>
        <v>758021.30220424326</v>
      </c>
      <c r="AO181" s="115">
        <f>SUM(AO182:AO349)</f>
        <v>1417848.9672244487</v>
      </c>
      <c r="AQ181" s="115">
        <f>SUM(AQ182:AQ349)</f>
        <v>14526.022975728065</v>
      </c>
      <c r="AS181" s="115">
        <f>SUM(AS182:AS349)</f>
        <v>13119.219282594631</v>
      </c>
      <c r="AU181" s="115">
        <f>SUM(AU182:AU349)</f>
        <v>3024480.7302555908</v>
      </c>
      <c r="AW181" s="115">
        <f>SUM(AW182:AW349)</f>
        <v>19056269.78640705</v>
      </c>
      <c r="BA181" s="115">
        <f>SUM(BA182:BA349)</f>
        <v>1070491.2704226281</v>
      </c>
      <c r="CJ181" s="115">
        <f>SUM(CJ182:CJ349)</f>
        <v>2529752.2863999996</v>
      </c>
      <c r="CO181" s="115">
        <f>SUM(CO182:CO349)</f>
        <v>1180795.3411999999</v>
      </c>
      <c r="CT181" s="115">
        <f>SUM(CT182:CT349)</f>
        <v>1084.7075796889601</v>
      </c>
      <c r="CX181" s="115">
        <f>SUM(CX182:CX349)</f>
        <v>3757959.8351796889</v>
      </c>
    </row>
    <row r="182" spans="1:102" x14ac:dyDescent="0.25">
      <c r="A182" s="2">
        <v>1854</v>
      </c>
      <c r="C182" s="2">
        <f>B7*C7</f>
        <v>0</v>
      </c>
      <c r="E182" s="2">
        <f>D7*E7</f>
        <v>0</v>
      </c>
      <c r="G182" s="2">
        <f>F7*G7</f>
        <v>0</v>
      </c>
      <c r="I182" s="2">
        <f>H7*I7</f>
        <v>0</v>
      </c>
      <c r="K182" s="2">
        <f>J7*K7</f>
        <v>0</v>
      </c>
      <c r="M182" s="2">
        <f>L7*M7</f>
        <v>0</v>
      </c>
      <c r="O182" s="2">
        <f>N7*O7</f>
        <v>0</v>
      </c>
      <c r="Q182" s="2">
        <f>P7*Q7</f>
        <v>0</v>
      </c>
      <c r="S182" s="2">
        <f>R7*S7</f>
        <v>0</v>
      </c>
      <c r="U182" s="2">
        <f>T7*U7</f>
        <v>0</v>
      </c>
      <c r="W182" s="2">
        <f>V7*W7</f>
        <v>0</v>
      </c>
      <c r="Y182" s="2">
        <f>X7*Y7</f>
        <v>0</v>
      </c>
      <c r="AA182" s="2">
        <f>Z7*AA7</f>
        <v>0</v>
      </c>
      <c r="AC182" s="2">
        <f>AB7*AC7</f>
        <v>0</v>
      </c>
      <c r="AE182" s="2">
        <f>AD7*AE7</f>
        <v>0</v>
      </c>
      <c r="AG182" s="2">
        <f>AF7*AG7</f>
        <v>0</v>
      </c>
      <c r="AI182" s="2">
        <f>AH7*AI7</f>
        <v>0</v>
      </c>
      <c r="AK182" s="2">
        <f>AJ7*AK7</f>
        <v>0</v>
      </c>
      <c r="AM182" s="2">
        <f>AL7*AM7</f>
        <v>0</v>
      </c>
      <c r="AO182" s="2">
        <f>AN7*AO7</f>
        <v>0</v>
      </c>
      <c r="AQ182" s="2">
        <f>AP7*AQ7</f>
        <v>0</v>
      </c>
      <c r="AS182" s="2">
        <f>AR7*AS7</f>
        <v>0</v>
      </c>
      <c r="AU182" s="2">
        <f>AT7*AU7</f>
        <v>0</v>
      </c>
      <c r="AW182" s="2">
        <f>AV7*AW7</f>
        <v>0</v>
      </c>
      <c r="BA182" s="2">
        <f>AZ7*BA7</f>
        <v>6265.6719999999996</v>
      </c>
      <c r="CJ182" s="2">
        <f>CI7*CJ7</f>
        <v>0</v>
      </c>
      <c r="CO182" s="2">
        <f>CN7*CO7</f>
        <v>0</v>
      </c>
      <c r="CT182" s="2">
        <f>CS7*CT7</f>
        <v>0</v>
      </c>
      <c r="CX182" s="2">
        <f>CW7*CX7</f>
        <v>0</v>
      </c>
    </row>
    <row r="183" spans="1:102" x14ac:dyDescent="0.25">
      <c r="A183" s="2">
        <v>1855</v>
      </c>
      <c r="C183" s="2">
        <f t="shared" ref="C183:E246" si="22">B8*C8</f>
        <v>0</v>
      </c>
      <c r="E183" s="2">
        <f t="shared" si="22"/>
        <v>0</v>
      </c>
      <c r="G183" s="2">
        <f t="shared" ref="G183:I183" si="23">F8*G8</f>
        <v>0</v>
      </c>
      <c r="I183" s="2">
        <f t="shared" si="23"/>
        <v>0</v>
      </c>
      <c r="K183" s="2">
        <f t="shared" ref="K183" si="24">J8*K8</f>
        <v>0</v>
      </c>
      <c r="M183" s="2">
        <f t="shared" ref="M183" si="25">L8*M8</f>
        <v>0</v>
      </c>
      <c r="O183" s="2">
        <f t="shared" ref="O183" si="26">N8*O8</f>
        <v>0</v>
      </c>
      <c r="Q183" s="2">
        <f t="shared" ref="Q183" si="27">P8*Q8</f>
        <v>0</v>
      </c>
      <c r="S183" s="2">
        <f t="shared" ref="S183" si="28">R8*S8</f>
        <v>0</v>
      </c>
      <c r="U183" s="2">
        <f t="shared" ref="U183" si="29">T8*U8</f>
        <v>0</v>
      </c>
      <c r="W183" s="2">
        <f t="shared" ref="W183" si="30">V8*W8</f>
        <v>0</v>
      </c>
      <c r="Y183" s="2">
        <f t="shared" ref="Y183" si="31">X8*Y8</f>
        <v>0</v>
      </c>
      <c r="AA183" s="2">
        <f t="shared" ref="AA183" si="32">Z8*AA8</f>
        <v>0</v>
      </c>
      <c r="AC183" s="2">
        <f t="shared" ref="AC183" si="33">AB8*AC8</f>
        <v>0</v>
      </c>
      <c r="AE183" s="2">
        <f t="shared" ref="AE183" si="34">AD8*AE8</f>
        <v>0</v>
      </c>
      <c r="AG183" s="2">
        <f t="shared" ref="AG183" si="35">AF8*AG8</f>
        <v>0</v>
      </c>
      <c r="AI183" s="2">
        <f t="shared" ref="AI183" si="36">AH8*AI8</f>
        <v>0</v>
      </c>
      <c r="AK183" s="2">
        <f t="shared" ref="AK183" si="37">AJ8*AK8</f>
        <v>0</v>
      </c>
      <c r="AM183" s="2">
        <f t="shared" ref="AM183" si="38">AL8*AM8</f>
        <v>0</v>
      </c>
      <c r="AO183" s="2">
        <f t="shared" ref="AO183" si="39">AN8*AO8</f>
        <v>0</v>
      </c>
      <c r="AQ183" s="2">
        <f t="shared" ref="AQ183" si="40">AP8*AQ8</f>
        <v>0</v>
      </c>
      <c r="AS183" s="2">
        <f t="shared" ref="AS183" si="41">AR8*AS8</f>
        <v>0</v>
      </c>
      <c r="AU183" s="2">
        <f t="shared" ref="AU183" si="42">AT8*AU8</f>
        <v>0</v>
      </c>
      <c r="AW183" s="2">
        <f t="shared" ref="AW183" si="43">AV8*AW8</f>
        <v>0</v>
      </c>
      <c r="BA183" s="2">
        <f t="shared" ref="BA183:BA246" si="44">AZ8*BA8</f>
        <v>4242.308</v>
      </c>
      <c r="CJ183" s="2">
        <f t="shared" ref="CJ183" si="45">CI8*CJ8</f>
        <v>0</v>
      </c>
      <c r="CO183" s="2">
        <f t="shared" ref="CO183:CO246" si="46">CN8*CO8</f>
        <v>0</v>
      </c>
      <c r="CT183" s="2">
        <f t="shared" ref="CT183:CT246" si="47">CS8*CT8</f>
        <v>0</v>
      </c>
      <c r="CX183" s="2">
        <f t="shared" ref="CX183:CX246" si="48">CW8*CX8</f>
        <v>0</v>
      </c>
    </row>
    <row r="184" spans="1:102" x14ac:dyDescent="0.25">
      <c r="A184" s="2">
        <v>1856</v>
      </c>
      <c r="C184" s="2">
        <f t="shared" si="22"/>
        <v>0</v>
      </c>
      <c r="E184" s="2">
        <f t="shared" si="22"/>
        <v>0</v>
      </c>
      <c r="G184" s="2">
        <f t="shared" ref="G184:I184" si="49">F9*G9</f>
        <v>0</v>
      </c>
      <c r="I184" s="2">
        <f t="shared" si="49"/>
        <v>0</v>
      </c>
      <c r="K184" s="2">
        <f t="shared" ref="K184" si="50">J9*K9</f>
        <v>0</v>
      </c>
      <c r="M184" s="2">
        <f t="shared" ref="M184" si="51">L9*M9</f>
        <v>0</v>
      </c>
      <c r="O184" s="2">
        <f t="shared" ref="O184" si="52">N9*O9</f>
        <v>0</v>
      </c>
      <c r="Q184" s="2">
        <f t="shared" ref="Q184" si="53">P9*Q9</f>
        <v>0</v>
      </c>
      <c r="S184" s="2">
        <f t="shared" ref="S184" si="54">R9*S9</f>
        <v>0</v>
      </c>
      <c r="U184" s="2">
        <f t="shared" ref="U184" si="55">T9*U9</f>
        <v>0</v>
      </c>
      <c r="W184" s="2">
        <f t="shared" ref="W184" si="56">V9*W9</f>
        <v>0</v>
      </c>
      <c r="Y184" s="2">
        <f t="shared" ref="Y184" si="57">X9*Y9</f>
        <v>0</v>
      </c>
      <c r="AA184" s="2">
        <f t="shared" ref="AA184" si="58">Z9*AA9</f>
        <v>0</v>
      </c>
      <c r="AC184" s="2">
        <f t="shared" ref="AC184" si="59">AB9*AC9</f>
        <v>0</v>
      </c>
      <c r="AE184" s="2">
        <f t="shared" ref="AE184" si="60">AD9*AE9</f>
        <v>0</v>
      </c>
      <c r="AG184" s="2">
        <f t="shared" ref="AG184" si="61">AF9*AG9</f>
        <v>0</v>
      </c>
      <c r="AI184" s="2">
        <f t="shared" ref="AI184" si="62">AH9*AI9</f>
        <v>0</v>
      </c>
      <c r="AK184" s="2">
        <f t="shared" ref="AK184" si="63">AJ9*AK9</f>
        <v>0</v>
      </c>
      <c r="AM184" s="2">
        <f t="shared" ref="AM184" si="64">AL9*AM9</f>
        <v>0</v>
      </c>
      <c r="AO184" s="2">
        <f t="shared" ref="AO184" si="65">AN9*AO9</f>
        <v>0</v>
      </c>
      <c r="AQ184" s="2">
        <f t="shared" ref="AQ184" si="66">AP9*AQ9</f>
        <v>0</v>
      </c>
      <c r="AS184" s="2">
        <f t="shared" ref="AS184" si="67">AR9*AS9</f>
        <v>0</v>
      </c>
      <c r="AU184" s="2">
        <f t="shared" ref="AU184" si="68">AT9*AU9</f>
        <v>0</v>
      </c>
      <c r="AW184" s="2">
        <f t="shared" ref="AW184" si="69">AV9*AW9</f>
        <v>0</v>
      </c>
      <c r="BA184" s="2">
        <f t="shared" si="44"/>
        <v>39546.275999999998</v>
      </c>
      <c r="CJ184" s="2">
        <f t="shared" ref="CJ184" si="70">CI9*CJ9</f>
        <v>0</v>
      </c>
      <c r="CO184" s="2">
        <f t="shared" si="46"/>
        <v>0</v>
      </c>
      <c r="CT184" s="2">
        <f t="shared" si="47"/>
        <v>0</v>
      </c>
      <c r="CX184" s="2">
        <f t="shared" si="48"/>
        <v>0</v>
      </c>
    </row>
    <row r="185" spans="1:102" x14ac:dyDescent="0.25">
      <c r="A185" s="2">
        <v>1857</v>
      </c>
      <c r="C185" s="2">
        <f t="shared" si="22"/>
        <v>0</v>
      </c>
      <c r="E185" s="2">
        <f t="shared" si="22"/>
        <v>0</v>
      </c>
      <c r="G185" s="2">
        <f t="shared" ref="G185:I185" si="71">F10*G10</f>
        <v>0</v>
      </c>
      <c r="I185" s="2">
        <f t="shared" si="71"/>
        <v>0</v>
      </c>
      <c r="K185" s="2">
        <f t="shared" ref="K185" si="72">J10*K10</f>
        <v>0</v>
      </c>
      <c r="M185" s="2">
        <f t="shared" ref="M185" si="73">L10*M10</f>
        <v>0</v>
      </c>
      <c r="O185" s="2">
        <f t="shared" ref="O185" si="74">N10*O10</f>
        <v>0</v>
      </c>
      <c r="Q185" s="2">
        <f t="shared" ref="Q185" si="75">P10*Q10</f>
        <v>0</v>
      </c>
      <c r="S185" s="2">
        <f t="shared" ref="S185" si="76">R10*S10</f>
        <v>0</v>
      </c>
      <c r="U185" s="2">
        <f t="shared" ref="U185" si="77">T10*U10</f>
        <v>0</v>
      </c>
      <c r="W185" s="2">
        <f t="shared" ref="W185" si="78">V10*W10</f>
        <v>0</v>
      </c>
      <c r="Y185" s="2">
        <f t="shared" ref="Y185" si="79">X10*Y10</f>
        <v>0</v>
      </c>
      <c r="AA185" s="2">
        <f t="shared" ref="AA185" si="80">Z10*AA10</f>
        <v>0</v>
      </c>
      <c r="AC185" s="2">
        <f t="shared" ref="AC185" si="81">AB10*AC10</f>
        <v>0</v>
      </c>
      <c r="AE185" s="2">
        <f t="shared" ref="AE185" si="82">AD10*AE10</f>
        <v>0</v>
      </c>
      <c r="AG185" s="2">
        <f t="shared" ref="AG185" si="83">AF10*AG10</f>
        <v>0</v>
      </c>
      <c r="AI185" s="2">
        <f t="shared" ref="AI185" si="84">AH10*AI10</f>
        <v>0</v>
      </c>
      <c r="AK185" s="2">
        <f t="shared" ref="AK185" si="85">AJ10*AK10</f>
        <v>0</v>
      </c>
      <c r="AM185" s="2">
        <f t="shared" ref="AM185" si="86">AL10*AM10</f>
        <v>0</v>
      </c>
      <c r="AO185" s="2">
        <f t="shared" ref="AO185" si="87">AN10*AO10</f>
        <v>0</v>
      </c>
      <c r="AQ185" s="2">
        <f t="shared" ref="AQ185" si="88">AP10*AQ10</f>
        <v>0</v>
      </c>
      <c r="AS185" s="2">
        <f t="shared" ref="AS185" si="89">AR10*AS10</f>
        <v>0</v>
      </c>
      <c r="AU185" s="2">
        <f t="shared" ref="AU185" si="90">AT10*AU10</f>
        <v>0</v>
      </c>
      <c r="AW185" s="2">
        <f t="shared" ref="AW185" si="91">AV10*AW10</f>
        <v>0</v>
      </c>
      <c r="BA185" s="2">
        <f t="shared" si="44"/>
        <v>50320.955999999991</v>
      </c>
      <c r="CJ185" s="2">
        <f t="shared" ref="CJ185" si="92">CI10*CJ10</f>
        <v>0</v>
      </c>
      <c r="CO185" s="2">
        <f t="shared" si="46"/>
        <v>0</v>
      </c>
      <c r="CT185" s="2">
        <f t="shared" si="47"/>
        <v>0</v>
      </c>
      <c r="CX185" s="2">
        <f t="shared" si="48"/>
        <v>0</v>
      </c>
    </row>
    <row r="186" spans="1:102" x14ac:dyDescent="0.25">
      <c r="A186" s="2">
        <v>1858</v>
      </c>
      <c r="C186" s="2">
        <f t="shared" si="22"/>
        <v>0</v>
      </c>
      <c r="E186" s="2">
        <f t="shared" si="22"/>
        <v>0</v>
      </c>
      <c r="G186" s="2">
        <f t="shared" ref="G186:I186" si="93">F11*G11</f>
        <v>0</v>
      </c>
      <c r="I186" s="2">
        <f t="shared" si="93"/>
        <v>0</v>
      </c>
      <c r="K186" s="2">
        <f t="shared" ref="K186" si="94">J11*K11</f>
        <v>0</v>
      </c>
      <c r="M186" s="2">
        <f t="shared" ref="M186" si="95">L11*M11</f>
        <v>0</v>
      </c>
      <c r="O186" s="2">
        <f t="shared" ref="O186" si="96">N11*O11</f>
        <v>0</v>
      </c>
      <c r="Q186" s="2">
        <f t="shared" ref="Q186" si="97">P11*Q11</f>
        <v>0</v>
      </c>
      <c r="S186" s="2">
        <f t="shared" ref="S186" si="98">R11*S11</f>
        <v>0</v>
      </c>
      <c r="U186" s="2">
        <f t="shared" ref="U186" si="99">T11*U11</f>
        <v>0</v>
      </c>
      <c r="W186" s="2">
        <f t="shared" ref="W186" si="100">V11*W11</f>
        <v>0</v>
      </c>
      <c r="Y186" s="2">
        <f t="shared" ref="Y186" si="101">X11*Y11</f>
        <v>0</v>
      </c>
      <c r="AA186" s="2">
        <f t="shared" ref="AA186" si="102">Z11*AA11</f>
        <v>0</v>
      </c>
      <c r="AC186" s="2">
        <f t="shared" ref="AC186" si="103">AB11*AC11</f>
        <v>0</v>
      </c>
      <c r="AE186" s="2">
        <f t="shared" ref="AE186" si="104">AD11*AE11</f>
        <v>0</v>
      </c>
      <c r="AG186" s="2">
        <f t="shared" ref="AG186" si="105">AF11*AG11</f>
        <v>0</v>
      </c>
      <c r="AI186" s="2">
        <f t="shared" ref="AI186" si="106">AH11*AI11</f>
        <v>0</v>
      </c>
      <c r="AK186" s="2">
        <f t="shared" ref="AK186" si="107">AJ11*AK11</f>
        <v>0</v>
      </c>
      <c r="AM186" s="2">
        <f t="shared" ref="AM186" si="108">AL11*AM11</f>
        <v>0</v>
      </c>
      <c r="AO186" s="2">
        <f t="shared" ref="AO186" si="109">AN11*AO11</f>
        <v>0</v>
      </c>
      <c r="AQ186" s="2">
        <f t="shared" ref="AQ186" si="110">AP11*AQ11</f>
        <v>0</v>
      </c>
      <c r="AS186" s="2">
        <f t="shared" ref="AS186" si="111">AR11*AS11</f>
        <v>0</v>
      </c>
      <c r="AU186" s="2">
        <f t="shared" ref="AU186" si="112">AT11*AU11</f>
        <v>0</v>
      </c>
      <c r="AW186" s="2">
        <f t="shared" ref="AW186" si="113">AV11*AW11</f>
        <v>0</v>
      </c>
      <c r="BA186" s="2">
        <f t="shared" si="44"/>
        <v>25450.292000000001</v>
      </c>
      <c r="CJ186" s="2">
        <f t="shared" ref="CJ186" si="114">CI11*CJ11</f>
        <v>0</v>
      </c>
      <c r="CO186" s="2">
        <f t="shared" si="46"/>
        <v>0</v>
      </c>
      <c r="CT186" s="2">
        <f t="shared" si="47"/>
        <v>0</v>
      </c>
      <c r="CX186" s="2">
        <f t="shared" si="48"/>
        <v>0</v>
      </c>
    </row>
    <row r="187" spans="1:102" x14ac:dyDescent="0.25">
      <c r="A187" s="2">
        <v>1859</v>
      </c>
      <c r="C187" s="2">
        <f t="shared" si="22"/>
        <v>0</v>
      </c>
      <c r="E187" s="2">
        <f t="shared" si="22"/>
        <v>0</v>
      </c>
      <c r="G187" s="2">
        <f t="shared" ref="G187:I187" si="115">F12*G12</f>
        <v>0</v>
      </c>
      <c r="I187" s="2">
        <f t="shared" si="115"/>
        <v>0</v>
      </c>
      <c r="K187" s="2">
        <f t="shared" ref="K187" si="116">J12*K12</f>
        <v>0</v>
      </c>
      <c r="M187" s="2">
        <f t="shared" ref="M187" si="117">L12*M12</f>
        <v>0</v>
      </c>
      <c r="O187" s="2">
        <f t="shared" ref="O187" si="118">N12*O12</f>
        <v>0</v>
      </c>
      <c r="Q187" s="2">
        <f t="shared" ref="Q187" si="119">P12*Q12</f>
        <v>0</v>
      </c>
      <c r="S187" s="2">
        <f t="shared" ref="S187" si="120">R12*S12</f>
        <v>0</v>
      </c>
      <c r="U187" s="2">
        <f t="shared" ref="U187" si="121">T12*U12</f>
        <v>0</v>
      </c>
      <c r="W187" s="2">
        <f t="shared" ref="W187" si="122">V12*W12</f>
        <v>0</v>
      </c>
      <c r="Y187" s="2">
        <f t="shared" ref="Y187" si="123">X12*Y12</f>
        <v>0</v>
      </c>
      <c r="AA187" s="2">
        <f t="shared" ref="AA187" si="124">Z12*AA12</f>
        <v>0</v>
      </c>
      <c r="AC187" s="2">
        <f t="shared" ref="AC187" si="125">AB12*AC12</f>
        <v>0</v>
      </c>
      <c r="AE187" s="2">
        <f t="shared" ref="AE187" si="126">AD12*AE12</f>
        <v>0</v>
      </c>
      <c r="AG187" s="2">
        <f t="shared" ref="AG187" si="127">AF12*AG12</f>
        <v>0</v>
      </c>
      <c r="AI187" s="2">
        <f t="shared" ref="AI187" si="128">AH12*AI12</f>
        <v>0</v>
      </c>
      <c r="AK187" s="2">
        <f t="shared" ref="AK187" si="129">AJ12*AK12</f>
        <v>0</v>
      </c>
      <c r="AM187" s="2">
        <f t="shared" ref="AM187" si="130">AL12*AM12</f>
        <v>0</v>
      </c>
      <c r="AO187" s="2">
        <f t="shared" ref="AO187" si="131">AN12*AO12</f>
        <v>0</v>
      </c>
      <c r="AQ187" s="2">
        <f t="shared" ref="AQ187" si="132">AP12*AQ12</f>
        <v>0</v>
      </c>
      <c r="AS187" s="2">
        <f t="shared" ref="AS187" si="133">AR12*AS12</f>
        <v>0</v>
      </c>
      <c r="AU187" s="2">
        <f t="shared" ref="AU187" si="134">AT12*AU12</f>
        <v>0</v>
      </c>
      <c r="AW187" s="2">
        <f t="shared" ref="AW187" si="135">AV12*AW12</f>
        <v>0</v>
      </c>
      <c r="BA187" s="2">
        <f t="shared" si="44"/>
        <v>7762.7480000000014</v>
      </c>
      <c r="CJ187" s="2">
        <f t="shared" ref="CJ187" si="136">CI12*CJ12</f>
        <v>0</v>
      </c>
      <c r="CO187" s="2">
        <f t="shared" si="46"/>
        <v>0</v>
      </c>
      <c r="CT187" s="2">
        <f t="shared" si="47"/>
        <v>0</v>
      </c>
      <c r="CX187" s="2">
        <f t="shared" si="48"/>
        <v>0</v>
      </c>
    </row>
    <row r="188" spans="1:102" x14ac:dyDescent="0.25">
      <c r="A188" s="2">
        <v>1860</v>
      </c>
      <c r="C188" s="2">
        <f t="shared" si="22"/>
        <v>0</v>
      </c>
      <c r="E188" s="2">
        <f t="shared" si="22"/>
        <v>0</v>
      </c>
      <c r="G188" s="2">
        <f t="shared" ref="G188:I188" si="137">F13*G13</f>
        <v>0</v>
      </c>
      <c r="I188" s="2">
        <f t="shared" si="137"/>
        <v>0</v>
      </c>
      <c r="K188" s="2">
        <f t="shared" ref="K188" si="138">J13*K13</f>
        <v>0</v>
      </c>
      <c r="M188" s="2">
        <f t="shared" ref="M188" si="139">L13*M13</f>
        <v>0</v>
      </c>
      <c r="O188" s="2">
        <f t="shared" ref="O188" si="140">N13*O13</f>
        <v>0</v>
      </c>
      <c r="Q188" s="2">
        <f t="shared" ref="Q188" si="141">P13*Q13</f>
        <v>0</v>
      </c>
      <c r="S188" s="2">
        <f t="shared" ref="S188" si="142">R13*S13</f>
        <v>0</v>
      </c>
      <c r="U188" s="2">
        <f t="shared" ref="U188" si="143">T13*U13</f>
        <v>0</v>
      </c>
      <c r="W188" s="2">
        <f t="shared" ref="W188" si="144">V13*W13</f>
        <v>0</v>
      </c>
      <c r="Y188" s="2">
        <f t="shared" ref="Y188" si="145">X13*Y13</f>
        <v>0</v>
      </c>
      <c r="AA188" s="2">
        <f t="shared" ref="AA188" si="146">Z13*AA13</f>
        <v>0</v>
      </c>
      <c r="AC188" s="2">
        <f t="shared" ref="AC188" si="147">AB13*AC13</f>
        <v>0</v>
      </c>
      <c r="AE188" s="2">
        <f t="shared" ref="AE188" si="148">AD13*AE13</f>
        <v>0</v>
      </c>
      <c r="AG188" s="2">
        <f t="shared" ref="AG188" si="149">AF13*AG13</f>
        <v>0</v>
      </c>
      <c r="AI188" s="2">
        <f t="shared" ref="AI188" si="150">AH13*AI13</f>
        <v>0</v>
      </c>
      <c r="AK188" s="2">
        <f t="shared" ref="AK188" si="151">AJ13*AK13</f>
        <v>0</v>
      </c>
      <c r="AM188" s="2">
        <f t="shared" ref="AM188" si="152">AL13*AM13</f>
        <v>0</v>
      </c>
      <c r="AO188" s="2">
        <f t="shared" ref="AO188" si="153">AN13*AO13</f>
        <v>0</v>
      </c>
      <c r="AQ188" s="2">
        <f t="shared" ref="AQ188" si="154">AP13*AQ13</f>
        <v>0</v>
      </c>
      <c r="AS188" s="2">
        <f t="shared" ref="AS188" si="155">AR13*AS13</f>
        <v>0</v>
      </c>
      <c r="AU188" s="2">
        <f t="shared" ref="AU188" si="156">AT13*AU13</f>
        <v>0</v>
      </c>
      <c r="AW188" s="2">
        <f t="shared" ref="AW188" si="157">AV13*AW13</f>
        <v>0</v>
      </c>
      <c r="BA188" s="2">
        <f t="shared" si="44"/>
        <v>6937.7559999999994</v>
      </c>
      <c r="CJ188" s="2">
        <f t="shared" ref="CJ188" si="158">CI13*CJ13</f>
        <v>0</v>
      </c>
      <c r="CO188" s="2">
        <f t="shared" si="46"/>
        <v>0</v>
      </c>
      <c r="CT188" s="2">
        <f t="shared" si="47"/>
        <v>0</v>
      </c>
      <c r="CX188" s="2">
        <f t="shared" si="48"/>
        <v>0</v>
      </c>
    </row>
    <row r="189" spans="1:102" x14ac:dyDescent="0.25">
      <c r="A189" s="2">
        <v>1861</v>
      </c>
      <c r="C189" s="2">
        <f t="shared" si="22"/>
        <v>0</v>
      </c>
      <c r="E189" s="2">
        <f t="shared" si="22"/>
        <v>0</v>
      </c>
      <c r="G189" s="2">
        <f t="shared" ref="G189:I189" si="159">F14*G14</f>
        <v>0</v>
      </c>
      <c r="I189" s="2">
        <f t="shared" si="159"/>
        <v>0</v>
      </c>
      <c r="K189" s="2">
        <f t="shared" ref="K189" si="160">J14*K14</f>
        <v>0</v>
      </c>
      <c r="M189" s="2">
        <f t="shared" ref="M189" si="161">L14*M14</f>
        <v>0</v>
      </c>
      <c r="O189" s="2">
        <f t="shared" ref="O189" si="162">N14*O14</f>
        <v>0</v>
      </c>
      <c r="Q189" s="2">
        <f t="shared" ref="Q189" si="163">P14*Q14</f>
        <v>0</v>
      </c>
      <c r="S189" s="2">
        <f t="shared" ref="S189" si="164">R14*S14</f>
        <v>0</v>
      </c>
      <c r="U189" s="2">
        <f t="shared" ref="U189" si="165">T14*U14</f>
        <v>0</v>
      </c>
      <c r="W189" s="2">
        <f t="shared" ref="W189" si="166">V14*W14</f>
        <v>0</v>
      </c>
      <c r="Y189" s="2">
        <f t="shared" ref="Y189" si="167">X14*Y14</f>
        <v>0</v>
      </c>
      <c r="AA189" s="2">
        <f t="shared" ref="AA189" si="168">Z14*AA14</f>
        <v>0</v>
      </c>
      <c r="AC189" s="2">
        <f t="shared" ref="AC189" si="169">AB14*AC14</f>
        <v>0</v>
      </c>
      <c r="AE189" s="2">
        <f t="shared" ref="AE189" si="170">AD14*AE14</f>
        <v>0</v>
      </c>
      <c r="AG189" s="2">
        <f t="shared" ref="AG189" si="171">AF14*AG14</f>
        <v>0</v>
      </c>
      <c r="AI189" s="2">
        <f t="shared" ref="AI189" si="172">AH14*AI14</f>
        <v>0</v>
      </c>
      <c r="AK189" s="2">
        <f t="shared" ref="AK189" si="173">AJ14*AK14</f>
        <v>0</v>
      </c>
      <c r="AM189" s="2">
        <f t="shared" ref="AM189" si="174">AL14*AM14</f>
        <v>0</v>
      </c>
      <c r="AO189" s="2">
        <f t="shared" ref="AO189" si="175">AN14*AO14</f>
        <v>0</v>
      </c>
      <c r="AQ189" s="2">
        <f t="shared" ref="AQ189" si="176">AP14*AQ14</f>
        <v>0</v>
      </c>
      <c r="AS189" s="2">
        <f t="shared" ref="AS189" si="177">AR14*AS14</f>
        <v>0</v>
      </c>
      <c r="AU189" s="2">
        <f t="shared" ref="AU189" si="178">AT14*AU14</f>
        <v>0</v>
      </c>
      <c r="AW189" s="2">
        <f t="shared" ref="AW189" si="179">AV14*AW14</f>
        <v>0</v>
      </c>
      <c r="BA189" s="2">
        <f t="shared" si="44"/>
        <v>10579.1</v>
      </c>
      <c r="CJ189" s="2">
        <f t="shared" ref="CJ189" si="180">CI14*CJ14</f>
        <v>0</v>
      </c>
      <c r="CO189" s="2">
        <f t="shared" si="46"/>
        <v>0</v>
      </c>
      <c r="CT189" s="2">
        <f t="shared" si="47"/>
        <v>0</v>
      </c>
      <c r="CX189" s="2">
        <f t="shared" si="48"/>
        <v>0</v>
      </c>
    </row>
    <row r="190" spans="1:102" x14ac:dyDescent="0.25">
      <c r="A190" s="2">
        <v>1862</v>
      </c>
      <c r="C190" s="2">
        <f t="shared" si="22"/>
        <v>0</v>
      </c>
      <c r="E190" s="2">
        <f t="shared" si="22"/>
        <v>0</v>
      </c>
      <c r="G190" s="2">
        <f t="shared" ref="G190:I190" si="181">F15*G15</f>
        <v>0</v>
      </c>
      <c r="I190" s="2">
        <f t="shared" si="181"/>
        <v>0</v>
      </c>
      <c r="K190" s="2">
        <f t="shared" ref="K190" si="182">J15*K15</f>
        <v>0</v>
      </c>
      <c r="M190" s="2">
        <f t="shared" ref="M190" si="183">L15*M15</f>
        <v>0</v>
      </c>
      <c r="O190" s="2">
        <f t="shared" ref="O190" si="184">N15*O15</f>
        <v>0</v>
      </c>
      <c r="Q190" s="2">
        <f t="shared" ref="Q190" si="185">P15*Q15</f>
        <v>0</v>
      </c>
      <c r="S190" s="2">
        <f t="shared" ref="S190" si="186">R15*S15</f>
        <v>0</v>
      </c>
      <c r="U190" s="2">
        <f t="shared" ref="U190" si="187">T15*U15</f>
        <v>0</v>
      </c>
      <c r="W190" s="2">
        <f t="shared" ref="W190" si="188">V15*W15</f>
        <v>0</v>
      </c>
      <c r="Y190" s="2">
        <f t="shared" ref="Y190" si="189">X15*Y15</f>
        <v>0</v>
      </c>
      <c r="AA190" s="2">
        <f t="shared" ref="AA190" si="190">Z15*AA15</f>
        <v>0</v>
      </c>
      <c r="AC190" s="2">
        <f t="shared" ref="AC190" si="191">AB15*AC15</f>
        <v>0</v>
      </c>
      <c r="AE190" s="2">
        <f t="shared" ref="AE190" si="192">AD15*AE15</f>
        <v>0</v>
      </c>
      <c r="AG190" s="2">
        <f t="shared" ref="AG190" si="193">AF15*AG15</f>
        <v>0</v>
      </c>
      <c r="AI190" s="2">
        <f t="shared" ref="AI190" si="194">AH15*AI15</f>
        <v>0</v>
      </c>
      <c r="AK190" s="2">
        <f t="shared" ref="AK190" si="195">AJ15*AK15</f>
        <v>0</v>
      </c>
      <c r="AM190" s="2">
        <f t="shared" ref="AM190" si="196">AL15*AM15</f>
        <v>0</v>
      </c>
      <c r="AO190" s="2">
        <f t="shared" ref="AO190" si="197">AN15*AO15</f>
        <v>0</v>
      </c>
      <c r="AQ190" s="2">
        <f t="shared" ref="AQ190" si="198">AP15*AQ15</f>
        <v>0</v>
      </c>
      <c r="AS190" s="2">
        <f t="shared" ref="AS190" si="199">AR15*AS15</f>
        <v>0</v>
      </c>
      <c r="AU190" s="2">
        <f t="shared" ref="AU190" si="200">AT15*AU15</f>
        <v>0</v>
      </c>
      <c r="AW190" s="2">
        <f t="shared" ref="AW190" si="201">AV15*AW15</f>
        <v>0</v>
      </c>
      <c r="BA190" s="2">
        <f t="shared" si="44"/>
        <v>4850.384</v>
      </c>
      <c r="CJ190" s="2">
        <f t="shared" ref="CJ190" si="202">CI15*CJ15</f>
        <v>0</v>
      </c>
      <c r="CO190" s="2">
        <f t="shared" si="46"/>
        <v>0</v>
      </c>
      <c r="CT190" s="2">
        <f t="shared" si="47"/>
        <v>0</v>
      </c>
      <c r="CX190" s="2">
        <f t="shared" si="48"/>
        <v>0</v>
      </c>
    </row>
    <row r="191" spans="1:102" x14ac:dyDescent="0.25">
      <c r="A191" s="2">
        <v>1863</v>
      </c>
      <c r="C191" s="2">
        <f t="shared" si="22"/>
        <v>0</v>
      </c>
      <c r="E191" s="2">
        <f t="shared" si="22"/>
        <v>0</v>
      </c>
      <c r="G191" s="2">
        <f t="shared" ref="G191:I191" si="203">F16*G16</f>
        <v>0</v>
      </c>
      <c r="I191" s="2">
        <f t="shared" si="203"/>
        <v>0</v>
      </c>
      <c r="K191" s="2">
        <f t="shared" ref="K191" si="204">J16*K16</f>
        <v>0</v>
      </c>
      <c r="M191" s="2">
        <f t="shared" ref="M191" si="205">L16*M16</f>
        <v>0</v>
      </c>
      <c r="O191" s="2">
        <f t="shared" ref="O191" si="206">N16*O16</f>
        <v>0</v>
      </c>
      <c r="Q191" s="2">
        <f t="shared" ref="Q191" si="207">P16*Q16</f>
        <v>0</v>
      </c>
      <c r="S191" s="2">
        <f t="shared" ref="S191" si="208">R16*S16</f>
        <v>0</v>
      </c>
      <c r="U191" s="2">
        <f t="shared" ref="U191" si="209">T16*U16</f>
        <v>0</v>
      </c>
      <c r="W191" s="2">
        <f t="shared" ref="W191" si="210">V16*W16</f>
        <v>0</v>
      </c>
      <c r="Y191" s="2">
        <f t="shared" ref="Y191" si="211">X16*Y16</f>
        <v>0</v>
      </c>
      <c r="AA191" s="2">
        <f t="shared" ref="AA191" si="212">Z16*AA16</f>
        <v>0</v>
      </c>
      <c r="AC191" s="2">
        <f t="shared" ref="AC191" si="213">AB16*AC16</f>
        <v>0</v>
      </c>
      <c r="AE191" s="2">
        <f t="shared" ref="AE191" si="214">AD16*AE16</f>
        <v>0</v>
      </c>
      <c r="AG191" s="2">
        <f t="shared" ref="AG191" si="215">AF16*AG16</f>
        <v>0</v>
      </c>
      <c r="AI191" s="2">
        <f t="shared" ref="AI191" si="216">AH16*AI16</f>
        <v>0</v>
      </c>
      <c r="AK191" s="2">
        <f t="shared" ref="AK191" si="217">AJ16*AK16</f>
        <v>0</v>
      </c>
      <c r="AM191" s="2">
        <f t="shared" ref="AM191" si="218">AL16*AM16</f>
        <v>0</v>
      </c>
      <c r="AO191" s="2">
        <f t="shared" ref="AO191" si="219">AN16*AO16</f>
        <v>0</v>
      </c>
      <c r="AQ191" s="2">
        <f t="shared" ref="AQ191" si="220">AP16*AQ16</f>
        <v>0</v>
      </c>
      <c r="AS191" s="2">
        <f t="shared" ref="AS191" si="221">AR16*AS16</f>
        <v>0</v>
      </c>
      <c r="AU191" s="2">
        <f t="shared" ref="AU191" si="222">AT16*AU16</f>
        <v>0</v>
      </c>
      <c r="AW191" s="2">
        <f t="shared" ref="AW191" si="223">AV16*AW16</f>
        <v>0</v>
      </c>
      <c r="BA191" s="2">
        <f t="shared" si="44"/>
        <v>5547.3600000000006</v>
      </c>
      <c r="CJ191" s="2">
        <f t="shared" ref="CJ191" si="224">CI16*CJ16</f>
        <v>0</v>
      </c>
      <c r="CO191" s="2">
        <f t="shared" si="46"/>
        <v>0</v>
      </c>
      <c r="CT191" s="2">
        <f t="shared" si="47"/>
        <v>0</v>
      </c>
      <c r="CX191" s="2">
        <f t="shared" si="48"/>
        <v>0</v>
      </c>
    </row>
    <row r="192" spans="1:102" x14ac:dyDescent="0.25">
      <c r="A192" s="2">
        <v>1864</v>
      </c>
      <c r="C192" s="2">
        <f t="shared" si="22"/>
        <v>0</v>
      </c>
      <c r="E192" s="2">
        <f t="shared" si="22"/>
        <v>0</v>
      </c>
      <c r="G192" s="2">
        <f t="shared" ref="G192:I192" si="225">F17*G17</f>
        <v>0</v>
      </c>
      <c r="I192" s="2">
        <f t="shared" si="225"/>
        <v>0</v>
      </c>
      <c r="K192" s="2">
        <f t="shared" ref="K192" si="226">J17*K17</f>
        <v>0</v>
      </c>
      <c r="M192" s="2">
        <f t="shared" ref="M192" si="227">L17*M17</f>
        <v>0</v>
      </c>
      <c r="O192" s="2">
        <f t="shared" ref="O192" si="228">N17*O17</f>
        <v>0</v>
      </c>
      <c r="Q192" s="2">
        <f t="shared" ref="Q192" si="229">P17*Q17</f>
        <v>0</v>
      </c>
      <c r="S192" s="2">
        <f t="shared" ref="S192" si="230">R17*S17</f>
        <v>0</v>
      </c>
      <c r="U192" s="2">
        <f t="shared" ref="U192" si="231">T17*U17</f>
        <v>0</v>
      </c>
      <c r="W192" s="2">
        <f t="shared" ref="W192" si="232">V17*W17</f>
        <v>0</v>
      </c>
      <c r="Y192" s="2">
        <f t="shared" ref="Y192" si="233">X17*Y17</f>
        <v>0</v>
      </c>
      <c r="AA192" s="2">
        <f t="shared" ref="AA192" si="234">Z17*AA17</f>
        <v>0</v>
      </c>
      <c r="AC192" s="2">
        <f t="shared" ref="AC192" si="235">AB17*AC17</f>
        <v>0</v>
      </c>
      <c r="AE192" s="2">
        <f t="shared" ref="AE192" si="236">AD17*AE17</f>
        <v>0</v>
      </c>
      <c r="AG192" s="2">
        <f t="shared" ref="AG192" si="237">AF17*AG17</f>
        <v>0</v>
      </c>
      <c r="AI192" s="2">
        <f t="shared" ref="AI192" si="238">AH17*AI17</f>
        <v>0</v>
      </c>
      <c r="AK192" s="2">
        <f t="shared" ref="AK192" si="239">AJ17*AK17</f>
        <v>0</v>
      </c>
      <c r="AM192" s="2">
        <f t="shared" ref="AM192" si="240">AL17*AM17</f>
        <v>0</v>
      </c>
      <c r="AO192" s="2">
        <f t="shared" ref="AO192" si="241">AN17*AO17</f>
        <v>0</v>
      </c>
      <c r="AQ192" s="2">
        <f t="shared" ref="AQ192" si="242">AP17*AQ17</f>
        <v>0</v>
      </c>
      <c r="AS192" s="2">
        <f t="shared" ref="AS192" si="243">AR17*AS17</f>
        <v>0</v>
      </c>
      <c r="AU192" s="2">
        <f t="shared" ref="AU192" si="244">AT17*AU17</f>
        <v>0</v>
      </c>
      <c r="AW192" s="2">
        <f t="shared" ref="AW192" si="245">AV17*AW17</f>
        <v>0</v>
      </c>
      <c r="BA192" s="2">
        <f t="shared" si="44"/>
        <v>6649.7199999999993</v>
      </c>
      <c r="CJ192" s="2">
        <f t="shared" ref="CJ192" si="246">CI17*CJ17</f>
        <v>0</v>
      </c>
      <c r="CO192" s="2">
        <f t="shared" si="46"/>
        <v>0</v>
      </c>
      <c r="CT192" s="2">
        <f t="shared" si="47"/>
        <v>0</v>
      </c>
      <c r="CX192" s="2">
        <f t="shared" si="48"/>
        <v>0</v>
      </c>
    </row>
    <row r="193" spans="1:102" x14ac:dyDescent="0.25">
      <c r="A193" s="2">
        <v>1865</v>
      </c>
      <c r="C193" s="2">
        <f t="shared" si="22"/>
        <v>0</v>
      </c>
      <c r="E193" s="2">
        <f t="shared" si="22"/>
        <v>0</v>
      </c>
      <c r="G193" s="2">
        <f t="shared" ref="G193:I193" si="247">F18*G18</f>
        <v>0</v>
      </c>
      <c r="I193" s="2">
        <f t="shared" si="247"/>
        <v>0</v>
      </c>
      <c r="K193" s="2">
        <f t="shared" ref="K193" si="248">J18*K18</f>
        <v>0</v>
      </c>
      <c r="M193" s="2">
        <f t="shared" ref="M193" si="249">L18*M18</f>
        <v>0</v>
      </c>
      <c r="O193" s="2">
        <f t="shared" ref="O193" si="250">N18*O18</f>
        <v>0</v>
      </c>
      <c r="Q193" s="2">
        <f t="shared" ref="Q193" si="251">P18*Q18</f>
        <v>0</v>
      </c>
      <c r="S193" s="2">
        <f t="shared" ref="S193" si="252">R18*S18</f>
        <v>0</v>
      </c>
      <c r="U193" s="2">
        <f t="shared" ref="U193" si="253">T18*U18</f>
        <v>0</v>
      </c>
      <c r="W193" s="2">
        <f t="shared" ref="W193" si="254">V18*W18</f>
        <v>0</v>
      </c>
      <c r="Y193" s="2">
        <f t="shared" ref="Y193" si="255">X18*Y18</f>
        <v>0</v>
      </c>
      <c r="AA193" s="2">
        <f t="shared" ref="AA193" si="256">Z18*AA18</f>
        <v>0</v>
      </c>
      <c r="AC193" s="2">
        <f t="shared" ref="AC193" si="257">AB18*AC18</f>
        <v>0</v>
      </c>
      <c r="AE193" s="2">
        <f t="shared" ref="AE193" si="258">AD18*AE18</f>
        <v>0</v>
      </c>
      <c r="AG193" s="2">
        <f t="shared" ref="AG193" si="259">AF18*AG18</f>
        <v>0</v>
      </c>
      <c r="AI193" s="2">
        <f t="shared" ref="AI193" si="260">AH18*AI18</f>
        <v>0</v>
      </c>
      <c r="AK193" s="2">
        <f t="shared" ref="AK193" si="261">AJ18*AK18</f>
        <v>0</v>
      </c>
      <c r="AM193" s="2">
        <f t="shared" ref="AM193" si="262">AL18*AM18</f>
        <v>0</v>
      </c>
      <c r="AO193" s="2">
        <f t="shared" ref="AO193" si="263">AN18*AO18</f>
        <v>0</v>
      </c>
      <c r="AQ193" s="2">
        <f t="shared" ref="AQ193" si="264">AP18*AQ18</f>
        <v>0</v>
      </c>
      <c r="AS193" s="2">
        <f t="shared" ref="AS193" si="265">AR18*AS18</f>
        <v>0</v>
      </c>
      <c r="AU193" s="2">
        <f t="shared" ref="AU193" si="266">AT18*AU18</f>
        <v>0</v>
      </c>
      <c r="AW193" s="2">
        <f t="shared" ref="AW193" si="267">AV18*AW18</f>
        <v>0</v>
      </c>
      <c r="BA193" s="2">
        <f t="shared" si="44"/>
        <v>1166.3679999999999</v>
      </c>
      <c r="CJ193" s="2">
        <f t="shared" ref="CJ193" si="268">CI18*CJ18</f>
        <v>0</v>
      </c>
      <c r="CO193" s="2">
        <f t="shared" si="46"/>
        <v>0</v>
      </c>
      <c r="CT193" s="2">
        <f t="shared" si="47"/>
        <v>0</v>
      </c>
      <c r="CX193" s="2">
        <f t="shared" si="48"/>
        <v>0</v>
      </c>
    </row>
    <row r="194" spans="1:102" x14ac:dyDescent="0.25">
      <c r="A194" s="2">
        <v>1866</v>
      </c>
      <c r="C194" s="2">
        <f t="shared" si="22"/>
        <v>0</v>
      </c>
      <c r="E194" s="2">
        <f t="shared" si="22"/>
        <v>0</v>
      </c>
      <c r="G194" s="2">
        <f t="shared" ref="G194:I194" si="269">F19*G19</f>
        <v>0</v>
      </c>
      <c r="I194" s="2">
        <f t="shared" si="269"/>
        <v>0</v>
      </c>
      <c r="K194" s="2">
        <f t="shared" ref="K194" si="270">J19*K19</f>
        <v>0</v>
      </c>
      <c r="M194" s="2">
        <f t="shared" ref="M194" si="271">L19*M19</f>
        <v>0</v>
      </c>
      <c r="O194" s="2">
        <f t="shared" ref="O194" si="272">N19*O19</f>
        <v>0</v>
      </c>
      <c r="Q194" s="2">
        <f t="shared" ref="Q194" si="273">P19*Q19</f>
        <v>0</v>
      </c>
      <c r="S194" s="2">
        <f t="shared" ref="S194" si="274">R19*S19</f>
        <v>0</v>
      </c>
      <c r="U194" s="2">
        <f t="shared" ref="U194" si="275">T19*U19</f>
        <v>0</v>
      </c>
      <c r="W194" s="2">
        <f t="shared" ref="W194" si="276">V19*W19</f>
        <v>0</v>
      </c>
      <c r="Y194" s="2">
        <f t="shared" ref="Y194" si="277">X19*Y19</f>
        <v>0</v>
      </c>
      <c r="AA194" s="2">
        <f t="shared" ref="AA194" si="278">Z19*AA19</f>
        <v>0</v>
      </c>
      <c r="AC194" s="2">
        <f t="shared" ref="AC194" si="279">AB19*AC19</f>
        <v>0</v>
      </c>
      <c r="AE194" s="2">
        <f t="shared" ref="AE194" si="280">AD19*AE19</f>
        <v>0</v>
      </c>
      <c r="AG194" s="2">
        <f t="shared" ref="AG194" si="281">AF19*AG19</f>
        <v>0</v>
      </c>
      <c r="AI194" s="2">
        <f t="shared" ref="AI194" si="282">AH19*AI19</f>
        <v>0</v>
      </c>
      <c r="AK194" s="2">
        <f t="shared" ref="AK194" si="283">AJ19*AK19</f>
        <v>0</v>
      </c>
      <c r="AM194" s="2">
        <f t="shared" ref="AM194" si="284">AL19*AM19</f>
        <v>0</v>
      </c>
      <c r="AO194" s="2">
        <f t="shared" ref="AO194" si="285">AN19*AO19</f>
        <v>0</v>
      </c>
      <c r="AQ194" s="2">
        <f t="shared" ref="AQ194" si="286">AP19*AQ19</f>
        <v>0</v>
      </c>
      <c r="AS194" s="2">
        <f t="shared" ref="AS194" si="287">AR19*AS19</f>
        <v>0</v>
      </c>
      <c r="AU194" s="2">
        <f t="shared" ref="AU194" si="288">AT19*AU19</f>
        <v>0</v>
      </c>
      <c r="AW194" s="2">
        <f t="shared" ref="AW194" si="289">AV19*AW19</f>
        <v>0</v>
      </c>
      <c r="BA194" s="2">
        <f t="shared" si="44"/>
        <v>6575.0440000000008</v>
      </c>
      <c r="CJ194" s="2">
        <f t="shared" ref="CJ194" si="290">CI19*CJ19</f>
        <v>0</v>
      </c>
      <c r="CO194" s="2">
        <f t="shared" si="46"/>
        <v>0</v>
      </c>
      <c r="CT194" s="2">
        <f t="shared" si="47"/>
        <v>0</v>
      </c>
      <c r="CX194" s="2">
        <f t="shared" si="48"/>
        <v>0</v>
      </c>
    </row>
    <row r="195" spans="1:102" x14ac:dyDescent="0.25">
      <c r="A195" s="2">
        <v>1867</v>
      </c>
      <c r="C195" s="2">
        <f t="shared" si="22"/>
        <v>0</v>
      </c>
      <c r="E195" s="2">
        <f t="shared" si="22"/>
        <v>0</v>
      </c>
      <c r="G195" s="2">
        <f t="shared" ref="G195:I195" si="291">F20*G20</f>
        <v>0</v>
      </c>
      <c r="I195" s="2">
        <f t="shared" si="291"/>
        <v>0</v>
      </c>
      <c r="K195" s="2">
        <f t="shared" ref="K195" si="292">J20*K20</f>
        <v>0</v>
      </c>
      <c r="M195" s="2">
        <f t="shared" ref="M195" si="293">L20*M20</f>
        <v>0</v>
      </c>
      <c r="O195" s="2">
        <f t="shared" ref="O195" si="294">N20*O20</f>
        <v>0</v>
      </c>
      <c r="Q195" s="2">
        <f t="shared" ref="Q195" si="295">P20*Q20</f>
        <v>0</v>
      </c>
      <c r="S195" s="2">
        <f t="shared" ref="S195" si="296">R20*S20</f>
        <v>0</v>
      </c>
      <c r="U195" s="2">
        <f t="shared" ref="U195" si="297">T20*U20</f>
        <v>0</v>
      </c>
      <c r="W195" s="2">
        <f t="shared" ref="W195" si="298">V20*W20</f>
        <v>0</v>
      </c>
      <c r="Y195" s="2">
        <f t="shared" ref="Y195" si="299">X20*Y20</f>
        <v>0</v>
      </c>
      <c r="AA195" s="2">
        <f t="shared" ref="AA195" si="300">Z20*AA20</f>
        <v>0</v>
      </c>
      <c r="AC195" s="2">
        <f t="shared" ref="AC195" si="301">AB20*AC20</f>
        <v>0</v>
      </c>
      <c r="AE195" s="2">
        <f t="shared" ref="AE195" si="302">AD20*AE20</f>
        <v>0</v>
      </c>
      <c r="AG195" s="2">
        <f t="shared" ref="AG195" si="303">AF20*AG20</f>
        <v>0</v>
      </c>
      <c r="AI195" s="2">
        <f t="shared" ref="AI195" si="304">AH20*AI20</f>
        <v>0</v>
      </c>
      <c r="AK195" s="2">
        <f t="shared" ref="AK195" si="305">AJ20*AK20</f>
        <v>0</v>
      </c>
      <c r="AM195" s="2">
        <f t="shared" ref="AM195" si="306">AL20*AM20</f>
        <v>0</v>
      </c>
      <c r="AO195" s="2">
        <f t="shared" ref="AO195" si="307">AN20*AO20</f>
        <v>0</v>
      </c>
      <c r="AQ195" s="2">
        <f t="shared" ref="AQ195" si="308">AP20*AQ20</f>
        <v>0</v>
      </c>
      <c r="AS195" s="2">
        <f t="shared" ref="AS195" si="309">AR20*AS20</f>
        <v>0</v>
      </c>
      <c r="AU195" s="2">
        <f t="shared" ref="AU195" si="310">AT20*AU20</f>
        <v>0</v>
      </c>
      <c r="AW195" s="2">
        <f t="shared" ref="AW195" si="311">AV20*AW20</f>
        <v>0</v>
      </c>
      <c r="BA195" s="2">
        <f t="shared" si="44"/>
        <v>12623.800000000001</v>
      </c>
      <c r="CJ195" s="2">
        <f t="shared" ref="CJ195" si="312">CI20*CJ20</f>
        <v>0</v>
      </c>
      <c r="CO195" s="2">
        <f t="shared" si="46"/>
        <v>0</v>
      </c>
      <c r="CT195" s="2">
        <f t="shared" si="47"/>
        <v>0</v>
      </c>
      <c r="CX195" s="2">
        <f t="shared" si="48"/>
        <v>0</v>
      </c>
    </row>
    <row r="196" spans="1:102" x14ac:dyDescent="0.25">
      <c r="A196" s="2">
        <v>1868</v>
      </c>
      <c r="C196" s="2">
        <f t="shared" si="22"/>
        <v>0</v>
      </c>
      <c r="E196" s="2">
        <f t="shared" si="22"/>
        <v>0</v>
      </c>
      <c r="G196" s="2">
        <f t="shared" ref="G196:I196" si="313">F21*G21</f>
        <v>0</v>
      </c>
      <c r="I196" s="2">
        <f t="shared" si="313"/>
        <v>0</v>
      </c>
      <c r="K196" s="2">
        <f t="shared" ref="K196" si="314">J21*K21</f>
        <v>0</v>
      </c>
      <c r="M196" s="2">
        <f t="shared" ref="M196" si="315">L21*M21</f>
        <v>0</v>
      </c>
      <c r="O196" s="2">
        <f t="shared" ref="O196" si="316">N21*O21</f>
        <v>0</v>
      </c>
      <c r="Q196" s="2">
        <f t="shared" ref="Q196" si="317">P21*Q21</f>
        <v>0</v>
      </c>
      <c r="S196" s="2">
        <f t="shared" ref="S196" si="318">R21*S21</f>
        <v>0</v>
      </c>
      <c r="U196" s="2">
        <f t="shared" ref="U196" si="319">T21*U21</f>
        <v>0</v>
      </c>
      <c r="W196" s="2">
        <f t="shared" ref="W196" si="320">V21*W21</f>
        <v>0</v>
      </c>
      <c r="Y196" s="2">
        <f t="shared" ref="Y196" si="321">X21*Y21</f>
        <v>0</v>
      </c>
      <c r="AA196" s="2">
        <f t="shared" ref="AA196" si="322">Z21*AA21</f>
        <v>0</v>
      </c>
      <c r="AC196" s="2">
        <f t="shared" ref="AC196" si="323">AB21*AC21</f>
        <v>0</v>
      </c>
      <c r="AE196" s="2">
        <f t="shared" ref="AE196" si="324">AD21*AE21</f>
        <v>0</v>
      </c>
      <c r="AG196" s="2">
        <f t="shared" ref="AG196" si="325">AF21*AG21</f>
        <v>0</v>
      </c>
      <c r="AI196" s="2">
        <f t="shared" ref="AI196" si="326">AH21*AI21</f>
        <v>0</v>
      </c>
      <c r="AK196" s="2">
        <f t="shared" ref="AK196" si="327">AJ21*AK21</f>
        <v>0</v>
      </c>
      <c r="AM196" s="2">
        <f t="shared" ref="AM196" si="328">AL21*AM21</f>
        <v>0</v>
      </c>
      <c r="AO196" s="2">
        <f t="shared" ref="AO196" si="329">AN21*AO21</f>
        <v>0</v>
      </c>
      <c r="AQ196" s="2">
        <f t="shared" ref="AQ196" si="330">AP21*AQ21</f>
        <v>0</v>
      </c>
      <c r="AS196" s="2">
        <f t="shared" ref="AS196" si="331">AR21*AS21</f>
        <v>0</v>
      </c>
      <c r="AU196" s="2">
        <f t="shared" ref="AU196" si="332">AT21*AU21</f>
        <v>0</v>
      </c>
      <c r="AW196" s="2">
        <f t="shared" ref="AW196" si="333">AV21*AW21</f>
        <v>0</v>
      </c>
      <c r="BA196" s="2">
        <f t="shared" si="44"/>
        <v>15671.291999999999</v>
      </c>
      <c r="CJ196" s="2">
        <f t="shared" ref="CJ196" si="334">CI21*CJ21</f>
        <v>0</v>
      </c>
      <c r="CO196" s="2">
        <f t="shared" si="46"/>
        <v>0</v>
      </c>
      <c r="CT196" s="2">
        <f t="shared" si="47"/>
        <v>0</v>
      </c>
      <c r="CX196" s="2">
        <f t="shared" si="48"/>
        <v>0</v>
      </c>
    </row>
    <row r="197" spans="1:102" x14ac:dyDescent="0.25">
      <c r="A197" s="2">
        <v>1869</v>
      </c>
      <c r="C197" s="2">
        <f t="shared" si="22"/>
        <v>0</v>
      </c>
      <c r="E197" s="2">
        <f t="shared" si="22"/>
        <v>0</v>
      </c>
      <c r="G197" s="2">
        <f t="shared" ref="G197:I197" si="335">F22*G22</f>
        <v>0</v>
      </c>
      <c r="I197" s="2">
        <f t="shared" si="335"/>
        <v>0</v>
      </c>
      <c r="K197" s="2">
        <f t="shared" ref="K197" si="336">J22*K22</f>
        <v>0</v>
      </c>
      <c r="M197" s="2">
        <f t="shared" ref="M197" si="337">L22*M22</f>
        <v>0</v>
      </c>
      <c r="O197" s="2">
        <f t="shared" ref="O197" si="338">N22*O22</f>
        <v>0</v>
      </c>
      <c r="Q197" s="2">
        <f t="shared" ref="Q197" si="339">P22*Q22</f>
        <v>0</v>
      </c>
      <c r="S197" s="2">
        <f t="shared" ref="S197" si="340">R22*S22</f>
        <v>0</v>
      </c>
      <c r="U197" s="2">
        <f t="shared" ref="U197" si="341">T22*U22</f>
        <v>0</v>
      </c>
      <c r="W197" s="2">
        <f t="shared" ref="W197" si="342">V22*W22</f>
        <v>0</v>
      </c>
      <c r="Y197" s="2">
        <f t="shared" ref="Y197" si="343">X22*Y22</f>
        <v>0</v>
      </c>
      <c r="AA197" s="2">
        <f t="shared" ref="AA197" si="344">Z22*AA22</f>
        <v>0</v>
      </c>
      <c r="AC197" s="2">
        <f t="shared" ref="AC197" si="345">AB22*AC22</f>
        <v>0</v>
      </c>
      <c r="AE197" s="2">
        <f t="shared" ref="AE197" si="346">AD22*AE22</f>
        <v>0</v>
      </c>
      <c r="AG197" s="2">
        <f t="shared" ref="AG197" si="347">AF22*AG22</f>
        <v>0</v>
      </c>
      <c r="AI197" s="2">
        <f t="shared" ref="AI197" si="348">AH22*AI22</f>
        <v>0</v>
      </c>
      <c r="AK197" s="2">
        <f t="shared" ref="AK197" si="349">AJ22*AK22</f>
        <v>0</v>
      </c>
      <c r="AM197" s="2">
        <f t="shared" ref="AM197" si="350">AL22*AM22</f>
        <v>0</v>
      </c>
      <c r="AO197" s="2">
        <f t="shared" ref="AO197" si="351">AN22*AO22</f>
        <v>0</v>
      </c>
      <c r="AQ197" s="2">
        <f t="shared" ref="AQ197" si="352">AP22*AQ22</f>
        <v>0</v>
      </c>
      <c r="AS197" s="2">
        <f t="shared" ref="AS197" si="353">AR22*AS22</f>
        <v>0</v>
      </c>
      <c r="AU197" s="2">
        <f t="shared" ref="AU197" si="354">AT22*AU22</f>
        <v>0</v>
      </c>
      <c r="AW197" s="2">
        <f t="shared" ref="AW197" si="355">AV22*AW22</f>
        <v>0</v>
      </c>
      <c r="BA197" s="2">
        <f t="shared" si="44"/>
        <v>19134.835999999999</v>
      </c>
      <c r="CJ197" s="2">
        <f t="shared" ref="CJ197" si="356">CI22*CJ22</f>
        <v>0</v>
      </c>
      <c r="CO197" s="2">
        <f t="shared" si="46"/>
        <v>0</v>
      </c>
      <c r="CT197" s="2">
        <f t="shared" si="47"/>
        <v>0</v>
      </c>
      <c r="CX197" s="2">
        <f t="shared" si="48"/>
        <v>0</v>
      </c>
    </row>
    <row r="198" spans="1:102" x14ac:dyDescent="0.25">
      <c r="A198" s="2">
        <v>1870</v>
      </c>
      <c r="C198" s="2">
        <f t="shared" si="22"/>
        <v>0</v>
      </c>
      <c r="E198" s="2">
        <f t="shared" si="22"/>
        <v>0</v>
      </c>
      <c r="G198" s="2">
        <f t="shared" ref="G198:I198" si="357">F23*G23</f>
        <v>0</v>
      </c>
      <c r="I198" s="2">
        <f t="shared" si="357"/>
        <v>0</v>
      </c>
      <c r="K198" s="2">
        <f t="shared" ref="K198" si="358">J23*K23</f>
        <v>0</v>
      </c>
      <c r="M198" s="2">
        <f t="shared" ref="M198" si="359">L23*M23</f>
        <v>0</v>
      </c>
      <c r="O198" s="2">
        <f t="shared" ref="O198" si="360">N23*O23</f>
        <v>0</v>
      </c>
      <c r="Q198" s="2">
        <f t="shared" ref="Q198" si="361">P23*Q23</f>
        <v>0</v>
      </c>
      <c r="S198" s="2">
        <f t="shared" ref="S198" si="362">R23*S23</f>
        <v>0</v>
      </c>
      <c r="U198" s="2">
        <f t="shared" ref="U198" si="363">T23*U23</f>
        <v>0</v>
      </c>
      <c r="W198" s="2">
        <f t="shared" ref="W198" si="364">V23*W23</f>
        <v>0</v>
      </c>
      <c r="Y198" s="2">
        <f t="shared" ref="Y198" si="365">X23*Y23</f>
        <v>0</v>
      </c>
      <c r="AA198" s="2">
        <f t="shared" ref="AA198" si="366">Z23*AA23</f>
        <v>0</v>
      </c>
      <c r="AC198" s="2">
        <f t="shared" ref="AC198" si="367">AB23*AC23</f>
        <v>0</v>
      </c>
      <c r="AE198" s="2">
        <f t="shared" ref="AE198" si="368">AD23*AE23</f>
        <v>0</v>
      </c>
      <c r="AG198" s="2">
        <f t="shared" ref="AG198" si="369">AF23*AG23</f>
        <v>0</v>
      </c>
      <c r="AI198" s="2">
        <f t="shared" ref="AI198" si="370">AH23*AI23</f>
        <v>0</v>
      </c>
      <c r="AK198" s="2">
        <f t="shared" ref="AK198" si="371">AJ23*AK23</f>
        <v>0</v>
      </c>
      <c r="AM198" s="2">
        <f t="shared" ref="AM198" si="372">AL23*AM23</f>
        <v>0</v>
      </c>
      <c r="AO198" s="2">
        <f t="shared" ref="AO198" si="373">AN23*AO23</f>
        <v>0</v>
      </c>
      <c r="AQ198" s="2">
        <f t="shared" ref="AQ198" si="374">AP23*AQ23</f>
        <v>0</v>
      </c>
      <c r="AS198" s="2">
        <f t="shared" ref="AS198" si="375">AR23*AS23</f>
        <v>0</v>
      </c>
      <c r="AU198" s="2">
        <f t="shared" ref="AU198" si="376">AT23*AU23</f>
        <v>0</v>
      </c>
      <c r="AW198" s="2">
        <f t="shared" ref="AW198" si="377">AV23*AW23</f>
        <v>0</v>
      </c>
      <c r="BA198" s="2">
        <f t="shared" si="44"/>
        <v>10436.86</v>
      </c>
      <c r="CJ198" s="2">
        <f t="shared" ref="CJ198" si="378">CI23*CJ23</f>
        <v>0</v>
      </c>
      <c r="CO198" s="2">
        <f t="shared" si="46"/>
        <v>0</v>
      </c>
      <c r="CT198" s="2">
        <f t="shared" si="47"/>
        <v>0</v>
      </c>
      <c r="CX198" s="2">
        <f t="shared" si="48"/>
        <v>0</v>
      </c>
    </row>
    <row r="199" spans="1:102" x14ac:dyDescent="0.25">
      <c r="A199" s="2">
        <v>1871</v>
      </c>
      <c r="C199" s="2">
        <f t="shared" si="22"/>
        <v>0</v>
      </c>
      <c r="E199" s="2">
        <f t="shared" si="22"/>
        <v>0</v>
      </c>
      <c r="G199" s="2">
        <f t="shared" ref="G199:I199" si="379">F24*G24</f>
        <v>0</v>
      </c>
      <c r="I199" s="2">
        <f t="shared" si="379"/>
        <v>0</v>
      </c>
      <c r="K199" s="2">
        <f t="shared" ref="K199" si="380">J24*K24</f>
        <v>0</v>
      </c>
      <c r="M199" s="2">
        <f t="shared" ref="M199" si="381">L24*M24</f>
        <v>0</v>
      </c>
      <c r="O199" s="2">
        <f t="shared" ref="O199" si="382">N24*O24</f>
        <v>0</v>
      </c>
      <c r="Q199" s="2">
        <f t="shared" ref="Q199" si="383">P24*Q24</f>
        <v>0</v>
      </c>
      <c r="S199" s="2">
        <f t="shared" ref="S199" si="384">R24*S24</f>
        <v>0</v>
      </c>
      <c r="U199" s="2">
        <f t="shared" ref="U199" si="385">T24*U24</f>
        <v>0</v>
      </c>
      <c r="W199" s="2">
        <f t="shared" ref="W199" si="386">V24*W24</f>
        <v>0</v>
      </c>
      <c r="Y199" s="2">
        <f t="shared" ref="Y199" si="387">X24*Y24</f>
        <v>0</v>
      </c>
      <c r="AA199" s="2">
        <f t="shared" ref="AA199" si="388">Z24*AA24</f>
        <v>0</v>
      </c>
      <c r="AC199" s="2">
        <f t="shared" ref="AC199" si="389">AB24*AC24</f>
        <v>0</v>
      </c>
      <c r="AE199" s="2">
        <f t="shared" ref="AE199" si="390">AD24*AE24</f>
        <v>0</v>
      </c>
      <c r="AG199" s="2">
        <f t="shared" ref="AG199" si="391">AF24*AG24</f>
        <v>0</v>
      </c>
      <c r="AI199" s="2">
        <f t="shared" ref="AI199" si="392">AH24*AI24</f>
        <v>0</v>
      </c>
      <c r="AK199" s="2">
        <f t="shared" ref="AK199" si="393">AJ24*AK24</f>
        <v>0</v>
      </c>
      <c r="AM199" s="2">
        <f t="shared" ref="AM199" si="394">AL24*AM24</f>
        <v>0</v>
      </c>
      <c r="AO199" s="2">
        <f t="shared" ref="AO199" si="395">AN24*AO24</f>
        <v>0</v>
      </c>
      <c r="AQ199" s="2">
        <f t="shared" ref="AQ199" si="396">AP24*AQ24</f>
        <v>0</v>
      </c>
      <c r="AS199" s="2">
        <f t="shared" ref="AS199" si="397">AR24*AS24</f>
        <v>0</v>
      </c>
      <c r="AU199" s="2">
        <f t="shared" ref="AU199" si="398">AT24*AU24</f>
        <v>0</v>
      </c>
      <c r="AW199" s="2">
        <f t="shared" ref="AW199" si="399">AV24*AW24</f>
        <v>0</v>
      </c>
      <c r="BA199" s="2">
        <f t="shared" si="44"/>
        <v>17272</v>
      </c>
      <c r="CJ199" s="2">
        <f t="shared" ref="CJ199" si="400">CI24*CJ24</f>
        <v>0</v>
      </c>
      <c r="CO199" s="2">
        <f t="shared" si="46"/>
        <v>0</v>
      </c>
      <c r="CT199" s="2">
        <f t="shared" si="47"/>
        <v>0</v>
      </c>
      <c r="CX199" s="2">
        <f t="shared" si="48"/>
        <v>0</v>
      </c>
    </row>
    <row r="200" spans="1:102" x14ac:dyDescent="0.25">
      <c r="A200" s="2">
        <v>1872</v>
      </c>
      <c r="C200" s="2">
        <f t="shared" si="22"/>
        <v>0</v>
      </c>
      <c r="E200" s="2">
        <f t="shared" si="22"/>
        <v>0</v>
      </c>
      <c r="G200" s="2">
        <f t="shared" ref="G200:I200" si="401">F25*G25</f>
        <v>0</v>
      </c>
      <c r="I200" s="2">
        <f t="shared" si="401"/>
        <v>0</v>
      </c>
      <c r="K200" s="2">
        <f t="shared" ref="K200" si="402">J25*K25</f>
        <v>0</v>
      </c>
      <c r="M200" s="2">
        <f t="shared" ref="M200" si="403">L25*M25</f>
        <v>0</v>
      </c>
      <c r="O200" s="2">
        <f t="shared" ref="O200" si="404">N25*O25</f>
        <v>0</v>
      </c>
      <c r="Q200" s="2">
        <f t="shared" ref="Q200" si="405">P25*Q25</f>
        <v>0</v>
      </c>
      <c r="S200" s="2">
        <f t="shared" ref="S200" si="406">R25*S25</f>
        <v>0</v>
      </c>
      <c r="U200" s="2">
        <f t="shared" ref="U200" si="407">T25*U25</f>
        <v>0</v>
      </c>
      <c r="W200" s="2">
        <f t="shared" ref="W200" si="408">V25*W25</f>
        <v>9207.5</v>
      </c>
      <c r="Y200" s="2">
        <f t="shared" ref="Y200" si="409">X25*Y25</f>
        <v>0</v>
      </c>
      <c r="AA200" s="2">
        <f t="shared" ref="AA200" si="410">Z25*AA25</f>
        <v>0</v>
      </c>
      <c r="AC200" s="2">
        <f t="shared" ref="AC200" si="411">AB25*AC25</f>
        <v>0</v>
      </c>
      <c r="AE200" s="2">
        <f t="shared" ref="AE200" si="412">AD25*AE25</f>
        <v>0</v>
      </c>
      <c r="AG200" s="2">
        <f t="shared" ref="AG200" si="413">AF25*AG25</f>
        <v>0</v>
      </c>
      <c r="AI200" s="2">
        <f t="shared" ref="AI200" si="414">AH25*AI25</f>
        <v>0</v>
      </c>
      <c r="AK200" s="2">
        <f t="shared" ref="AK200" si="415">AJ25*AK25</f>
        <v>46037.5</v>
      </c>
      <c r="AM200" s="2">
        <f t="shared" ref="AM200" si="416">AL25*AM25</f>
        <v>0</v>
      </c>
      <c r="AO200" s="2">
        <f t="shared" ref="AO200" si="417">AN25*AO25</f>
        <v>9575.8000000000011</v>
      </c>
      <c r="AQ200" s="2">
        <f t="shared" ref="AQ200" si="418">AP25*AQ25</f>
        <v>0</v>
      </c>
      <c r="AS200" s="2">
        <f t="shared" ref="AS200" si="419">AR25*AS25</f>
        <v>0</v>
      </c>
      <c r="AU200" s="2">
        <f t="shared" ref="AU200" si="420">AT25*AU25</f>
        <v>0</v>
      </c>
      <c r="AW200" s="2">
        <f t="shared" ref="AW200" si="421">AV25*AW25</f>
        <v>64820.800000000003</v>
      </c>
      <c r="BA200" s="2">
        <f t="shared" si="44"/>
        <v>21726.017</v>
      </c>
      <c r="CJ200" s="2">
        <f t="shared" ref="CJ200" si="422">CI25*CJ25</f>
        <v>0</v>
      </c>
      <c r="CO200" s="2">
        <f t="shared" si="46"/>
        <v>0</v>
      </c>
      <c r="CT200" s="2">
        <f t="shared" si="47"/>
        <v>0</v>
      </c>
      <c r="CX200" s="2">
        <f t="shared" si="48"/>
        <v>0</v>
      </c>
    </row>
    <row r="201" spans="1:102" x14ac:dyDescent="0.25">
      <c r="A201" s="2">
        <v>1873</v>
      </c>
      <c r="C201" s="2">
        <f t="shared" si="22"/>
        <v>0</v>
      </c>
      <c r="E201" s="2">
        <f t="shared" si="22"/>
        <v>0</v>
      </c>
      <c r="G201" s="2">
        <f t="shared" ref="G201:I201" si="423">F26*G26</f>
        <v>0</v>
      </c>
      <c r="I201" s="2">
        <f t="shared" si="423"/>
        <v>0</v>
      </c>
      <c r="K201" s="2">
        <f t="shared" ref="K201" si="424">J26*K26</f>
        <v>0</v>
      </c>
      <c r="M201" s="2">
        <f t="shared" ref="M201" si="425">L26*M26</f>
        <v>0</v>
      </c>
      <c r="O201" s="2">
        <f t="shared" ref="O201" si="426">N26*O26</f>
        <v>0</v>
      </c>
      <c r="Q201" s="2">
        <f t="shared" ref="Q201" si="427">P26*Q26</f>
        <v>0</v>
      </c>
      <c r="S201" s="2">
        <f t="shared" ref="S201" si="428">R26*S26</f>
        <v>0</v>
      </c>
      <c r="U201" s="2">
        <f t="shared" ref="U201" si="429">T26*U26</f>
        <v>0</v>
      </c>
      <c r="W201" s="2">
        <f t="shared" ref="W201" si="430">V26*W26</f>
        <v>93916.5</v>
      </c>
      <c r="Y201" s="2">
        <f t="shared" ref="Y201" si="431">X26*Y26</f>
        <v>0</v>
      </c>
      <c r="AA201" s="2">
        <f t="shared" ref="AA201" si="432">Z26*AA26</f>
        <v>0</v>
      </c>
      <c r="AC201" s="2">
        <f t="shared" ref="AC201" si="433">AB26*AC26</f>
        <v>0</v>
      </c>
      <c r="AE201" s="2">
        <f t="shared" ref="AE201" si="434">AD26*AE26</f>
        <v>0</v>
      </c>
      <c r="AG201" s="2">
        <f t="shared" ref="AG201" si="435">AF26*AG26</f>
        <v>0</v>
      </c>
      <c r="AI201" s="2">
        <f t="shared" ref="AI201" si="436">AH26*AI26</f>
        <v>0</v>
      </c>
      <c r="AK201" s="2">
        <f t="shared" ref="AK201" si="437">AJ26*AK26</f>
        <v>128905</v>
      </c>
      <c r="AM201" s="2">
        <f t="shared" ref="AM201" si="438">AL26*AM26</f>
        <v>0</v>
      </c>
      <c r="AO201" s="2">
        <f t="shared" ref="AO201" si="439">AN26*AO26</f>
        <v>93916.5</v>
      </c>
      <c r="AQ201" s="2">
        <f t="shared" ref="AQ201" si="440">AP26*AQ26</f>
        <v>0</v>
      </c>
      <c r="AS201" s="2">
        <f t="shared" ref="AS201" si="441">AR26*AS26</f>
        <v>0</v>
      </c>
      <c r="AU201" s="2">
        <f t="shared" ref="AU201" si="442">AT26*AU26</f>
        <v>0</v>
      </c>
      <c r="AW201" s="2">
        <f t="shared" ref="AW201" si="443">AV26*AW26</f>
        <v>316738</v>
      </c>
      <c r="BA201" s="2">
        <f t="shared" si="44"/>
        <v>12431.776</v>
      </c>
      <c r="CJ201" s="2">
        <f t="shared" ref="CJ201" si="444">CI26*CJ26</f>
        <v>0</v>
      </c>
      <c r="CO201" s="2">
        <f t="shared" si="46"/>
        <v>0</v>
      </c>
      <c r="CT201" s="2">
        <f t="shared" si="47"/>
        <v>0</v>
      </c>
      <c r="CX201" s="2">
        <f t="shared" si="48"/>
        <v>0</v>
      </c>
    </row>
    <row r="202" spans="1:102" x14ac:dyDescent="0.25">
      <c r="A202" s="2">
        <v>1874</v>
      </c>
      <c r="C202" s="2">
        <f t="shared" si="22"/>
        <v>0</v>
      </c>
      <c r="E202" s="2">
        <f t="shared" si="22"/>
        <v>0</v>
      </c>
      <c r="G202" s="2">
        <f t="shared" ref="G202:I202" si="445">F27*G27</f>
        <v>0</v>
      </c>
      <c r="I202" s="2">
        <f t="shared" si="445"/>
        <v>0</v>
      </c>
      <c r="K202" s="2">
        <f t="shared" ref="K202" si="446">J27*K27</f>
        <v>0</v>
      </c>
      <c r="M202" s="2">
        <f t="shared" ref="M202" si="447">L27*M27</f>
        <v>0</v>
      </c>
      <c r="O202" s="2">
        <f t="shared" ref="O202" si="448">N27*O27</f>
        <v>0</v>
      </c>
      <c r="Q202" s="2">
        <f t="shared" ref="Q202" si="449">P27*Q27</f>
        <v>0</v>
      </c>
      <c r="S202" s="2">
        <f t="shared" ref="S202" si="450">R27*S27</f>
        <v>0</v>
      </c>
      <c r="U202" s="2">
        <f t="shared" ref="U202" si="451">T27*U27</f>
        <v>0</v>
      </c>
      <c r="W202" s="2">
        <f t="shared" ref="W202" si="452">V27*W27</f>
        <v>92075</v>
      </c>
      <c r="Y202" s="2">
        <f t="shared" ref="Y202" si="453">X27*Y27</f>
        <v>0</v>
      </c>
      <c r="AA202" s="2">
        <f t="shared" ref="AA202" si="454">Z27*AA27</f>
        <v>0</v>
      </c>
      <c r="AC202" s="2">
        <f t="shared" ref="AC202" si="455">AB27*AC27</f>
        <v>0</v>
      </c>
      <c r="AE202" s="2">
        <f t="shared" ref="AE202" si="456">AD27*AE27</f>
        <v>0</v>
      </c>
      <c r="AG202" s="2">
        <f t="shared" ref="AG202" si="457">AF27*AG27</f>
        <v>0</v>
      </c>
      <c r="AI202" s="2">
        <f t="shared" ref="AI202" si="458">AH27*AI27</f>
        <v>0</v>
      </c>
      <c r="AK202" s="2">
        <f t="shared" ref="AK202" si="459">AJ27*AK27</f>
        <v>183045.1</v>
      </c>
      <c r="AM202" s="2">
        <f t="shared" ref="AM202" si="460">AL27*AM27</f>
        <v>0</v>
      </c>
      <c r="AO202" s="2">
        <f t="shared" ref="AO202" si="461">AN27*AO27</f>
        <v>92075</v>
      </c>
      <c r="AQ202" s="2">
        <f t="shared" ref="AQ202" si="462">AP27*AQ27</f>
        <v>0</v>
      </c>
      <c r="AS202" s="2">
        <f t="shared" ref="AS202" si="463">AR27*AS27</f>
        <v>0</v>
      </c>
      <c r="AU202" s="2">
        <f t="shared" ref="AU202" si="464">AT27*AU27</f>
        <v>0</v>
      </c>
      <c r="AW202" s="2">
        <f t="shared" ref="AW202" si="465">AV27*AW27</f>
        <v>367195.09999999992</v>
      </c>
      <c r="BA202" s="2">
        <f t="shared" si="44"/>
        <v>8206.8718068252329</v>
      </c>
      <c r="CJ202" s="2">
        <f t="shared" ref="CJ202" si="466">CI27*CJ27</f>
        <v>0</v>
      </c>
      <c r="CO202" s="2">
        <f t="shared" si="46"/>
        <v>0</v>
      </c>
      <c r="CT202" s="2">
        <f t="shared" si="47"/>
        <v>0</v>
      </c>
      <c r="CX202" s="2">
        <f t="shared" si="48"/>
        <v>0</v>
      </c>
    </row>
    <row r="203" spans="1:102" x14ac:dyDescent="0.25">
      <c r="A203" s="2">
        <v>1875</v>
      </c>
      <c r="C203" s="2">
        <f t="shared" si="22"/>
        <v>0</v>
      </c>
      <c r="E203" s="2">
        <f t="shared" si="22"/>
        <v>0</v>
      </c>
      <c r="G203" s="2">
        <f t="shared" ref="G203:I203" si="467">F28*G28</f>
        <v>0</v>
      </c>
      <c r="I203" s="2">
        <f t="shared" si="467"/>
        <v>0</v>
      </c>
      <c r="K203" s="2">
        <f t="shared" ref="K203" si="468">J28*K28</f>
        <v>0</v>
      </c>
      <c r="M203" s="2">
        <f t="shared" ref="M203" si="469">L28*M28</f>
        <v>0</v>
      </c>
      <c r="O203" s="2">
        <f t="shared" ref="O203" si="470">N28*O28</f>
        <v>0</v>
      </c>
      <c r="Q203" s="2">
        <f t="shared" ref="Q203" si="471">P28*Q28</f>
        <v>0</v>
      </c>
      <c r="S203" s="2">
        <f t="shared" ref="S203" si="472">R28*S28</f>
        <v>0</v>
      </c>
      <c r="U203" s="2">
        <f t="shared" ref="U203" si="473">T28*U28</f>
        <v>0</v>
      </c>
      <c r="W203" s="2">
        <f t="shared" ref="W203" si="474">V28*W28</f>
        <v>123306.84000000001</v>
      </c>
      <c r="Y203" s="2">
        <f t="shared" ref="Y203" si="475">X28*Y28</f>
        <v>0</v>
      </c>
      <c r="AA203" s="2">
        <f t="shared" ref="AA203" si="476">Z28*AA28</f>
        <v>0</v>
      </c>
      <c r="AC203" s="2">
        <f t="shared" ref="AC203" si="477">AB28*AC28</f>
        <v>0</v>
      </c>
      <c r="AE203" s="2">
        <f t="shared" ref="AE203" si="478">AD28*AE28</f>
        <v>0</v>
      </c>
      <c r="AG203" s="2">
        <f t="shared" ref="AG203" si="479">AF28*AG28</f>
        <v>0</v>
      </c>
      <c r="AI203" s="2">
        <f t="shared" ref="AI203" si="480">AH28*AI28</f>
        <v>0</v>
      </c>
      <c r="AK203" s="2">
        <f t="shared" ref="AK203" si="481">AJ28*AK28</f>
        <v>223926.39999999999</v>
      </c>
      <c r="AM203" s="2">
        <f t="shared" ref="AM203" si="482">AL28*AM28</f>
        <v>0</v>
      </c>
      <c r="AO203" s="2">
        <f t="shared" ref="AO203" si="483">AN28*AO28</f>
        <v>114909.6</v>
      </c>
      <c r="AQ203" s="2">
        <f t="shared" ref="AQ203" si="484">AP28*AQ28</f>
        <v>0</v>
      </c>
      <c r="AS203" s="2">
        <f t="shared" ref="AS203" si="485">AR28*AS28</f>
        <v>0</v>
      </c>
      <c r="AU203" s="2">
        <f t="shared" ref="AU203" si="486">AT28*AU28</f>
        <v>0</v>
      </c>
      <c r="AW203" s="2">
        <f t="shared" ref="AW203" si="487">AV28*AW28</f>
        <v>462142.84</v>
      </c>
      <c r="BA203" s="2">
        <f t="shared" si="44"/>
        <v>4824.7300000000005</v>
      </c>
      <c r="CJ203" s="2">
        <f t="shared" ref="CJ203" si="488">CI28*CJ28</f>
        <v>0</v>
      </c>
      <c r="CO203" s="2">
        <f t="shared" si="46"/>
        <v>0</v>
      </c>
      <c r="CT203" s="2">
        <f t="shared" si="47"/>
        <v>0</v>
      </c>
      <c r="CX203" s="2">
        <f t="shared" si="48"/>
        <v>0</v>
      </c>
    </row>
    <row r="204" spans="1:102" x14ac:dyDescent="0.25">
      <c r="A204" s="2">
        <v>1876</v>
      </c>
      <c r="C204" s="2">
        <f t="shared" si="22"/>
        <v>0</v>
      </c>
      <c r="E204" s="2">
        <f t="shared" si="22"/>
        <v>0</v>
      </c>
      <c r="G204" s="2">
        <f t="shared" ref="G204:I204" si="489">F29*G29</f>
        <v>0</v>
      </c>
      <c r="I204" s="2">
        <f t="shared" si="489"/>
        <v>0</v>
      </c>
      <c r="K204" s="2">
        <f t="shared" ref="K204" si="490">J29*K29</f>
        <v>0</v>
      </c>
      <c r="M204" s="2">
        <f t="shared" ref="M204" si="491">L29*M29</f>
        <v>0</v>
      </c>
      <c r="O204" s="2">
        <f t="shared" ref="O204" si="492">N29*O29</f>
        <v>0</v>
      </c>
      <c r="Q204" s="2">
        <f t="shared" ref="Q204" si="493">P29*Q29</f>
        <v>0</v>
      </c>
      <c r="S204" s="2">
        <f t="shared" ref="S204" si="494">R29*S29</f>
        <v>0</v>
      </c>
      <c r="U204" s="2">
        <f t="shared" ref="U204" si="495">T29*U29</f>
        <v>0</v>
      </c>
      <c r="W204" s="2">
        <f t="shared" ref="W204" si="496">V29*W29</f>
        <v>169418</v>
      </c>
      <c r="Y204" s="2">
        <f t="shared" ref="Y204" si="497">X29*Y29</f>
        <v>73660</v>
      </c>
      <c r="AA204" s="2">
        <f t="shared" ref="AA204" si="498">Z29*AA29</f>
        <v>0</v>
      </c>
      <c r="AC204" s="2">
        <f t="shared" ref="AC204" si="499">AB29*AC29</f>
        <v>0</v>
      </c>
      <c r="AE204" s="2">
        <f t="shared" ref="AE204" si="500">AD29*AE29</f>
        <v>0</v>
      </c>
      <c r="AG204" s="2">
        <f t="shared" ref="AG204" si="501">AF29*AG29</f>
        <v>0</v>
      </c>
      <c r="AI204" s="2">
        <f t="shared" ref="AI204" si="502">AH29*AI29</f>
        <v>0</v>
      </c>
      <c r="AK204" s="2">
        <f t="shared" ref="AK204" si="503">AJ29*AK29</f>
        <v>221606.11</v>
      </c>
      <c r="AM204" s="2">
        <f t="shared" ref="AM204" si="504">AL29*AM29</f>
        <v>0</v>
      </c>
      <c r="AO204" s="2">
        <f t="shared" ref="AO204" si="505">AN29*AO29</f>
        <v>102092.76</v>
      </c>
      <c r="AQ204" s="2">
        <f t="shared" ref="AQ204" si="506">AP29*AQ29</f>
        <v>0</v>
      </c>
      <c r="AS204" s="2">
        <f t="shared" ref="AS204" si="507">AR29*AS29</f>
        <v>0</v>
      </c>
      <c r="AU204" s="2">
        <f t="shared" ref="AU204" si="508">AT29*AU29</f>
        <v>0</v>
      </c>
      <c r="AW204" s="2">
        <f t="shared" ref="AW204" si="509">AV29*AW29</f>
        <v>566776.87</v>
      </c>
      <c r="BA204" s="2">
        <f t="shared" si="44"/>
        <v>1920.2400000000002</v>
      </c>
      <c r="CJ204" s="2">
        <f t="shared" ref="CJ204" si="510">CI29*CJ29</f>
        <v>0</v>
      </c>
      <c r="CO204" s="2">
        <f t="shared" si="46"/>
        <v>0</v>
      </c>
      <c r="CT204" s="2">
        <f t="shared" si="47"/>
        <v>0</v>
      </c>
      <c r="CX204" s="2">
        <f t="shared" si="48"/>
        <v>0</v>
      </c>
    </row>
    <row r="205" spans="1:102" x14ac:dyDescent="0.25">
      <c r="A205" s="2">
        <v>1877</v>
      </c>
      <c r="C205" s="2">
        <f t="shared" si="22"/>
        <v>0</v>
      </c>
      <c r="E205" s="2">
        <f t="shared" si="22"/>
        <v>0</v>
      </c>
      <c r="G205" s="2">
        <f t="shared" ref="G205:I205" si="511">F30*G30</f>
        <v>0</v>
      </c>
      <c r="I205" s="2">
        <f t="shared" si="511"/>
        <v>0</v>
      </c>
      <c r="K205" s="2">
        <f t="shared" ref="K205" si="512">J30*K30</f>
        <v>0</v>
      </c>
      <c r="M205" s="2">
        <f t="shared" ref="M205" si="513">L30*M30</f>
        <v>0</v>
      </c>
      <c r="O205" s="2">
        <f t="shared" ref="O205" si="514">N30*O30</f>
        <v>0</v>
      </c>
      <c r="Q205" s="2">
        <f t="shared" ref="Q205" si="515">P30*Q30</f>
        <v>0</v>
      </c>
      <c r="S205" s="2">
        <f t="shared" ref="S205" si="516">R30*S30</f>
        <v>0</v>
      </c>
      <c r="U205" s="2">
        <f t="shared" ref="U205" si="517">T30*U30</f>
        <v>0</v>
      </c>
      <c r="W205" s="2">
        <f t="shared" ref="W205" si="518">V30*W30</f>
        <v>132588</v>
      </c>
      <c r="Y205" s="2">
        <f t="shared" ref="Y205" si="519">X30*Y30</f>
        <v>7366</v>
      </c>
      <c r="AA205" s="2">
        <f t="shared" ref="AA205" si="520">Z30*AA30</f>
        <v>0</v>
      </c>
      <c r="AC205" s="2">
        <f t="shared" ref="AC205" si="521">AB30*AC30</f>
        <v>0</v>
      </c>
      <c r="AE205" s="2">
        <f t="shared" ref="AE205" si="522">AD30*AE30</f>
        <v>0</v>
      </c>
      <c r="AG205" s="2">
        <f t="shared" ref="AG205" si="523">AF30*AG30</f>
        <v>0</v>
      </c>
      <c r="AI205" s="2">
        <f t="shared" ref="AI205" si="524">AH30*AI30</f>
        <v>0</v>
      </c>
      <c r="AK205" s="2">
        <f t="shared" ref="AK205" si="525">AJ30*AK30</f>
        <v>128831.34</v>
      </c>
      <c r="AM205" s="2">
        <f t="shared" ref="AM205" si="526">AL30*AM30</f>
        <v>0</v>
      </c>
      <c r="AO205" s="2">
        <f t="shared" ref="AO205" si="527">AN30*AO30</f>
        <v>102755.7</v>
      </c>
      <c r="AQ205" s="2">
        <f t="shared" ref="AQ205" si="528">AP30*AQ30</f>
        <v>0</v>
      </c>
      <c r="AS205" s="2">
        <f t="shared" ref="AS205" si="529">AR30*AS30</f>
        <v>0</v>
      </c>
      <c r="AU205" s="2">
        <f t="shared" ref="AU205" si="530">AT30*AU30</f>
        <v>0</v>
      </c>
      <c r="AW205" s="2">
        <f t="shared" ref="AW205" si="531">AV30*AW30</f>
        <v>371541.04</v>
      </c>
      <c r="BA205" s="2">
        <f t="shared" si="44"/>
        <v>6731.5079999999998</v>
      </c>
      <c r="CJ205" s="2">
        <f t="shared" ref="CJ205" si="532">CI30*CJ30</f>
        <v>0</v>
      </c>
      <c r="CO205" s="2">
        <f t="shared" si="46"/>
        <v>0</v>
      </c>
      <c r="CT205" s="2">
        <f t="shared" si="47"/>
        <v>0</v>
      </c>
      <c r="CX205" s="2">
        <f t="shared" si="48"/>
        <v>0</v>
      </c>
    </row>
    <row r="206" spans="1:102" x14ac:dyDescent="0.25">
      <c r="A206" s="2">
        <v>1878</v>
      </c>
      <c r="C206" s="2">
        <f t="shared" si="22"/>
        <v>0</v>
      </c>
      <c r="E206" s="2">
        <f t="shared" si="22"/>
        <v>0</v>
      </c>
      <c r="G206" s="2">
        <f t="shared" ref="G206:I206" si="533">F31*G31</f>
        <v>0</v>
      </c>
      <c r="I206" s="2">
        <f t="shared" si="533"/>
        <v>0</v>
      </c>
      <c r="K206" s="2">
        <f t="shared" ref="K206" si="534">J31*K31</f>
        <v>0</v>
      </c>
      <c r="M206" s="2">
        <f t="shared" ref="M206" si="535">L31*M31</f>
        <v>0</v>
      </c>
      <c r="O206" s="2">
        <f t="shared" ref="O206" si="536">N31*O31</f>
        <v>0</v>
      </c>
      <c r="Q206" s="2">
        <f t="shared" ref="Q206" si="537">P31*Q31</f>
        <v>0</v>
      </c>
      <c r="S206" s="2">
        <f t="shared" ref="S206" si="538">R31*S31</f>
        <v>0</v>
      </c>
      <c r="U206" s="2">
        <f t="shared" ref="U206" si="539">T31*U31</f>
        <v>0</v>
      </c>
      <c r="W206" s="2">
        <f t="shared" ref="W206" si="540">V31*W31</f>
        <v>110490</v>
      </c>
      <c r="Y206" s="2">
        <f t="shared" ref="Y206" si="541">X31*Y31</f>
        <v>22098</v>
      </c>
      <c r="AA206" s="2">
        <f t="shared" ref="AA206" si="542">Z31*AA31</f>
        <v>0</v>
      </c>
      <c r="AC206" s="2">
        <f t="shared" ref="AC206" si="543">AB31*AC31</f>
        <v>0</v>
      </c>
      <c r="AE206" s="2">
        <f t="shared" ref="AE206" si="544">AD31*AE31</f>
        <v>0</v>
      </c>
      <c r="AG206" s="2">
        <f t="shared" ref="AG206" si="545">AF31*AG31</f>
        <v>0</v>
      </c>
      <c r="AI206" s="2">
        <f t="shared" ref="AI206" si="546">AH31*AI31</f>
        <v>0</v>
      </c>
      <c r="AK206" s="2">
        <f t="shared" ref="AK206" si="547">AJ31*AK31</f>
        <v>142605.76000000001</v>
      </c>
      <c r="AM206" s="2">
        <f t="shared" ref="AM206" si="548">AL31*AM31</f>
        <v>0</v>
      </c>
      <c r="AO206" s="2">
        <f t="shared" ref="AO206" si="549">AN31*AO31</f>
        <v>81541.62</v>
      </c>
      <c r="AQ206" s="2">
        <f t="shared" ref="AQ206" si="550">AP31*AQ31</f>
        <v>0</v>
      </c>
      <c r="AS206" s="2">
        <f t="shared" ref="AS206" si="551">AR31*AS31</f>
        <v>0</v>
      </c>
      <c r="AU206" s="2">
        <f t="shared" ref="AU206" si="552">AT31*AU31</f>
        <v>0</v>
      </c>
      <c r="AW206" s="2">
        <f t="shared" ref="AW206" si="553">AV31*AW31</f>
        <v>356735.38</v>
      </c>
      <c r="BA206" s="2">
        <f t="shared" si="44"/>
        <v>5117.0840000000007</v>
      </c>
      <c r="CJ206" s="2">
        <f t="shared" ref="CJ206" si="554">CI31*CJ31</f>
        <v>0</v>
      </c>
      <c r="CO206" s="2">
        <f t="shared" si="46"/>
        <v>0</v>
      </c>
      <c r="CT206" s="2">
        <f t="shared" si="47"/>
        <v>0</v>
      </c>
      <c r="CX206" s="2">
        <f t="shared" si="48"/>
        <v>0</v>
      </c>
    </row>
    <row r="207" spans="1:102" x14ac:dyDescent="0.25">
      <c r="A207" s="2">
        <v>1879</v>
      </c>
      <c r="C207" s="2">
        <f t="shared" si="22"/>
        <v>0</v>
      </c>
      <c r="E207" s="2">
        <f t="shared" si="22"/>
        <v>0</v>
      </c>
      <c r="G207" s="2">
        <f t="shared" ref="G207:I207" si="555">F32*G32</f>
        <v>0</v>
      </c>
      <c r="I207" s="2">
        <f t="shared" si="555"/>
        <v>0</v>
      </c>
      <c r="K207" s="2">
        <f t="shared" ref="K207" si="556">J32*K32</f>
        <v>0</v>
      </c>
      <c r="M207" s="2">
        <f t="shared" ref="M207" si="557">L32*M32</f>
        <v>0</v>
      </c>
      <c r="O207" s="2">
        <f t="shared" ref="O207" si="558">N32*O32</f>
        <v>0</v>
      </c>
      <c r="Q207" s="2">
        <f t="shared" ref="Q207" si="559">P32*Q32</f>
        <v>0</v>
      </c>
      <c r="S207" s="2">
        <f t="shared" ref="S207" si="560">R32*S32</f>
        <v>0</v>
      </c>
      <c r="U207" s="2">
        <f t="shared" ref="U207" si="561">T32*U32</f>
        <v>0</v>
      </c>
      <c r="W207" s="2">
        <f t="shared" ref="W207" si="562">V32*W32</f>
        <v>76238.099999999991</v>
      </c>
      <c r="Y207" s="2">
        <f t="shared" ref="Y207" si="563">X32*Y32</f>
        <v>22098</v>
      </c>
      <c r="AA207" s="2">
        <f t="shared" ref="AA207" si="564">Z32*AA32</f>
        <v>0</v>
      </c>
      <c r="AC207" s="2">
        <f t="shared" ref="AC207" si="565">AB32*AC32</f>
        <v>0</v>
      </c>
      <c r="AE207" s="2">
        <f t="shared" ref="AE207" si="566">AD32*AE32</f>
        <v>0</v>
      </c>
      <c r="AG207" s="2">
        <f t="shared" ref="AG207" si="567">AF32*AG32</f>
        <v>0</v>
      </c>
      <c r="AI207" s="2">
        <f t="shared" ref="AI207" si="568">AH32*AI32</f>
        <v>0</v>
      </c>
      <c r="AK207" s="2">
        <f t="shared" ref="AK207" si="569">AJ32*AK32</f>
        <v>200005.315</v>
      </c>
      <c r="AM207" s="2">
        <f t="shared" ref="AM207" si="570">AL32*AM32</f>
        <v>0</v>
      </c>
      <c r="AO207" s="2">
        <f t="shared" ref="AO207" si="571">AN32*AO32</f>
        <v>52224.94</v>
      </c>
      <c r="AQ207" s="2">
        <f t="shared" ref="AQ207" si="572">AP32*AQ32</f>
        <v>0</v>
      </c>
      <c r="AS207" s="2">
        <f t="shared" ref="AS207" si="573">AR32*AS32</f>
        <v>0</v>
      </c>
      <c r="AU207" s="2">
        <f t="shared" ref="AU207" si="574">AT32*AU32</f>
        <v>0</v>
      </c>
      <c r="AW207" s="2">
        <f t="shared" ref="AW207" si="575">AV32*AW32</f>
        <v>350566.35499999998</v>
      </c>
      <c r="BA207" s="2">
        <f t="shared" si="44"/>
        <v>1706.88</v>
      </c>
      <c r="CJ207" s="2">
        <f t="shared" ref="CJ207" si="576">CI32*CJ32</f>
        <v>0</v>
      </c>
      <c r="CO207" s="2">
        <f t="shared" si="46"/>
        <v>0</v>
      </c>
      <c r="CT207" s="2">
        <f t="shared" si="47"/>
        <v>0</v>
      </c>
      <c r="CX207" s="2">
        <f t="shared" si="48"/>
        <v>0</v>
      </c>
    </row>
    <row r="208" spans="1:102" x14ac:dyDescent="0.25">
      <c r="A208" s="2">
        <v>1880</v>
      </c>
      <c r="C208" s="2">
        <f t="shared" si="22"/>
        <v>0</v>
      </c>
      <c r="E208" s="2">
        <f t="shared" si="22"/>
        <v>0</v>
      </c>
      <c r="G208" s="2">
        <f t="shared" ref="G208:I208" si="577">F33*G33</f>
        <v>0</v>
      </c>
      <c r="I208" s="2">
        <f t="shared" si="577"/>
        <v>0</v>
      </c>
      <c r="K208" s="2">
        <f t="shared" ref="K208" si="578">J33*K33</f>
        <v>0</v>
      </c>
      <c r="M208" s="2">
        <f t="shared" ref="M208" si="579">L33*M33</f>
        <v>0</v>
      </c>
      <c r="O208" s="2">
        <f t="shared" ref="O208" si="580">N33*O33</f>
        <v>0</v>
      </c>
      <c r="Q208" s="2">
        <f t="shared" ref="Q208" si="581">P33*Q33</f>
        <v>0</v>
      </c>
      <c r="S208" s="2">
        <f t="shared" ref="S208" si="582">R33*S33</f>
        <v>0</v>
      </c>
      <c r="U208" s="2">
        <f t="shared" ref="U208" si="583">T33*U33</f>
        <v>0</v>
      </c>
      <c r="W208" s="2">
        <f t="shared" ref="W208" si="584">V33*W33</f>
        <v>126842.52</v>
      </c>
      <c r="Y208" s="2">
        <f t="shared" ref="Y208" si="585">X33*Y33</f>
        <v>19427.825000000001</v>
      </c>
      <c r="AA208" s="2">
        <f t="shared" ref="AA208" si="586">Z33*AA33</f>
        <v>0</v>
      </c>
      <c r="AC208" s="2">
        <f t="shared" ref="AC208" si="587">AB33*AC33</f>
        <v>0</v>
      </c>
      <c r="AE208" s="2">
        <f t="shared" ref="AE208" si="588">AD33*AE33</f>
        <v>0</v>
      </c>
      <c r="AG208" s="2">
        <f t="shared" ref="AG208" si="589">AF33*AG33</f>
        <v>0</v>
      </c>
      <c r="AI208" s="2">
        <f t="shared" ref="AI208" si="590">AH33*AI33</f>
        <v>0</v>
      </c>
      <c r="AK208" s="2">
        <f t="shared" ref="AK208" si="591">AJ33*AK33</f>
        <v>272265.77499999997</v>
      </c>
      <c r="AM208" s="2">
        <f t="shared" ref="AM208" si="592">AL33*AM33</f>
        <v>0</v>
      </c>
      <c r="AO208" s="2">
        <f t="shared" ref="AO208" si="593">AN33*AO33</f>
        <v>49867.82</v>
      </c>
      <c r="AQ208" s="2">
        <f t="shared" ref="AQ208" si="594">AP33*AQ33</f>
        <v>0</v>
      </c>
      <c r="AS208" s="2">
        <f t="shared" ref="AS208" si="595">AR33*AS33</f>
        <v>0</v>
      </c>
      <c r="AU208" s="2">
        <f t="shared" ref="AU208" si="596">AT33*AU33</f>
        <v>0</v>
      </c>
      <c r="AW208" s="2">
        <f t="shared" ref="AW208" si="597">AV33*AW33</f>
        <v>468403.94000000006</v>
      </c>
      <c r="BA208" s="2">
        <f t="shared" si="44"/>
        <v>6060.9480000000003</v>
      </c>
      <c r="CJ208" s="2">
        <f t="shared" ref="CJ208" si="598">CI33*CJ33</f>
        <v>0</v>
      </c>
      <c r="CO208" s="2">
        <f t="shared" si="46"/>
        <v>0</v>
      </c>
      <c r="CT208" s="2">
        <f t="shared" si="47"/>
        <v>0</v>
      </c>
      <c r="CX208" s="2">
        <f t="shared" si="48"/>
        <v>0</v>
      </c>
    </row>
    <row r="209" spans="1:102" x14ac:dyDescent="0.25">
      <c r="A209" s="2">
        <v>1881</v>
      </c>
      <c r="C209" s="2">
        <f t="shared" si="22"/>
        <v>0</v>
      </c>
      <c r="E209" s="2">
        <f t="shared" si="22"/>
        <v>0</v>
      </c>
      <c r="G209" s="2">
        <f t="shared" ref="G209:I209" si="599">F34*G34</f>
        <v>0</v>
      </c>
      <c r="I209" s="2">
        <f t="shared" si="599"/>
        <v>0</v>
      </c>
      <c r="K209" s="2">
        <f t="shared" ref="K209" si="600">J34*K34</f>
        <v>0</v>
      </c>
      <c r="M209" s="2">
        <f t="shared" ref="M209" si="601">L34*M34</f>
        <v>0</v>
      </c>
      <c r="O209" s="2">
        <f t="shared" ref="O209" si="602">N34*O34</f>
        <v>0</v>
      </c>
      <c r="Q209" s="2">
        <f t="shared" ref="Q209" si="603">P34*Q34</f>
        <v>0</v>
      </c>
      <c r="S209" s="2">
        <f t="shared" ref="S209" si="604">R34*S34</f>
        <v>0</v>
      </c>
      <c r="U209" s="2">
        <f t="shared" ref="U209" si="605">T34*U34</f>
        <v>0</v>
      </c>
      <c r="W209" s="2">
        <f t="shared" ref="W209" si="606">V34*W34</f>
        <v>184150</v>
      </c>
      <c r="Y209" s="2">
        <f t="shared" ref="Y209" si="607">X34*Y34</f>
        <v>36830</v>
      </c>
      <c r="AA209" s="2">
        <f t="shared" ref="AA209" si="608">Z34*AA34</f>
        <v>0</v>
      </c>
      <c r="AC209" s="2">
        <f t="shared" ref="AC209" si="609">AB34*AC34</f>
        <v>0</v>
      </c>
      <c r="AE209" s="2">
        <f t="shared" ref="AE209" si="610">AD34*AE34</f>
        <v>0</v>
      </c>
      <c r="AG209" s="2">
        <f t="shared" ref="AG209" si="611">AF34*AG34</f>
        <v>0</v>
      </c>
      <c r="AI209" s="2">
        <f t="shared" ref="AI209" si="612">AH34*AI34</f>
        <v>0</v>
      </c>
      <c r="AK209" s="2">
        <f t="shared" ref="AK209" si="613">AJ34*AK34</f>
        <v>297549.56999999995</v>
      </c>
      <c r="AM209" s="2">
        <f t="shared" ref="AM209" si="614">AL34*AM34</f>
        <v>0</v>
      </c>
      <c r="AO209" s="2">
        <f t="shared" ref="AO209" si="615">AN34*AO34</f>
        <v>40144.700000000004</v>
      </c>
      <c r="AQ209" s="2">
        <f t="shared" ref="AQ209" si="616">AP34*AQ34</f>
        <v>0</v>
      </c>
      <c r="AS209" s="2">
        <f t="shared" ref="AS209" si="617">AR34*AS34</f>
        <v>0</v>
      </c>
      <c r="AU209" s="2">
        <f t="shared" ref="AU209" si="618">AT34*AU34</f>
        <v>0</v>
      </c>
      <c r="AW209" s="2">
        <f t="shared" ref="AW209" si="619">AV34*AW34</f>
        <v>558674.2699999999</v>
      </c>
      <c r="BA209" s="2">
        <f t="shared" si="44"/>
        <v>7810.5</v>
      </c>
      <c r="CJ209" s="2">
        <f t="shared" ref="CJ209" si="620">CI34*CJ34</f>
        <v>0</v>
      </c>
      <c r="CO209" s="2">
        <f t="shared" si="46"/>
        <v>0</v>
      </c>
      <c r="CT209" s="2">
        <f t="shared" si="47"/>
        <v>0</v>
      </c>
      <c r="CX209" s="2">
        <f t="shared" si="48"/>
        <v>0</v>
      </c>
    </row>
    <row r="210" spans="1:102" x14ac:dyDescent="0.25">
      <c r="A210" s="2">
        <v>1882</v>
      </c>
      <c r="C210" s="2">
        <f t="shared" si="22"/>
        <v>0</v>
      </c>
      <c r="E210" s="2">
        <f t="shared" si="22"/>
        <v>0</v>
      </c>
      <c r="G210" s="2">
        <f t="shared" ref="G210:I210" si="621">F35*G35</f>
        <v>0</v>
      </c>
      <c r="I210" s="2">
        <f t="shared" si="621"/>
        <v>0</v>
      </c>
      <c r="K210" s="2">
        <f t="shared" ref="K210" si="622">J35*K35</f>
        <v>0</v>
      </c>
      <c r="M210" s="2">
        <f t="shared" ref="M210" si="623">L35*M35</f>
        <v>0</v>
      </c>
      <c r="O210" s="2">
        <f t="shared" ref="O210" si="624">N35*O35</f>
        <v>0</v>
      </c>
      <c r="Q210" s="2">
        <f t="shared" ref="Q210" si="625">P35*Q35</f>
        <v>0</v>
      </c>
      <c r="S210" s="2">
        <f t="shared" ref="S210" si="626">R35*S35</f>
        <v>0</v>
      </c>
      <c r="U210" s="2">
        <f t="shared" ref="U210" si="627">T35*U35</f>
        <v>0</v>
      </c>
      <c r="W210" s="2">
        <f t="shared" ref="W210" si="628">V35*W35</f>
        <v>229119.43</v>
      </c>
      <c r="Y210" s="2">
        <f t="shared" ref="Y210" si="629">X35*Y35</f>
        <v>26001.980000000003</v>
      </c>
      <c r="AA210" s="2">
        <f t="shared" ref="AA210" si="630">Z35*AA35</f>
        <v>0</v>
      </c>
      <c r="AC210" s="2">
        <f t="shared" ref="AC210" si="631">AB35*AC35</f>
        <v>0</v>
      </c>
      <c r="AE210" s="2">
        <f t="shared" ref="AE210" si="632">AD35*AE35</f>
        <v>0</v>
      </c>
      <c r="AG210" s="2">
        <f t="shared" ref="AG210" si="633">AF35*AG35</f>
        <v>0</v>
      </c>
      <c r="AI210" s="2">
        <f t="shared" ref="AI210" si="634">AH35*AI35</f>
        <v>0</v>
      </c>
      <c r="AK210" s="2">
        <f t="shared" ref="AK210" si="635">AJ35*AK35</f>
        <v>232544.62000000002</v>
      </c>
      <c r="AM210" s="2">
        <f t="shared" ref="AM210" si="636">AL35*AM35</f>
        <v>0</v>
      </c>
      <c r="AO210" s="2">
        <f t="shared" ref="AO210" si="637">AN35*AO35</f>
        <v>45300.9</v>
      </c>
      <c r="AQ210" s="2">
        <f t="shared" ref="AQ210" si="638">AP35*AQ35</f>
        <v>0</v>
      </c>
      <c r="AS210" s="2">
        <f t="shared" ref="AS210" si="639">AR35*AS35</f>
        <v>0</v>
      </c>
      <c r="AU210" s="2">
        <f t="shared" ref="AU210" si="640">AT35*AU35</f>
        <v>0</v>
      </c>
      <c r="AW210" s="2">
        <f t="shared" ref="AW210" si="641">AV35*AW35</f>
        <v>532966.93000000005</v>
      </c>
      <c r="BA210" s="2">
        <f t="shared" si="44"/>
        <v>68440.299999999988</v>
      </c>
      <c r="CJ210" s="2">
        <f t="shared" ref="CJ210" si="642">CI35*CJ35</f>
        <v>0</v>
      </c>
      <c r="CO210" s="2">
        <f t="shared" si="46"/>
        <v>0</v>
      </c>
      <c r="CT210" s="2">
        <f t="shared" si="47"/>
        <v>0</v>
      </c>
      <c r="CX210" s="2">
        <f t="shared" si="48"/>
        <v>0</v>
      </c>
    </row>
    <row r="211" spans="1:102" x14ac:dyDescent="0.25">
      <c r="A211" s="2">
        <v>1883</v>
      </c>
      <c r="C211" s="2">
        <f t="shared" si="22"/>
        <v>0</v>
      </c>
      <c r="E211" s="2">
        <f t="shared" si="22"/>
        <v>0</v>
      </c>
      <c r="G211" s="2">
        <f t="shared" ref="G211:I211" si="643">F36*G36</f>
        <v>0</v>
      </c>
      <c r="I211" s="2">
        <f t="shared" si="643"/>
        <v>0</v>
      </c>
      <c r="K211" s="2">
        <f t="shared" ref="K211" si="644">J36*K36</f>
        <v>0</v>
      </c>
      <c r="M211" s="2">
        <f t="shared" ref="M211" si="645">L36*M36</f>
        <v>0</v>
      </c>
      <c r="O211" s="2">
        <f t="shared" ref="O211" si="646">N36*O36</f>
        <v>0</v>
      </c>
      <c r="Q211" s="2">
        <f t="shared" ref="Q211" si="647">P36*Q36</f>
        <v>0</v>
      </c>
      <c r="S211" s="2">
        <f t="shared" ref="S211" si="648">R36*S36</f>
        <v>0</v>
      </c>
      <c r="U211" s="2">
        <f t="shared" ref="U211" si="649">T36*U36</f>
        <v>0</v>
      </c>
      <c r="W211" s="2">
        <f t="shared" ref="W211" si="650">V36*W36</f>
        <v>184812.94</v>
      </c>
      <c r="Y211" s="2">
        <f t="shared" ref="Y211" si="651">X36*Y36</f>
        <v>22245.32</v>
      </c>
      <c r="AA211" s="2">
        <f t="shared" ref="AA211" si="652">Z36*AA36</f>
        <v>0</v>
      </c>
      <c r="AC211" s="2">
        <f t="shared" ref="AC211" si="653">AB36*AC36</f>
        <v>0</v>
      </c>
      <c r="AE211" s="2">
        <f t="shared" ref="AE211" si="654">AD36*AE36</f>
        <v>0</v>
      </c>
      <c r="AG211" s="2">
        <f t="shared" ref="AG211" si="655">AF36*AG36</f>
        <v>0</v>
      </c>
      <c r="AI211" s="2">
        <f t="shared" ref="AI211" si="656">AH36*AI36</f>
        <v>0</v>
      </c>
      <c r="AK211" s="2">
        <f t="shared" ref="AK211" si="657">AJ36*AK36</f>
        <v>184812.94</v>
      </c>
      <c r="AM211" s="2">
        <f t="shared" ref="AM211" si="658">AL36*AM36</f>
        <v>0</v>
      </c>
      <c r="AO211" s="2">
        <f t="shared" ref="AO211" si="659">AN36*AO36</f>
        <v>33147</v>
      </c>
      <c r="AQ211" s="2">
        <f t="shared" ref="AQ211" si="660">AP36*AQ36</f>
        <v>0</v>
      </c>
      <c r="AS211" s="2">
        <f t="shared" ref="AS211" si="661">AR36*AS36</f>
        <v>0</v>
      </c>
      <c r="AU211" s="2">
        <f t="shared" ref="AU211" si="662">AT36*AU36</f>
        <v>0</v>
      </c>
      <c r="AW211" s="2">
        <f t="shared" ref="AW211" si="663">AV36*AW36</f>
        <v>425018.20000000007</v>
      </c>
      <c r="BA211" s="2">
        <f t="shared" si="44"/>
        <v>5981.7</v>
      </c>
      <c r="CJ211" s="2">
        <f t="shared" ref="CJ211" si="664">CI36*CJ36</f>
        <v>0</v>
      </c>
      <c r="CO211" s="2">
        <f t="shared" si="46"/>
        <v>0</v>
      </c>
      <c r="CT211" s="2">
        <f t="shared" si="47"/>
        <v>0</v>
      </c>
      <c r="CX211" s="2">
        <f t="shared" si="48"/>
        <v>0</v>
      </c>
    </row>
    <row r="212" spans="1:102" x14ac:dyDescent="0.25">
      <c r="A212" s="2">
        <v>1884</v>
      </c>
      <c r="C212" s="2">
        <f t="shared" si="22"/>
        <v>0</v>
      </c>
      <c r="E212" s="2">
        <f t="shared" si="22"/>
        <v>0</v>
      </c>
      <c r="G212" s="2">
        <f t="shared" ref="G212:I212" si="665">F37*G37</f>
        <v>0</v>
      </c>
      <c r="I212" s="2">
        <f t="shared" si="665"/>
        <v>0</v>
      </c>
      <c r="K212" s="2">
        <f t="shared" ref="K212" si="666">J37*K37</f>
        <v>0</v>
      </c>
      <c r="M212" s="2">
        <f t="shared" ref="M212" si="667">L37*M37</f>
        <v>0</v>
      </c>
      <c r="O212" s="2">
        <f t="shared" ref="O212" si="668">N37*O37</f>
        <v>0</v>
      </c>
      <c r="Q212" s="2">
        <f t="shared" ref="Q212" si="669">P37*Q37</f>
        <v>0</v>
      </c>
      <c r="S212" s="2">
        <f t="shared" ref="S212" si="670">R37*S37</f>
        <v>0</v>
      </c>
      <c r="U212" s="2">
        <f t="shared" ref="U212" si="671">T37*U37</f>
        <v>0</v>
      </c>
      <c r="W212" s="2">
        <f t="shared" ref="W212" si="672">V37*W37</f>
        <v>176194.72</v>
      </c>
      <c r="Y212" s="2">
        <f t="shared" ref="Y212" si="673">X37*Y37</f>
        <v>9723.119999999999</v>
      </c>
      <c r="AA212" s="2">
        <f t="shared" ref="AA212" si="674">Z37*AA37</f>
        <v>0</v>
      </c>
      <c r="AC212" s="2">
        <f t="shared" ref="AC212" si="675">AB37*AC37</f>
        <v>0</v>
      </c>
      <c r="AE212" s="2">
        <f t="shared" ref="AE212" si="676">AD37*AE37</f>
        <v>0</v>
      </c>
      <c r="AG212" s="2">
        <f t="shared" ref="AG212" si="677">AF37*AG37</f>
        <v>0</v>
      </c>
      <c r="AI212" s="2">
        <f t="shared" ref="AI212" si="678">AH37*AI37</f>
        <v>0</v>
      </c>
      <c r="AK212" s="2">
        <f t="shared" ref="AK212" si="679">AJ37*AK37</f>
        <v>165072.06000000003</v>
      </c>
      <c r="AM212" s="2">
        <f t="shared" ref="AM212" si="680">AL37*AM37</f>
        <v>0</v>
      </c>
      <c r="AO212" s="2">
        <f t="shared" ref="AO212" si="681">AN37*AO37</f>
        <v>36093.4</v>
      </c>
      <c r="AQ212" s="2">
        <f t="shared" ref="AQ212" si="682">AP37*AQ37</f>
        <v>0</v>
      </c>
      <c r="AS212" s="2">
        <f t="shared" ref="AS212" si="683">AR37*AS37</f>
        <v>0</v>
      </c>
      <c r="AU212" s="2">
        <f t="shared" ref="AU212" si="684">AT37*AU37</f>
        <v>0</v>
      </c>
      <c r="AW212" s="2">
        <f t="shared" ref="AW212" si="685">AV37*AW37</f>
        <v>387083.30000000005</v>
      </c>
      <c r="BA212" s="2">
        <f t="shared" si="44"/>
        <v>2958.5919999999996</v>
      </c>
      <c r="CJ212" s="2">
        <f t="shared" ref="CJ212" si="686">CI37*CJ37</f>
        <v>0</v>
      </c>
      <c r="CO212" s="2">
        <f t="shared" si="46"/>
        <v>0</v>
      </c>
      <c r="CT212" s="2">
        <f t="shared" si="47"/>
        <v>0</v>
      </c>
      <c r="CX212" s="2">
        <f t="shared" si="48"/>
        <v>0</v>
      </c>
    </row>
    <row r="213" spans="1:102" x14ac:dyDescent="0.25">
      <c r="A213" s="2">
        <v>1885</v>
      </c>
      <c r="C213" s="2">
        <f t="shared" si="22"/>
        <v>0</v>
      </c>
      <c r="E213" s="2">
        <f t="shared" si="22"/>
        <v>0</v>
      </c>
      <c r="G213" s="2">
        <f t="shared" ref="G213:I213" si="687">F38*G38</f>
        <v>0</v>
      </c>
      <c r="I213" s="2">
        <f t="shared" si="687"/>
        <v>0</v>
      </c>
      <c r="K213" s="2">
        <f t="shared" ref="K213" si="688">J38*K38</f>
        <v>0</v>
      </c>
      <c r="M213" s="2">
        <f t="shared" ref="M213" si="689">L38*M38</f>
        <v>0</v>
      </c>
      <c r="O213" s="2">
        <f t="shared" ref="O213" si="690">N38*O38</f>
        <v>0</v>
      </c>
      <c r="Q213" s="2">
        <f t="shared" ref="Q213" si="691">P38*Q38</f>
        <v>0</v>
      </c>
      <c r="S213" s="2">
        <f t="shared" ref="S213" si="692">R38*S38</f>
        <v>0</v>
      </c>
      <c r="U213" s="2">
        <f t="shared" ref="U213" si="693">T38*U38</f>
        <v>0</v>
      </c>
      <c r="W213" s="2">
        <f t="shared" ref="W213" si="694">V38*W38</f>
        <v>135092.44</v>
      </c>
      <c r="Y213" s="2">
        <f t="shared" ref="Y213" si="695">X38*Y38</f>
        <v>11785.6</v>
      </c>
      <c r="AA213" s="2">
        <f t="shared" ref="AA213" si="696">Z38*AA38</f>
        <v>0</v>
      </c>
      <c r="AC213" s="2">
        <f t="shared" ref="AC213" si="697">AB38*AC38</f>
        <v>0</v>
      </c>
      <c r="AE213" s="2">
        <f t="shared" ref="AE213" si="698">AD38*AE38</f>
        <v>0</v>
      </c>
      <c r="AG213" s="2">
        <f t="shared" ref="AG213" si="699">AF38*AG38</f>
        <v>355.6</v>
      </c>
      <c r="AI213" s="2">
        <f t="shared" ref="AI213" si="700">AH38*AI38</f>
        <v>0</v>
      </c>
      <c r="AK213" s="2">
        <f t="shared" ref="AK213" si="701">AJ38*AK38</f>
        <v>184536.715</v>
      </c>
      <c r="AM213" s="2">
        <f t="shared" ref="AM213" si="702">AL38*AM38</f>
        <v>0</v>
      </c>
      <c r="AO213" s="2">
        <f t="shared" ref="AO213" si="703">AN38*AO38</f>
        <v>22908.26</v>
      </c>
      <c r="AQ213" s="2">
        <f t="shared" ref="AQ213" si="704">AP38*AQ38</f>
        <v>0</v>
      </c>
      <c r="AS213" s="2">
        <f t="shared" ref="AS213" si="705">AR38*AS38</f>
        <v>0</v>
      </c>
      <c r="AU213" s="2">
        <f t="shared" ref="AU213" si="706">AT38*AU38</f>
        <v>0</v>
      </c>
      <c r="AW213" s="2">
        <f t="shared" ref="AW213" si="707">AV38*AW38</f>
        <v>354678.61499999999</v>
      </c>
      <c r="BA213" s="2">
        <f t="shared" si="44"/>
        <v>0</v>
      </c>
      <c r="CJ213" s="2">
        <f t="shared" ref="CJ213" si="708">CI38*CJ38</f>
        <v>0</v>
      </c>
      <c r="CO213" s="2">
        <f t="shared" si="46"/>
        <v>0</v>
      </c>
      <c r="CT213" s="2">
        <f t="shared" si="47"/>
        <v>0</v>
      </c>
      <c r="CX213" s="2">
        <f t="shared" si="48"/>
        <v>0</v>
      </c>
    </row>
    <row r="214" spans="1:102" x14ac:dyDescent="0.25">
      <c r="A214" s="2">
        <v>1886</v>
      </c>
      <c r="C214" s="2">
        <f t="shared" si="22"/>
        <v>0</v>
      </c>
      <c r="E214" s="2">
        <f t="shared" si="22"/>
        <v>0</v>
      </c>
      <c r="G214" s="2">
        <f t="shared" ref="G214:I214" si="709">F39*G39</f>
        <v>0</v>
      </c>
      <c r="I214" s="2">
        <f t="shared" si="709"/>
        <v>0</v>
      </c>
      <c r="K214" s="2">
        <f t="shared" ref="K214" si="710">J39*K39</f>
        <v>0</v>
      </c>
      <c r="M214" s="2">
        <f t="shared" ref="M214" si="711">L39*M39</f>
        <v>0</v>
      </c>
      <c r="O214" s="2">
        <f t="shared" ref="O214" si="712">N39*O39</f>
        <v>0</v>
      </c>
      <c r="Q214" s="2">
        <f t="shared" ref="Q214" si="713">P39*Q39</f>
        <v>0</v>
      </c>
      <c r="S214" s="2">
        <f t="shared" ref="S214" si="714">R39*S39</f>
        <v>0</v>
      </c>
      <c r="U214" s="2">
        <f t="shared" ref="U214" si="715">T39*U39</f>
        <v>0</v>
      </c>
      <c r="W214" s="2">
        <f t="shared" ref="W214" si="716">V39*W39</f>
        <v>121465.34</v>
      </c>
      <c r="Y214" s="2">
        <f t="shared" ref="Y214" si="717">X39*Y39</f>
        <v>16787.114000000001</v>
      </c>
      <c r="AA214" s="2">
        <f t="shared" ref="AA214" si="718">Z39*AA39</f>
        <v>0</v>
      </c>
      <c r="AC214" s="2">
        <f t="shared" ref="AC214" si="719">AB39*AC39</f>
        <v>0</v>
      </c>
      <c r="AE214" s="2">
        <f t="shared" ref="AE214" si="720">AD39*AE39</f>
        <v>0</v>
      </c>
      <c r="AG214" s="2">
        <f t="shared" ref="AG214" si="721">AF39*AG39</f>
        <v>426.72</v>
      </c>
      <c r="AI214" s="2">
        <f t="shared" ref="AI214" si="722">AH39*AI39</f>
        <v>0</v>
      </c>
      <c r="AK214" s="2">
        <f t="shared" ref="AK214" si="723">AJ39*AK39</f>
        <v>139519.40599999999</v>
      </c>
      <c r="AM214" s="2">
        <f t="shared" ref="AM214" si="724">AL39*AM39</f>
        <v>0</v>
      </c>
      <c r="AO214" s="2">
        <f t="shared" ref="AO214" si="725">AN39*AO39</f>
        <v>22613.62</v>
      </c>
      <c r="AQ214" s="2">
        <f t="shared" ref="AQ214" si="726">AP39*AQ39</f>
        <v>0</v>
      </c>
      <c r="AS214" s="2">
        <f t="shared" ref="AS214" si="727">AR39*AS39</f>
        <v>0</v>
      </c>
      <c r="AU214" s="2">
        <f t="shared" ref="AU214" si="728">AT39*AU39</f>
        <v>0</v>
      </c>
      <c r="AW214" s="2">
        <f t="shared" ref="AW214" si="729">AV39*AW39</f>
        <v>300812.19999999995</v>
      </c>
      <c r="BA214" s="2">
        <f t="shared" si="44"/>
        <v>99.06</v>
      </c>
      <c r="CJ214" s="2">
        <f t="shared" ref="CJ214" si="730">CI39*CJ39</f>
        <v>0</v>
      </c>
      <c r="CO214" s="2">
        <f t="shared" si="46"/>
        <v>0</v>
      </c>
      <c r="CT214" s="2">
        <f t="shared" si="47"/>
        <v>0</v>
      </c>
      <c r="CX214" s="2">
        <f t="shared" si="48"/>
        <v>0</v>
      </c>
    </row>
    <row r="215" spans="1:102" x14ac:dyDescent="0.25">
      <c r="A215" s="2">
        <v>1887</v>
      </c>
      <c r="C215" s="2">
        <f t="shared" si="22"/>
        <v>0</v>
      </c>
      <c r="E215" s="2">
        <f t="shared" si="22"/>
        <v>0</v>
      </c>
      <c r="G215" s="2">
        <f t="shared" ref="G215:I215" si="731">F40*G40</f>
        <v>0</v>
      </c>
      <c r="I215" s="2">
        <f t="shared" si="731"/>
        <v>0</v>
      </c>
      <c r="K215" s="2">
        <f t="shared" ref="K215" si="732">J40*K40</f>
        <v>0</v>
      </c>
      <c r="M215" s="2">
        <f t="shared" ref="M215" si="733">L40*M40</f>
        <v>0</v>
      </c>
      <c r="O215" s="2">
        <f t="shared" ref="O215" si="734">N40*O40</f>
        <v>0</v>
      </c>
      <c r="Q215" s="2">
        <f t="shared" ref="Q215" si="735">P40*Q40</f>
        <v>0</v>
      </c>
      <c r="S215" s="2">
        <f t="shared" ref="S215" si="736">R40*S40</f>
        <v>0</v>
      </c>
      <c r="U215" s="2">
        <f t="shared" ref="U215" si="737">T40*U40</f>
        <v>0</v>
      </c>
      <c r="W215" s="2">
        <f t="shared" ref="W215" si="738">V40*W40</f>
        <v>92811.6</v>
      </c>
      <c r="Y215" s="2">
        <f t="shared" ref="Y215" si="739">X40*Y40</f>
        <v>12595.859999999999</v>
      </c>
      <c r="AA215" s="2">
        <f t="shared" ref="AA215" si="740">Z40*AA40</f>
        <v>0</v>
      </c>
      <c r="AC215" s="2">
        <f t="shared" ref="AC215" si="741">AB40*AC40</f>
        <v>0</v>
      </c>
      <c r="AE215" s="2">
        <f t="shared" ref="AE215" si="742">AD40*AE40</f>
        <v>0</v>
      </c>
      <c r="AG215" s="2">
        <f t="shared" ref="AG215" si="743">AF40*AG40</f>
        <v>533.4</v>
      </c>
      <c r="AI215" s="2">
        <f t="shared" ref="AI215" si="744">AH40*AI40</f>
        <v>0</v>
      </c>
      <c r="AK215" s="2">
        <f t="shared" ref="AK215" si="745">AJ40*AK40</f>
        <v>194425.57</v>
      </c>
      <c r="AM215" s="2">
        <f t="shared" ref="AM215" si="746">AL40*AM40</f>
        <v>0</v>
      </c>
      <c r="AO215" s="2">
        <f t="shared" ref="AO215" si="747">AN40*AO40</f>
        <v>19888.2</v>
      </c>
      <c r="AQ215" s="2">
        <f t="shared" ref="AQ215" si="748">AP40*AQ40</f>
        <v>0</v>
      </c>
      <c r="AS215" s="2">
        <f t="shared" ref="AS215" si="749">AR40*AS40</f>
        <v>426.72</v>
      </c>
      <c r="AU215" s="2">
        <f t="shared" ref="AU215" si="750">AT40*AU40</f>
        <v>0</v>
      </c>
      <c r="AW215" s="2">
        <f t="shared" ref="AW215" si="751">AV40*AW40</f>
        <v>320681.34999999992</v>
      </c>
      <c r="BA215" s="2">
        <f t="shared" si="44"/>
        <v>462.28000000000003</v>
      </c>
      <c r="CJ215" s="2">
        <f t="shared" ref="CJ215" si="752">CI40*CJ40</f>
        <v>0</v>
      </c>
      <c r="CO215" s="2">
        <f t="shared" si="46"/>
        <v>0</v>
      </c>
      <c r="CT215" s="2">
        <f t="shared" si="47"/>
        <v>0</v>
      </c>
      <c r="CX215" s="2">
        <f t="shared" si="48"/>
        <v>0</v>
      </c>
    </row>
    <row r="216" spans="1:102" x14ac:dyDescent="0.25">
      <c r="A216" s="2">
        <v>1888</v>
      </c>
      <c r="C216" s="2">
        <f t="shared" si="22"/>
        <v>0</v>
      </c>
      <c r="E216" s="2">
        <f t="shared" si="22"/>
        <v>0</v>
      </c>
      <c r="G216" s="2">
        <f t="shared" ref="G216:I216" si="753">F41*G41</f>
        <v>0</v>
      </c>
      <c r="I216" s="2">
        <f t="shared" si="753"/>
        <v>0</v>
      </c>
      <c r="K216" s="2">
        <f t="shared" ref="K216" si="754">J41*K41</f>
        <v>0</v>
      </c>
      <c r="M216" s="2">
        <f t="shared" ref="M216" si="755">L41*M41</f>
        <v>0</v>
      </c>
      <c r="O216" s="2">
        <f t="shared" ref="O216" si="756">N41*O41</f>
        <v>0</v>
      </c>
      <c r="Q216" s="2">
        <f t="shared" ref="Q216" si="757">P41*Q41</f>
        <v>0</v>
      </c>
      <c r="S216" s="2">
        <f t="shared" ref="S216" si="758">R41*S41</f>
        <v>0</v>
      </c>
      <c r="U216" s="2">
        <f t="shared" ref="U216" si="759">T41*U41</f>
        <v>0</v>
      </c>
      <c r="W216" s="2">
        <f t="shared" ref="W216" si="760">V41*W41</f>
        <v>74175.62</v>
      </c>
      <c r="Y216" s="2">
        <f t="shared" ref="Y216" si="761">X41*Y41</f>
        <v>14455.775000000001</v>
      </c>
      <c r="AA216" s="2">
        <f t="shared" ref="AA216" si="762">Z41*AA41</f>
        <v>0</v>
      </c>
      <c r="AC216" s="2">
        <f t="shared" ref="AC216" si="763">AB41*AC41</f>
        <v>0</v>
      </c>
      <c r="AE216" s="2">
        <f t="shared" ref="AE216" si="764">AD41*AE41</f>
        <v>0</v>
      </c>
      <c r="AG216" s="2">
        <f t="shared" ref="AG216" si="765">AF41*AG41</f>
        <v>1369.06</v>
      </c>
      <c r="AI216" s="2">
        <f t="shared" ref="AI216" si="766">AH41*AI41</f>
        <v>0</v>
      </c>
      <c r="AK216" s="2">
        <f t="shared" ref="AK216" si="767">AJ41*AK41</f>
        <v>76422.25</v>
      </c>
      <c r="AM216" s="2">
        <f t="shared" ref="AM216" si="768">AL41*AM41</f>
        <v>0</v>
      </c>
      <c r="AO216" s="2">
        <f t="shared" ref="AO216" si="769">AN41*AO41</f>
        <v>14952.98</v>
      </c>
      <c r="AQ216" s="2">
        <f t="shared" ref="AQ216" si="770">AP41*AQ41</f>
        <v>0</v>
      </c>
      <c r="AS216" s="2">
        <f t="shared" ref="AS216" si="771">AR41*AS41</f>
        <v>1959.356</v>
      </c>
      <c r="AU216" s="2">
        <f t="shared" ref="AU216" si="772">AT41*AU41</f>
        <v>0</v>
      </c>
      <c r="AW216" s="2">
        <f t="shared" ref="AW216" si="773">AV41*AW41</f>
        <v>183335.04100000003</v>
      </c>
      <c r="BA216" s="2">
        <f t="shared" si="44"/>
        <v>3599.18</v>
      </c>
      <c r="CJ216" s="2">
        <f t="shared" ref="CJ216" si="774">CI41*CJ41</f>
        <v>0</v>
      </c>
      <c r="CO216" s="2">
        <f t="shared" si="46"/>
        <v>0</v>
      </c>
      <c r="CT216" s="2">
        <f t="shared" si="47"/>
        <v>0</v>
      </c>
      <c r="CX216" s="2">
        <f t="shared" si="48"/>
        <v>0</v>
      </c>
    </row>
    <row r="217" spans="1:102" x14ac:dyDescent="0.25">
      <c r="A217" s="2">
        <v>1889</v>
      </c>
      <c r="C217" s="2">
        <f t="shared" si="22"/>
        <v>0</v>
      </c>
      <c r="E217" s="2">
        <f t="shared" si="22"/>
        <v>0</v>
      </c>
      <c r="G217" s="2">
        <f t="shared" ref="G217:I217" si="775">F42*G42</f>
        <v>0</v>
      </c>
      <c r="I217" s="2">
        <f t="shared" si="775"/>
        <v>0</v>
      </c>
      <c r="K217" s="2">
        <f t="shared" ref="K217" si="776">J42*K42</f>
        <v>0</v>
      </c>
      <c r="M217" s="2">
        <f t="shared" ref="M217" si="777">L42*M42</f>
        <v>0</v>
      </c>
      <c r="O217" s="2">
        <f t="shared" ref="O217" si="778">N42*O42</f>
        <v>0</v>
      </c>
      <c r="Q217" s="2">
        <f t="shared" ref="Q217" si="779">P42*Q42</f>
        <v>0</v>
      </c>
      <c r="S217" s="2">
        <f t="shared" ref="S217" si="780">R42*S42</f>
        <v>0</v>
      </c>
      <c r="U217" s="2">
        <f t="shared" ref="U217" si="781">T42*U42</f>
        <v>0</v>
      </c>
      <c r="W217" s="2">
        <f t="shared" ref="W217" si="782">V42*W42</f>
        <v>99588.32</v>
      </c>
      <c r="Y217" s="2">
        <f t="shared" ref="Y217" si="783">X42*Y42</f>
        <v>10514.965</v>
      </c>
      <c r="AA217" s="2">
        <f t="shared" ref="AA217" si="784">Z42*AA42</f>
        <v>0</v>
      </c>
      <c r="AC217" s="2">
        <f t="shared" ref="AC217" si="785">AB42*AC42</f>
        <v>0</v>
      </c>
      <c r="AE217" s="2">
        <f t="shared" ref="AE217" si="786">AD42*AE42</f>
        <v>0</v>
      </c>
      <c r="AG217" s="2">
        <f t="shared" ref="AG217" si="787">AF42*AG42</f>
        <v>1849.1200000000001</v>
      </c>
      <c r="AI217" s="2">
        <f t="shared" ref="AI217" si="788">AH42*AI42</f>
        <v>0</v>
      </c>
      <c r="AK217" s="2">
        <f t="shared" ref="AK217" si="789">AJ42*AK42</f>
        <v>114393.98</v>
      </c>
      <c r="AM217" s="2">
        <f t="shared" ref="AM217" si="790">AL42*AM42</f>
        <v>0</v>
      </c>
      <c r="AO217" s="2">
        <f t="shared" ref="AO217" si="791">AN42*AO42</f>
        <v>18709.640000000003</v>
      </c>
      <c r="AQ217" s="2">
        <f t="shared" ref="AQ217" si="792">AP42*AQ42</f>
        <v>0</v>
      </c>
      <c r="AS217" s="2">
        <f t="shared" ref="AS217" si="793">AR42*AS42</f>
        <v>963.67600000000016</v>
      </c>
      <c r="AU217" s="2">
        <f t="shared" ref="AU217" si="794">AT42*AU42</f>
        <v>0</v>
      </c>
      <c r="AW217" s="2">
        <f t="shared" ref="AW217" si="795">AV42*AW42</f>
        <v>246019.70100000003</v>
      </c>
      <c r="BA217" s="2">
        <f t="shared" si="44"/>
        <v>7191.7560000000003</v>
      </c>
      <c r="CJ217" s="2">
        <f t="shared" ref="CJ217" si="796">CI42*CJ42</f>
        <v>355.6</v>
      </c>
      <c r="CO217" s="2">
        <f t="shared" si="46"/>
        <v>0</v>
      </c>
      <c r="CT217" s="2">
        <f t="shared" si="47"/>
        <v>0</v>
      </c>
      <c r="CX217" s="2">
        <f t="shared" si="48"/>
        <v>355.6</v>
      </c>
    </row>
    <row r="218" spans="1:102" x14ac:dyDescent="0.25">
      <c r="A218" s="2">
        <v>1890</v>
      </c>
      <c r="C218" s="2">
        <f t="shared" si="22"/>
        <v>0</v>
      </c>
      <c r="E218" s="2">
        <f t="shared" si="22"/>
        <v>0</v>
      </c>
      <c r="G218" s="2">
        <f t="shared" ref="G218:I218" si="797">F43*G43</f>
        <v>0</v>
      </c>
      <c r="I218" s="2">
        <f t="shared" si="797"/>
        <v>0</v>
      </c>
      <c r="K218" s="2">
        <f t="shared" ref="K218" si="798">J43*K43</f>
        <v>0</v>
      </c>
      <c r="M218" s="2">
        <f t="shared" ref="M218" si="799">L43*M43</f>
        <v>0</v>
      </c>
      <c r="O218" s="2">
        <f t="shared" ref="O218" si="800">N43*O43</f>
        <v>0</v>
      </c>
      <c r="Q218" s="2">
        <f t="shared" ref="Q218" si="801">P43*Q43</f>
        <v>0</v>
      </c>
      <c r="S218" s="2">
        <f t="shared" ref="S218" si="802">R43*S43</f>
        <v>0</v>
      </c>
      <c r="U218" s="2">
        <f t="shared" ref="U218" si="803">T43*U43</f>
        <v>2509.5200000000004</v>
      </c>
      <c r="W218" s="2">
        <f t="shared" ref="W218" si="804">V43*W43</f>
        <v>92104.464000000007</v>
      </c>
      <c r="Y218" s="2">
        <f t="shared" ref="Y218" si="805">X43*Y43</f>
        <v>11188.954</v>
      </c>
      <c r="AA218" s="2">
        <f t="shared" ref="AA218" si="806">Z43*AA43</f>
        <v>0</v>
      </c>
      <c r="AC218" s="2">
        <f t="shared" ref="AC218" si="807">AB43*AC43</f>
        <v>0</v>
      </c>
      <c r="AE218" s="2">
        <f t="shared" ref="AE218" si="808">AD43*AE43</f>
        <v>0</v>
      </c>
      <c r="AG218" s="2">
        <f t="shared" ref="AG218" si="809">AF43*AG43</f>
        <v>1428.0896</v>
      </c>
      <c r="AI218" s="2">
        <f t="shared" ref="AI218" si="810">AH43*AI43</f>
        <v>0</v>
      </c>
      <c r="AK218" s="2">
        <f t="shared" ref="AK218" si="811">AJ43*AK43</f>
        <v>84709</v>
      </c>
      <c r="AM218" s="2">
        <f t="shared" ref="AM218" si="812">AL43*AM43</f>
        <v>0</v>
      </c>
      <c r="AO218" s="2">
        <f t="shared" ref="AO218" si="813">AN43*AO43</f>
        <v>16205.2</v>
      </c>
      <c r="AQ218" s="2">
        <f t="shared" ref="AQ218" si="814">AP43*AQ43</f>
        <v>0</v>
      </c>
      <c r="AS218" s="2">
        <f t="shared" ref="AS218" si="815">AR43*AS43</f>
        <v>0</v>
      </c>
      <c r="AU218" s="2">
        <f t="shared" ref="AU218" si="816">AT43*AU43</f>
        <v>0</v>
      </c>
      <c r="AW218" s="2">
        <f t="shared" ref="AW218" si="817">AV43*AW43</f>
        <v>208145.22760000001</v>
      </c>
      <c r="BA218" s="2">
        <f t="shared" si="44"/>
        <v>60063.380000000005</v>
      </c>
      <c r="CJ218" s="2">
        <f t="shared" ref="CJ218" si="818">CI43*CJ43</f>
        <v>4800.5999999999995</v>
      </c>
      <c r="CO218" s="2">
        <f t="shared" si="46"/>
        <v>0</v>
      </c>
      <c r="CT218" s="2">
        <f t="shared" si="47"/>
        <v>0</v>
      </c>
      <c r="CX218" s="2">
        <f t="shared" si="48"/>
        <v>4800.5999999999995</v>
      </c>
    </row>
    <row r="219" spans="1:102" x14ac:dyDescent="0.25">
      <c r="A219" s="2">
        <v>1891</v>
      </c>
      <c r="C219" s="2">
        <f t="shared" si="22"/>
        <v>0</v>
      </c>
      <c r="E219" s="2">
        <f t="shared" si="22"/>
        <v>0</v>
      </c>
      <c r="G219" s="2">
        <f t="shared" ref="G219:I219" si="819">F44*G44</f>
        <v>0</v>
      </c>
      <c r="I219" s="2">
        <f t="shared" si="819"/>
        <v>0</v>
      </c>
      <c r="K219" s="2">
        <f t="shared" ref="K219" si="820">J44*K44</f>
        <v>0</v>
      </c>
      <c r="M219" s="2">
        <f t="shared" ref="M219" si="821">L44*M44</f>
        <v>0</v>
      </c>
      <c r="O219" s="2">
        <f t="shared" ref="O219" si="822">N44*O44</f>
        <v>0</v>
      </c>
      <c r="Q219" s="2">
        <f t="shared" ref="Q219" si="823">P44*Q44</f>
        <v>0</v>
      </c>
      <c r="S219" s="2">
        <f t="shared" ref="S219" si="824">R44*S44</f>
        <v>0</v>
      </c>
      <c r="U219" s="2">
        <f t="shared" ref="U219" si="825">T44*U44</f>
        <v>0</v>
      </c>
      <c r="W219" s="2">
        <f t="shared" ref="W219" si="826">V44*W44</f>
        <v>73439.02</v>
      </c>
      <c r="Y219" s="2">
        <f t="shared" ref="Y219" si="827">X44*Y44</f>
        <v>3167.38</v>
      </c>
      <c r="AA219" s="2">
        <f t="shared" ref="AA219" si="828">Z44*AA44</f>
        <v>0</v>
      </c>
      <c r="AC219" s="2">
        <f t="shared" ref="AC219" si="829">AB44*AC44</f>
        <v>0</v>
      </c>
      <c r="AE219" s="2">
        <f t="shared" ref="AE219" si="830">AD44*AE44</f>
        <v>0</v>
      </c>
      <c r="AG219" s="2">
        <f t="shared" ref="AG219" si="831">AF44*AG44</f>
        <v>1422.4</v>
      </c>
      <c r="AI219" s="2">
        <f t="shared" ref="AI219" si="832">AH44*AI44</f>
        <v>0</v>
      </c>
      <c r="AK219" s="2">
        <f t="shared" ref="AK219" si="833">AJ44*AK44</f>
        <v>71671.179999999993</v>
      </c>
      <c r="AM219" s="2">
        <f t="shared" ref="AM219" si="834">AL44*AM44</f>
        <v>0</v>
      </c>
      <c r="AO219" s="2">
        <f t="shared" ref="AO219" si="835">AN44*AO44</f>
        <v>17678.400000000001</v>
      </c>
      <c r="AQ219" s="2">
        <f t="shared" ref="AQ219" si="836">AP44*AQ44</f>
        <v>0</v>
      </c>
      <c r="AS219" s="2">
        <f t="shared" ref="AS219" si="837">AR44*AS44</f>
        <v>0</v>
      </c>
      <c r="AU219" s="2">
        <f t="shared" ref="AU219" si="838">AT44*AU44</f>
        <v>0</v>
      </c>
      <c r="AW219" s="2">
        <f t="shared" ref="AW219" si="839">AV44*AW44</f>
        <v>167378.37999999998</v>
      </c>
      <c r="BA219" s="2">
        <f t="shared" si="44"/>
        <v>117448.838</v>
      </c>
      <c r="CJ219" s="2">
        <f t="shared" ref="CJ219" si="840">CI44*CJ44</f>
        <v>14508.480000000001</v>
      </c>
      <c r="CO219" s="2">
        <f t="shared" si="46"/>
        <v>0</v>
      </c>
      <c r="CT219" s="2">
        <f t="shared" si="47"/>
        <v>0</v>
      </c>
      <c r="CX219" s="2">
        <f t="shared" si="48"/>
        <v>14508.480000000001</v>
      </c>
    </row>
    <row r="220" spans="1:102" x14ac:dyDescent="0.25">
      <c r="A220" s="2">
        <v>1892</v>
      </c>
      <c r="C220" s="2">
        <f t="shared" si="22"/>
        <v>0</v>
      </c>
      <c r="E220" s="2">
        <f t="shared" si="22"/>
        <v>0</v>
      </c>
      <c r="G220" s="2">
        <f t="shared" ref="G220:I220" si="841">F45*G45</f>
        <v>0</v>
      </c>
      <c r="I220" s="2">
        <f t="shared" si="841"/>
        <v>0</v>
      </c>
      <c r="K220" s="2">
        <f t="shared" ref="K220" si="842">J45*K45</f>
        <v>0</v>
      </c>
      <c r="M220" s="2">
        <f t="shared" ref="M220" si="843">L45*M45</f>
        <v>0</v>
      </c>
      <c r="O220" s="2">
        <f t="shared" ref="O220" si="844">N45*O45</f>
        <v>0</v>
      </c>
      <c r="Q220" s="2">
        <f t="shared" ref="Q220" si="845">P45*Q45</f>
        <v>0</v>
      </c>
      <c r="S220" s="2">
        <f t="shared" ref="S220" si="846">R45*S45</f>
        <v>0</v>
      </c>
      <c r="U220" s="2">
        <f t="shared" ref="U220" si="847">T45*U45</f>
        <v>941.06999999999994</v>
      </c>
      <c r="W220" s="2">
        <f t="shared" ref="W220" si="848">V45*W45</f>
        <v>44196</v>
      </c>
      <c r="Y220" s="2">
        <f t="shared" ref="Y220" si="849">X45*Y45</f>
        <v>12006.58</v>
      </c>
      <c r="AA220" s="2">
        <f t="shared" ref="AA220" si="850">Z45*AA45</f>
        <v>0</v>
      </c>
      <c r="AC220" s="2">
        <f t="shared" ref="AC220" si="851">AB45*AC45</f>
        <v>0</v>
      </c>
      <c r="AE220" s="2">
        <f t="shared" ref="AE220" si="852">AD45*AE45</f>
        <v>0</v>
      </c>
      <c r="AG220" s="2">
        <f t="shared" ref="AG220" si="853">AF45*AG45</f>
        <v>711.2</v>
      </c>
      <c r="AI220" s="2">
        <f t="shared" ref="AI220" si="854">AH45*AI45</f>
        <v>0</v>
      </c>
      <c r="AK220" s="2">
        <f t="shared" ref="AK220" si="855">AJ45*AK45</f>
        <v>78300.58</v>
      </c>
      <c r="AM220" s="2">
        <f t="shared" ref="AM220" si="856">AL45*AM45</f>
        <v>29870.400000000001</v>
      </c>
      <c r="AO220" s="2">
        <f t="shared" ref="AO220" si="857">AN45*AO45</f>
        <v>16720.82</v>
      </c>
      <c r="AQ220" s="2">
        <f t="shared" ref="AQ220" si="858">AP45*AQ45</f>
        <v>444.5</v>
      </c>
      <c r="AS220" s="2">
        <f t="shared" ref="AS220" si="859">AR45*AS45</f>
        <v>213.36</v>
      </c>
      <c r="AU220" s="2">
        <f t="shared" ref="AU220" si="860">AT45*AU45</f>
        <v>0</v>
      </c>
      <c r="AW220" s="2">
        <f t="shared" ref="AW220" si="861">AV45*AW45</f>
        <v>183404.50999999998</v>
      </c>
      <c r="BA220" s="2">
        <f t="shared" si="44"/>
        <v>26894.79</v>
      </c>
      <c r="CJ220" s="2">
        <f t="shared" ref="CJ220" si="862">CI45*CJ45</f>
        <v>18881.648799999999</v>
      </c>
      <c r="CO220" s="2">
        <f t="shared" si="46"/>
        <v>0</v>
      </c>
      <c r="CT220" s="2">
        <f t="shared" si="47"/>
        <v>0</v>
      </c>
      <c r="CX220" s="2">
        <f t="shared" si="48"/>
        <v>18881.648799999999</v>
      </c>
    </row>
    <row r="221" spans="1:102" x14ac:dyDescent="0.25">
      <c r="A221" s="2">
        <v>1893</v>
      </c>
      <c r="C221" s="2">
        <f t="shared" si="22"/>
        <v>0</v>
      </c>
      <c r="E221" s="2">
        <f t="shared" si="22"/>
        <v>0</v>
      </c>
      <c r="G221" s="2">
        <f t="shared" ref="G221:I221" si="863">F46*G46</f>
        <v>0</v>
      </c>
      <c r="I221" s="2">
        <f t="shared" si="863"/>
        <v>0</v>
      </c>
      <c r="K221" s="2">
        <f t="shared" ref="K221" si="864">J46*K46</f>
        <v>0</v>
      </c>
      <c r="M221" s="2">
        <f t="shared" ref="M221" si="865">L46*M46</f>
        <v>0</v>
      </c>
      <c r="O221" s="2">
        <f t="shared" ref="O221" si="866">N46*O46</f>
        <v>0</v>
      </c>
      <c r="Q221" s="2">
        <f t="shared" ref="Q221" si="867">P46*Q46</f>
        <v>0</v>
      </c>
      <c r="S221" s="2">
        <f t="shared" ref="S221" si="868">R46*S46</f>
        <v>0</v>
      </c>
      <c r="U221" s="2">
        <f t="shared" ref="U221" si="869">T46*U46</f>
        <v>0</v>
      </c>
      <c r="W221" s="2">
        <f t="shared" ref="W221" si="870">V46*W46</f>
        <v>51562</v>
      </c>
      <c r="Y221" s="2">
        <f t="shared" ref="Y221" si="871">X46*Y46</f>
        <v>5911.2150000000001</v>
      </c>
      <c r="AA221" s="2">
        <f t="shared" ref="AA221" si="872">Z46*AA46</f>
        <v>0</v>
      </c>
      <c r="AC221" s="2">
        <f t="shared" ref="AC221" si="873">AB46*AC46</f>
        <v>0</v>
      </c>
      <c r="AE221" s="2">
        <f t="shared" ref="AE221" si="874">AD46*AE46</f>
        <v>0</v>
      </c>
      <c r="AG221" s="2">
        <f t="shared" ref="AG221" si="875">AF46*AG46</f>
        <v>483.61600000000004</v>
      </c>
      <c r="AI221" s="2">
        <f t="shared" ref="AI221" si="876">AH46*AI46</f>
        <v>0</v>
      </c>
      <c r="AK221" s="2">
        <f t="shared" ref="AK221" si="877">AJ46*AK46</f>
        <v>76238.099999999991</v>
      </c>
      <c r="AM221" s="2">
        <f t="shared" ref="AM221" si="878">AL46*AM46</f>
        <v>24892</v>
      </c>
      <c r="AO221" s="2">
        <f t="shared" ref="AO221" si="879">AN46*AO46</f>
        <v>13000.990000000002</v>
      </c>
      <c r="AQ221" s="2">
        <f t="shared" ref="AQ221" si="880">AP46*AQ46</f>
        <v>0</v>
      </c>
      <c r="AS221" s="2">
        <f t="shared" ref="AS221" si="881">AR46*AS46</f>
        <v>32.003999999999998</v>
      </c>
      <c r="AU221" s="2">
        <f t="shared" ref="AU221" si="882">AT46*AU46</f>
        <v>0</v>
      </c>
      <c r="AW221" s="2">
        <f t="shared" ref="AW221" si="883">AV46*AW46</f>
        <v>172119.92499999996</v>
      </c>
      <c r="BA221" s="2">
        <f t="shared" si="44"/>
        <v>3483.61</v>
      </c>
      <c r="CJ221" s="2">
        <f t="shared" ref="CJ221" si="884">CI46*CJ46</f>
        <v>12197.08</v>
      </c>
      <c r="CO221" s="2">
        <f t="shared" si="46"/>
        <v>4014.7240000000002</v>
      </c>
      <c r="CT221" s="2">
        <f t="shared" si="47"/>
        <v>0</v>
      </c>
      <c r="CX221" s="2">
        <f t="shared" si="48"/>
        <v>16211.803999999998</v>
      </c>
    </row>
    <row r="222" spans="1:102" x14ac:dyDescent="0.25">
      <c r="A222" s="2">
        <v>1894</v>
      </c>
      <c r="C222" s="2">
        <f t="shared" si="22"/>
        <v>0</v>
      </c>
      <c r="E222" s="2">
        <f t="shared" si="22"/>
        <v>0</v>
      </c>
      <c r="G222" s="2">
        <f t="shared" ref="G222:I222" si="885">F47*G47</f>
        <v>0</v>
      </c>
      <c r="I222" s="2">
        <f t="shared" si="885"/>
        <v>0</v>
      </c>
      <c r="K222" s="2">
        <f t="shared" ref="K222" si="886">J47*K47</f>
        <v>0</v>
      </c>
      <c r="M222" s="2">
        <f t="shared" ref="M222" si="887">L47*M47</f>
        <v>0</v>
      </c>
      <c r="O222" s="2">
        <f t="shared" ref="O222" si="888">N47*O47</f>
        <v>0</v>
      </c>
      <c r="Q222" s="2">
        <f t="shared" ref="Q222" si="889">P47*Q47</f>
        <v>0</v>
      </c>
      <c r="S222" s="2">
        <f t="shared" ref="S222" si="890">R47*S47</f>
        <v>0</v>
      </c>
      <c r="U222" s="2">
        <f t="shared" ref="U222" si="891">T47*U47</f>
        <v>0</v>
      </c>
      <c r="W222" s="2">
        <f t="shared" ref="W222" si="892">V47*W47</f>
        <v>54655.719999999994</v>
      </c>
      <c r="Y222" s="2">
        <f t="shared" ref="Y222" si="893">X47*Y47</f>
        <v>8839.2000000000007</v>
      </c>
      <c r="AA222" s="2">
        <f t="shared" ref="AA222" si="894">Z47*AA47</f>
        <v>0</v>
      </c>
      <c r="AC222" s="2">
        <f t="shared" ref="AC222" si="895">AB47*AC47</f>
        <v>0</v>
      </c>
      <c r="AE222" s="2">
        <f t="shared" ref="AE222" si="896">AD47*AE47</f>
        <v>0</v>
      </c>
      <c r="AG222" s="2">
        <f t="shared" ref="AG222" si="897">AF47*AG47</f>
        <v>1399.647471620227</v>
      </c>
      <c r="AI222" s="2">
        <f t="shared" ref="AI222" si="898">AH47*AI47</f>
        <v>0</v>
      </c>
      <c r="AK222" s="2">
        <f t="shared" ref="AK222" si="899">AJ47*AK47</f>
        <v>81652.11</v>
      </c>
      <c r="AM222" s="2">
        <f t="shared" ref="AM222" si="900">AL47*AM47</f>
        <v>24892</v>
      </c>
      <c r="AO222" s="2">
        <f t="shared" ref="AO222" si="901">AN47*AO47</f>
        <v>11546.205</v>
      </c>
      <c r="AQ222" s="2">
        <f t="shared" ref="AQ222" si="902">AP47*AQ47</f>
        <v>0</v>
      </c>
      <c r="AS222" s="2">
        <f t="shared" ref="AS222" si="903">AR47*AS47</f>
        <v>1778</v>
      </c>
      <c r="AU222" s="2">
        <f t="shared" ref="AU222" si="904">AT47*AU47</f>
        <v>0</v>
      </c>
      <c r="AW222" s="2">
        <f t="shared" ref="AW222" si="905">AV47*AW47</f>
        <v>184762.88247162022</v>
      </c>
      <c r="BA222" s="2">
        <f t="shared" si="44"/>
        <v>3962.4</v>
      </c>
      <c r="CJ222" s="2">
        <f t="shared" ref="CJ222" si="906">CI47*CJ47</f>
        <v>26403.3</v>
      </c>
      <c r="CO222" s="2">
        <f t="shared" si="46"/>
        <v>1351.2800000000002</v>
      </c>
      <c r="CT222" s="2">
        <f t="shared" si="47"/>
        <v>0</v>
      </c>
      <c r="CX222" s="2">
        <f t="shared" si="48"/>
        <v>27754.579999999998</v>
      </c>
    </row>
    <row r="223" spans="1:102" x14ac:dyDescent="0.25">
      <c r="A223" s="2">
        <v>1895</v>
      </c>
      <c r="C223" s="2">
        <f t="shared" si="22"/>
        <v>0</v>
      </c>
      <c r="E223" s="2">
        <f t="shared" si="22"/>
        <v>0</v>
      </c>
      <c r="G223" s="2">
        <f t="shared" ref="G223:I223" si="907">F48*G48</f>
        <v>0</v>
      </c>
      <c r="I223" s="2">
        <f t="shared" si="907"/>
        <v>0</v>
      </c>
      <c r="K223" s="2">
        <f t="shared" ref="K223" si="908">J48*K48</f>
        <v>0</v>
      </c>
      <c r="M223" s="2">
        <f t="shared" ref="M223" si="909">L48*M48</f>
        <v>0</v>
      </c>
      <c r="O223" s="2">
        <f t="shared" ref="O223" si="910">N48*O48</f>
        <v>0</v>
      </c>
      <c r="Q223" s="2">
        <f t="shared" ref="Q223" si="911">P48*Q48</f>
        <v>0</v>
      </c>
      <c r="S223" s="2">
        <f t="shared" ref="S223" si="912">R48*S48</f>
        <v>0</v>
      </c>
      <c r="U223" s="2">
        <f t="shared" ref="U223" si="913">T48*U48</f>
        <v>0</v>
      </c>
      <c r="W223" s="2">
        <f t="shared" ref="W223" si="914">V48*W48</f>
        <v>34601.785000000003</v>
      </c>
      <c r="Y223" s="2">
        <f t="shared" ref="Y223" si="915">X48*Y48</f>
        <v>12153.900000000001</v>
      </c>
      <c r="AA223" s="2">
        <f t="shared" ref="AA223" si="916">Z48*AA48</f>
        <v>0</v>
      </c>
      <c r="AC223" s="2">
        <f t="shared" ref="AC223" si="917">AB48*AC48</f>
        <v>0</v>
      </c>
      <c r="AE223" s="2">
        <f t="shared" ref="AE223" si="918">AD48*AE48</f>
        <v>0</v>
      </c>
      <c r="AG223" s="2">
        <f t="shared" ref="AG223" si="919">AF48*AG48</f>
        <v>842.77200000000005</v>
      </c>
      <c r="AI223" s="2">
        <f t="shared" ref="AI223" si="920">AH48*AI48</f>
        <v>0</v>
      </c>
      <c r="AK223" s="2">
        <f t="shared" ref="AK223" si="921">AJ48*AK48</f>
        <v>66294</v>
      </c>
      <c r="AM223" s="2">
        <f t="shared" ref="AM223" si="922">AL48*AM48</f>
        <v>14224</v>
      </c>
      <c r="AO223" s="2">
        <f t="shared" ref="AO223" si="923">AN48*AO48</f>
        <v>7218.68</v>
      </c>
      <c r="AQ223" s="2">
        <f t="shared" ref="AQ223" si="924">AP48*AQ48</f>
        <v>0</v>
      </c>
      <c r="AS223" s="2">
        <f t="shared" ref="AS223" si="925">AR48*AS48</f>
        <v>14.224000000000002</v>
      </c>
      <c r="AU223" s="2">
        <f t="shared" ref="AU223" si="926">AT48*AU48</f>
        <v>0</v>
      </c>
      <c r="AW223" s="2">
        <f t="shared" ref="AW223" si="927">AV48*AW48</f>
        <v>135349.36099999998</v>
      </c>
      <c r="BA223" s="2">
        <f t="shared" si="44"/>
        <v>3900</v>
      </c>
      <c r="CJ223" s="2">
        <f t="shared" ref="CJ223" si="928">CI48*CJ48</f>
        <v>19710.907999999996</v>
      </c>
      <c r="CO223" s="2">
        <f t="shared" si="46"/>
        <v>0</v>
      </c>
      <c r="CT223" s="2">
        <f t="shared" si="47"/>
        <v>0</v>
      </c>
      <c r="CX223" s="2">
        <f t="shared" si="48"/>
        <v>19710.907999999996</v>
      </c>
    </row>
    <row r="224" spans="1:102" x14ac:dyDescent="0.25">
      <c r="A224" s="2">
        <v>1896</v>
      </c>
      <c r="C224" s="2">
        <f t="shared" si="22"/>
        <v>0</v>
      </c>
      <c r="E224" s="2">
        <f t="shared" si="22"/>
        <v>0</v>
      </c>
      <c r="G224" s="2">
        <f t="shared" ref="G224:I224" si="929">F49*G49</f>
        <v>0</v>
      </c>
      <c r="I224" s="2">
        <f t="shared" si="929"/>
        <v>0</v>
      </c>
      <c r="K224" s="2">
        <f t="shared" ref="K224" si="930">J49*K49</f>
        <v>0</v>
      </c>
      <c r="M224" s="2">
        <f t="shared" ref="M224" si="931">L49*M49</f>
        <v>0</v>
      </c>
      <c r="O224" s="2">
        <f t="shared" ref="O224" si="932">N49*O49</f>
        <v>0</v>
      </c>
      <c r="Q224" s="2">
        <f t="shared" ref="Q224" si="933">P49*Q49</f>
        <v>0</v>
      </c>
      <c r="S224" s="2">
        <f t="shared" ref="S224" si="934">R49*S49</f>
        <v>0</v>
      </c>
      <c r="U224" s="2">
        <f t="shared" ref="U224" si="935">T49*U49</f>
        <v>0</v>
      </c>
      <c r="W224" s="2">
        <f t="shared" ref="W224" si="936">V49*W49</f>
        <v>46258.48</v>
      </c>
      <c r="Y224" s="2">
        <f t="shared" ref="Y224" si="937">X49*Y49</f>
        <v>12890.5</v>
      </c>
      <c r="AA224" s="2">
        <f t="shared" ref="AA224" si="938">Z49*AA49</f>
        <v>0</v>
      </c>
      <c r="AC224" s="2">
        <f t="shared" ref="AC224" si="939">AB49*AC49</f>
        <v>853.44</v>
      </c>
      <c r="AE224" s="2">
        <f t="shared" ref="AE224" si="940">AD49*AE49</f>
        <v>0</v>
      </c>
      <c r="AG224" s="2">
        <f t="shared" ref="AG224" si="941">AF49*AG49</f>
        <v>860.55200000000002</v>
      </c>
      <c r="AI224" s="2">
        <f t="shared" ref="AI224" si="942">AH49*AI49</f>
        <v>0</v>
      </c>
      <c r="AK224" s="2">
        <f t="shared" ref="AK224" si="943">AJ49*AK49</f>
        <v>53256.18</v>
      </c>
      <c r="AM224" s="2">
        <f t="shared" ref="AM224" si="944">AL49*AM49</f>
        <v>21336</v>
      </c>
      <c r="AO224" s="2">
        <f t="shared" ref="AO224" si="945">AN49*AO49</f>
        <v>11049</v>
      </c>
      <c r="AQ224" s="2">
        <f t="shared" ref="AQ224" si="946">AP49*AQ49</f>
        <v>0</v>
      </c>
      <c r="AS224" s="2">
        <f t="shared" ref="AS224" si="947">AR49*AS49</f>
        <v>0</v>
      </c>
      <c r="AU224" s="2">
        <f t="shared" ref="AU224" si="948">AT49*AU49</f>
        <v>0</v>
      </c>
      <c r="AW224" s="2">
        <f t="shared" ref="AW224" si="949">AV49*AW49</f>
        <v>146504.152</v>
      </c>
      <c r="BA224" s="2">
        <f t="shared" si="44"/>
        <v>3900</v>
      </c>
      <c r="CJ224" s="2">
        <f t="shared" ref="CJ224" si="950">CI49*CJ49</f>
        <v>9761.2199999999993</v>
      </c>
      <c r="CO224" s="2">
        <f t="shared" si="46"/>
        <v>0</v>
      </c>
      <c r="CT224" s="2">
        <f t="shared" si="47"/>
        <v>0</v>
      </c>
      <c r="CX224" s="2">
        <f t="shared" si="48"/>
        <v>9761.2199999999993</v>
      </c>
    </row>
    <row r="225" spans="1:102" x14ac:dyDescent="0.25">
      <c r="A225" s="2">
        <v>1897</v>
      </c>
      <c r="C225" s="2">
        <f t="shared" si="22"/>
        <v>0</v>
      </c>
      <c r="E225" s="2">
        <f t="shared" si="22"/>
        <v>0</v>
      </c>
      <c r="G225" s="2">
        <f t="shared" ref="G225:I225" si="951">F50*G50</f>
        <v>0</v>
      </c>
      <c r="I225" s="2">
        <f t="shared" si="951"/>
        <v>0</v>
      </c>
      <c r="K225" s="2">
        <f t="shared" ref="K225" si="952">J50*K50</f>
        <v>0</v>
      </c>
      <c r="M225" s="2">
        <f t="shared" ref="M225" si="953">L50*M50</f>
        <v>0</v>
      </c>
      <c r="O225" s="2">
        <f t="shared" ref="O225" si="954">N50*O50</f>
        <v>0</v>
      </c>
      <c r="Q225" s="2">
        <f t="shared" ref="Q225" si="955">P50*Q50</f>
        <v>0</v>
      </c>
      <c r="S225" s="2">
        <f t="shared" ref="S225" si="956">R50*S50</f>
        <v>0</v>
      </c>
      <c r="U225" s="2">
        <f t="shared" ref="U225" si="957">T50*U50</f>
        <v>1172.21</v>
      </c>
      <c r="W225" s="2">
        <f t="shared" ref="W225" si="958">V50*W50</f>
        <v>50825.399999999994</v>
      </c>
      <c r="Y225" s="2">
        <f t="shared" ref="Y225" si="959">X50*Y50</f>
        <v>4861.5599999999995</v>
      </c>
      <c r="AA225" s="2">
        <f t="shared" ref="AA225" si="960">Z50*AA50</f>
        <v>0</v>
      </c>
      <c r="AC225" s="2">
        <f t="shared" ref="AC225" si="961">AB50*AC50</f>
        <v>0</v>
      </c>
      <c r="AE225" s="2">
        <f t="shared" ref="AE225" si="962">AD50*AE50</f>
        <v>0</v>
      </c>
      <c r="AG225" s="2">
        <f t="shared" ref="AG225" si="963">AF50*AG50</f>
        <v>821.43600000000015</v>
      </c>
      <c r="AI225" s="2">
        <f t="shared" ref="AI225" si="964">AH50*AI50</f>
        <v>0</v>
      </c>
      <c r="AK225" s="2">
        <f t="shared" ref="AK225" si="965">AJ50*AK50</f>
        <v>44196</v>
      </c>
      <c r="AM225" s="2">
        <f t="shared" ref="AM225" si="966">AL50*AM50</f>
        <v>17780</v>
      </c>
      <c r="AO225" s="2">
        <f t="shared" ref="AO225" si="967">AN50*AO50</f>
        <v>5892.8</v>
      </c>
      <c r="AQ225" s="2">
        <f t="shared" ref="AQ225" si="968">AP50*AQ50</f>
        <v>49.072800000000008</v>
      </c>
      <c r="AS225" s="2">
        <f t="shared" ref="AS225" si="969">AR50*AS50</f>
        <v>0</v>
      </c>
      <c r="AU225" s="2">
        <f t="shared" ref="AU225" si="970">AT50*AU50</f>
        <v>0</v>
      </c>
      <c r="AW225" s="2">
        <f t="shared" ref="AW225" si="971">AV50*AW50</f>
        <v>125598.4788</v>
      </c>
      <c r="BA225" s="2">
        <f t="shared" si="44"/>
        <v>3103.88</v>
      </c>
      <c r="CJ225" s="2">
        <f t="shared" ref="CJ225" si="972">CI50*CJ50</f>
        <v>6795.5159999999996</v>
      </c>
      <c r="CO225" s="2">
        <f t="shared" si="46"/>
        <v>0</v>
      </c>
      <c r="CT225" s="2">
        <f t="shared" si="47"/>
        <v>0</v>
      </c>
      <c r="CX225" s="2">
        <f t="shared" si="48"/>
        <v>6795.5159999999996</v>
      </c>
    </row>
    <row r="226" spans="1:102" x14ac:dyDescent="0.25">
      <c r="A226" s="2">
        <v>1898</v>
      </c>
      <c r="C226" s="2">
        <f t="shared" si="22"/>
        <v>0</v>
      </c>
      <c r="E226" s="2">
        <f t="shared" si="22"/>
        <v>0</v>
      </c>
      <c r="G226" s="2">
        <f t="shared" ref="G226:I226" si="973">F51*G51</f>
        <v>0</v>
      </c>
      <c r="I226" s="2">
        <f t="shared" si="973"/>
        <v>0</v>
      </c>
      <c r="K226" s="2">
        <f t="shared" ref="K226" si="974">J51*K51</f>
        <v>0</v>
      </c>
      <c r="M226" s="2">
        <f t="shared" ref="M226" si="975">L51*M51</f>
        <v>0</v>
      </c>
      <c r="O226" s="2">
        <f t="shared" ref="O226" si="976">N51*O51</f>
        <v>0</v>
      </c>
      <c r="Q226" s="2">
        <f t="shared" ref="Q226" si="977">P51*Q51</f>
        <v>0</v>
      </c>
      <c r="S226" s="2">
        <f t="shared" ref="S226" si="978">R51*S51</f>
        <v>0</v>
      </c>
      <c r="U226" s="2">
        <f t="shared" ref="U226" si="979">T51*U51</f>
        <v>1295.1387428571427</v>
      </c>
      <c r="W226" s="2">
        <f t="shared" ref="W226" si="980">V51*W51</f>
        <v>39776.400000000001</v>
      </c>
      <c r="Y226" s="2">
        <f t="shared" ref="Y226" si="981">X51*Y51</f>
        <v>5671.82</v>
      </c>
      <c r="AA226" s="2">
        <f t="shared" ref="AA226" si="982">Z51*AA51</f>
        <v>0</v>
      </c>
      <c r="AC226" s="2">
        <f t="shared" ref="AC226" si="983">AB51*AC51</f>
        <v>0</v>
      </c>
      <c r="AE226" s="2">
        <f t="shared" ref="AE226" si="984">AD51*AE51</f>
        <v>0</v>
      </c>
      <c r="AG226" s="2">
        <f t="shared" ref="AG226" si="985">AF51*AG51</f>
        <v>711.2</v>
      </c>
      <c r="AI226" s="2">
        <f t="shared" ref="AI226" si="986">AH51*AI51</f>
        <v>0</v>
      </c>
      <c r="AK226" s="2">
        <f t="shared" ref="AK226" si="987">AJ51*AK51</f>
        <v>34841.18</v>
      </c>
      <c r="AM226" s="2">
        <f t="shared" ref="AM226" si="988">AL51*AM51</f>
        <v>10668</v>
      </c>
      <c r="AO226" s="2">
        <f t="shared" ref="AO226" si="989">AN51*AO51</f>
        <v>4787.9000000000005</v>
      </c>
      <c r="AQ226" s="2">
        <f t="shared" ref="AQ226" si="990">AP51*AQ51</f>
        <v>0</v>
      </c>
      <c r="AS226" s="2">
        <f t="shared" ref="AS226" si="991">AR51*AS51</f>
        <v>71.12</v>
      </c>
      <c r="AU226" s="2">
        <f t="shared" ref="AU226" si="992">AT51*AU51</f>
        <v>0</v>
      </c>
      <c r="AW226" s="2">
        <f t="shared" ref="AW226" si="993">AV51*AW51</f>
        <v>97822.758742857128</v>
      </c>
      <c r="BA226" s="2">
        <f t="shared" si="44"/>
        <v>5778.5</v>
      </c>
      <c r="CJ226" s="2">
        <f t="shared" ref="CJ226" si="994">CI51*CJ51</f>
        <v>4846.1167999999998</v>
      </c>
      <c r="CO226" s="2">
        <f t="shared" si="46"/>
        <v>0</v>
      </c>
      <c r="CT226" s="2">
        <f t="shared" si="47"/>
        <v>0</v>
      </c>
      <c r="CX226" s="2">
        <f t="shared" si="48"/>
        <v>4846.1167999999998</v>
      </c>
    </row>
    <row r="227" spans="1:102" x14ac:dyDescent="0.25">
      <c r="A227" s="2">
        <v>1899</v>
      </c>
      <c r="C227" s="2">
        <f t="shared" si="22"/>
        <v>0</v>
      </c>
      <c r="E227" s="2">
        <f t="shared" si="22"/>
        <v>0</v>
      </c>
      <c r="G227" s="2">
        <f t="shared" ref="G227:I227" si="995">F52*G52</f>
        <v>0</v>
      </c>
      <c r="I227" s="2">
        <f t="shared" si="995"/>
        <v>0</v>
      </c>
      <c r="K227" s="2">
        <f t="shared" ref="K227" si="996">J52*K52</f>
        <v>0</v>
      </c>
      <c r="M227" s="2">
        <f t="shared" ref="M227" si="997">L52*M52</f>
        <v>0</v>
      </c>
      <c r="O227" s="2">
        <f t="shared" ref="O227" si="998">N52*O52</f>
        <v>0</v>
      </c>
      <c r="Q227" s="2">
        <f t="shared" ref="Q227" si="999">P52*Q52</f>
        <v>0</v>
      </c>
      <c r="S227" s="2">
        <f t="shared" ref="S227" si="1000">R52*S52</f>
        <v>0</v>
      </c>
      <c r="U227" s="2">
        <f t="shared" ref="U227" si="1001">T52*U52</f>
        <v>0</v>
      </c>
      <c r="W227" s="2">
        <f t="shared" ref="W227" si="1002">V52*W52</f>
        <v>34620.199999999997</v>
      </c>
      <c r="Y227" s="2">
        <f t="shared" ref="Y227" si="1003">X52*Y52</f>
        <v>6592.57</v>
      </c>
      <c r="AA227" s="2">
        <f t="shared" ref="AA227" si="1004">Z52*AA52</f>
        <v>10238.74</v>
      </c>
      <c r="AC227" s="2">
        <f t="shared" ref="AC227" si="1005">AB52*AC52</f>
        <v>355.6</v>
      </c>
      <c r="AE227" s="2">
        <f t="shared" ref="AE227" si="1006">AD52*AE52</f>
        <v>0</v>
      </c>
      <c r="AG227" s="2">
        <f t="shared" ref="AG227" si="1007">AF52*AG52</f>
        <v>640.08000000000004</v>
      </c>
      <c r="AI227" s="2">
        <f t="shared" ref="AI227" si="1008">AH52*AI52</f>
        <v>0</v>
      </c>
      <c r="AK227" s="2">
        <f t="shared" ref="AK227" si="1009">AJ52*AK52</f>
        <v>41013.888000000006</v>
      </c>
      <c r="AM227" s="2">
        <f t="shared" ref="AM227" si="1010">AL52*AM52</f>
        <v>9899.9040000000023</v>
      </c>
      <c r="AO227" s="2">
        <f t="shared" ref="AO227" si="1011">AN52*AO52</f>
        <v>5211.4450000000006</v>
      </c>
      <c r="AQ227" s="2">
        <f t="shared" ref="AQ227" si="1012">AP52*AQ52</f>
        <v>0</v>
      </c>
      <c r="AS227" s="2">
        <f t="shared" ref="AS227" si="1013">AR52*AS52</f>
        <v>355.6</v>
      </c>
      <c r="AU227" s="2">
        <f t="shared" ref="AU227" si="1014">AT52*AU52</f>
        <v>0</v>
      </c>
      <c r="AW227" s="2">
        <f t="shared" ref="AW227" si="1015">AV52*AW52</f>
        <v>108928.02700000002</v>
      </c>
      <c r="BA227" s="2">
        <f t="shared" si="44"/>
        <v>10302.24</v>
      </c>
      <c r="CJ227" s="2">
        <f t="shared" ref="CJ227" si="1016">CI52*CJ52</f>
        <v>19722.9984</v>
      </c>
      <c r="CO227" s="2">
        <f t="shared" si="46"/>
        <v>4089.4</v>
      </c>
      <c r="CT227" s="2">
        <f t="shared" si="47"/>
        <v>0</v>
      </c>
      <c r="CX227" s="2">
        <f t="shared" si="48"/>
        <v>23812.398400000002</v>
      </c>
    </row>
    <row r="228" spans="1:102" x14ac:dyDescent="0.25">
      <c r="A228" s="2">
        <v>1900</v>
      </c>
      <c r="C228" s="2">
        <f t="shared" si="22"/>
        <v>0</v>
      </c>
      <c r="E228" s="2">
        <f t="shared" si="22"/>
        <v>0</v>
      </c>
      <c r="G228" s="2">
        <f t="shared" ref="G228:I228" si="1017">F53*G53</f>
        <v>0</v>
      </c>
      <c r="I228" s="2">
        <f t="shared" si="1017"/>
        <v>0</v>
      </c>
      <c r="K228" s="2">
        <f t="shared" ref="K228" si="1018">J53*K53</f>
        <v>143.18826666666666</v>
      </c>
      <c r="M228" s="2">
        <f t="shared" ref="M228" si="1019">L53*M53</f>
        <v>0</v>
      </c>
      <c r="O228" s="2">
        <f t="shared" ref="O228" si="1020">N53*O53</f>
        <v>0</v>
      </c>
      <c r="Q228" s="2">
        <f t="shared" ref="Q228" si="1021">P53*Q53</f>
        <v>0</v>
      </c>
      <c r="S228" s="2">
        <f t="shared" ref="S228" si="1022">R53*S53</f>
        <v>0</v>
      </c>
      <c r="U228" s="2">
        <f t="shared" ref="U228" si="1023">T53*U53</f>
        <v>710.79360000000008</v>
      </c>
      <c r="W228" s="2">
        <f t="shared" ref="W228" si="1024">V53*W53</f>
        <v>36830</v>
      </c>
      <c r="Y228" s="2">
        <f t="shared" ref="Y228" si="1025">X53*Y53</f>
        <v>5156.2000000000007</v>
      </c>
      <c r="AA228" s="2">
        <f t="shared" ref="AA228" si="1026">Z53*AA53</f>
        <v>0</v>
      </c>
      <c r="AC228" s="2">
        <f t="shared" ref="AC228" si="1027">AB53*AC53</f>
        <v>355.6</v>
      </c>
      <c r="AE228" s="2">
        <f t="shared" ref="AE228" si="1028">AD53*AE53</f>
        <v>513.09128888888893</v>
      </c>
      <c r="AG228" s="2">
        <f t="shared" ref="AG228" si="1029">AF53*AG53</f>
        <v>853.44</v>
      </c>
      <c r="AI228" s="2">
        <f t="shared" ref="AI228" si="1030">AH53*AI53</f>
        <v>874.77600000000007</v>
      </c>
      <c r="AK228" s="2">
        <f t="shared" ref="AK228" si="1031">AJ53*AK53</f>
        <v>32281.494999999999</v>
      </c>
      <c r="AM228" s="2">
        <f t="shared" ref="AM228" si="1032">AL53*AM53</f>
        <v>14259.56</v>
      </c>
      <c r="AO228" s="2">
        <f t="shared" ref="AO228" si="1033">AN53*AO53</f>
        <v>5819.1399999999994</v>
      </c>
      <c r="AQ228" s="2">
        <f t="shared" ref="AQ228" si="1034">AP53*AQ53</f>
        <v>0</v>
      </c>
      <c r="AS228" s="2">
        <f t="shared" ref="AS228" si="1035">AR53*AS53</f>
        <v>355.6</v>
      </c>
      <c r="AU228" s="2">
        <f t="shared" ref="AU228" si="1036">AT53*AU53</f>
        <v>0</v>
      </c>
      <c r="AW228" s="2">
        <f t="shared" ref="AW228" si="1037">AV53*AW53</f>
        <v>98152.884155555555</v>
      </c>
      <c r="BA228" s="2">
        <f t="shared" si="44"/>
        <v>4688.84</v>
      </c>
      <c r="CJ228" s="2">
        <f t="shared" ref="CJ228" si="1038">CI53*CJ53</f>
        <v>30981.294399999999</v>
      </c>
      <c r="CO228" s="2">
        <f t="shared" si="46"/>
        <v>27585.314399999999</v>
      </c>
      <c r="CT228" s="2">
        <f t="shared" si="47"/>
        <v>0</v>
      </c>
      <c r="CX228" s="2">
        <f t="shared" si="48"/>
        <v>58566.608800000002</v>
      </c>
    </row>
    <row r="229" spans="1:102" x14ac:dyDescent="0.25">
      <c r="A229" s="2">
        <v>1901</v>
      </c>
      <c r="C229" s="2">
        <f t="shared" si="22"/>
        <v>8.5724999999999998</v>
      </c>
      <c r="E229" s="2">
        <f t="shared" si="22"/>
        <v>0</v>
      </c>
      <c r="G229" s="2">
        <f t="shared" ref="G229:I229" si="1039">F54*G54</f>
        <v>0</v>
      </c>
      <c r="I229" s="2">
        <f t="shared" si="1039"/>
        <v>0</v>
      </c>
      <c r="K229" s="2">
        <f t="shared" ref="K229" si="1040">J54*K54</f>
        <v>75.668461206896538</v>
      </c>
      <c r="M229" s="2">
        <f t="shared" ref="M229" si="1041">L54*M54</f>
        <v>0</v>
      </c>
      <c r="O229" s="2">
        <f t="shared" ref="O229" si="1042">N54*O54</f>
        <v>0</v>
      </c>
      <c r="Q229" s="2">
        <f t="shared" ref="Q229" si="1043">P54*Q54</f>
        <v>0</v>
      </c>
      <c r="S229" s="2">
        <f t="shared" ref="S229" si="1044">R54*S54</f>
        <v>0</v>
      </c>
      <c r="U229" s="2">
        <f t="shared" ref="U229" si="1045">T54*U54</f>
        <v>0</v>
      </c>
      <c r="W229" s="2">
        <f t="shared" ref="W229" si="1046">V54*W54</f>
        <v>29611.32</v>
      </c>
      <c r="Y229" s="2">
        <f t="shared" ref="Y229" si="1047">X54*Y54</f>
        <v>386.71499999999997</v>
      </c>
      <c r="AA229" s="2">
        <f t="shared" ref="AA229" si="1048">Z54*AA54</f>
        <v>0</v>
      </c>
      <c r="AC229" s="2">
        <f t="shared" ref="AC229" si="1049">AB54*AC54</f>
        <v>142.24</v>
      </c>
      <c r="AE229" s="2">
        <f t="shared" ref="AE229" si="1050">AD54*AE54</f>
        <v>0</v>
      </c>
      <c r="AG229" s="2">
        <f t="shared" ref="AG229" si="1051">AF54*AG54</f>
        <v>942.34</v>
      </c>
      <c r="AI229" s="2">
        <f t="shared" ref="AI229" si="1052">AH54*AI54</f>
        <v>668.54332758620694</v>
      </c>
      <c r="AK229" s="2">
        <f t="shared" ref="AK229" si="1053">AJ54*AK54</f>
        <v>22613.62</v>
      </c>
      <c r="AM229" s="2">
        <f t="shared" ref="AM229" si="1054">AL54*AM54</f>
        <v>14224</v>
      </c>
      <c r="AO229" s="2">
        <f t="shared" ref="AO229" si="1055">AN54*AO54</f>
        <v>5524.5</v>
      </c>
      <c r="AQ229" s="2">
        <f t="shared" ref="AQ229" si="1056">AP54*AQ54</f>
        <v>0</v>
      </c>
      <c r="AS229" s="2">
        <f t="shared" ref="AS229" si="1057">AR54*AS54</f>
        <v>568.96</v>
      </c>
      <c r="AU229" s="2">
        <f t="shared" ref="AU229" si="1058">AT54*AU54</f>
        <v>0</v>
      </c>
      <c r="AW229" s="2">
        <f t="shared" ref="AW229" si="1059">AV54*AW54</f>
        <v>74766.479288793111</v>
      </c>
      <c r="BA229" s="2">
        <f t="shared" si="44"/>
        <v>4688.84</v>
      </c>
      <c r="CJ229" s="2">
        <f t="shared" ref="CJ229" si="1060">CI54*CJ54</f>
        <v>22853.700799999999</v>
      </c>
      <c r="CO229" s="2">
        <f t="shared" si="46"/>
        <v>29371.137600000002</v>
      </c>
      <c r="CT229" s="2">
        <f t="shared" si="47"/>
        <v>0</v>
      </c>
      <c r="CX229" s="2">
        <f t="shared" si="48"/>
        <v>52224.838400000001</v>
      </c>
    </row>
    <row r="230" spans="1:102" x14ac:dyDescent="0.25">
      <c r="A230" s="2">
        <v>1902</v>
      </c>
      <c r="C230" s="2">
        <f t="shared" si="22"/>
        <v>106.77970093457944</v>
      </c>
      <c r="E230" s="2">
        <f t="shared" si="22"/>
        <v>0</v>
      </c>
      <c r="G230" s="2">
        <f t="shared" ref="G230:I230" si="1061">F55*G55</f>
        <v>0</v>
      </c>
      <c r="I230" s="2">
        <f t="shared" si="1061"/>
        <v>0</v>
      </c>
      <c r="K230" s="2">
        <f t="shared" ref="K230" si="1062">J55*K55</f>
        <v>70</v>
      </c>
      <c r="M230" s="2">
        <f t="shared" ref="M230" si="1063">L55*M55</f>
        <v>0</v>
      </c>
      <c r="O230" s="2">
        <f t="shared" ref="O230" si="1064">N55*O55</f>
        <v>0</v>
      </c>
      <c r="Q230" s="2">
        <f t="shared" ref="Q230" si="1065">P55*Q55</f>
        <v>0</v>
      </c>
      <c r="S230" s="2">
        <f t="shared" ref="S230" si="1066">R55*S55</f>
        <v>0</v>
      </c>
      <c r="U230" s="2">
        <f t="shared" ref="U230" si="1067">T55*U55</f>
        <v>1512.7850691588785</v>
      </c>
      <c r="W230" s="2">
        <f t="shared" ref="W230" si="1068">V55*W55</f>
        <v>29464</v>
      </c>
      <c r="Y230" s="2">
        <f t="shared" ref="Y230" si="1069">X55*Y55</f>
        <v>313.05499999999995</v>
      </c>
      <c r="AA230" s="2">
        <f t="shared" ref="AA230" si="1070">Z55*AA55</f>
        <v>0</v>
      </c>
      <c r="AC230" s="2">
        <f t="shared" ref="AC230" si="1071">AB55*AC55</f>
        <v>142.24</v>
      </c>
      <c r="AE230" s="2">
        <f t="shared" ref="AE230" si="1072">AD55*AE55</f>
        <v>0</v>
      </c>
      <c r="AG230" s="2">
        <f t="shared" ref="AG230" si="1073">AF55*AG55</f>
        <v>915.25457943925232</v>
      </c>
      <c r="AI230" s="2">
        <f t="shared" ref="AI230" si="1074">AH55*AI55</f>
        <v>0</v>
      </c>
      <c r="AK230" s="2">
        <f t="shared" ref="AK230" si="1075">AJ55*AK55</f>
        <v>34325.56</v>
      </c>
      <c r="AM230" s="2">
        <f t="shared" ref="AM230" si="1076">AL55*AM55</f>
        <v>14935.2</v>
      </c>
      <c r="AO230" s="2">
        <f t="shared" ref="AO230" si="1077">AN55*AO55</f>
        <v>3167.38</v>
      </c>
      <c r="AQ230" s="2">
        <f t="shared" ref="AQ230" si="1078">AP55*AQ55</f>
        <v>0</v>
      </c>
      <c r="AS230" s="2">
        <f t="shared" ref="AS230" si="1079">AR55*AS55</f>
        <v>1369.06</v>
      </c>
      <c r="AU230" s="2">
        <f t="shared" ref="AU230" si="1080">AT55*AU55</f>
        <v>0</v>
      </c>
      <c r="AW230" s="2">
        <f t="shared" ref="AW230" si="1081">AV55*AW55</f>
        <v>86321.314349532709</v>
      </c>
      <c r="BA230" s="2">
        <f t="shared" si="44"/>
        <v>660.4</v>
      </c>
      <c r="CJ230" s="2">
        <f t="shared" ref="CJ230" si="1082">CI55*CJ55</f>
        <v>28676.2952</v>
      </c>
      <c r="CO230" s="2">
        <f t="shared" si="46"/>
        <v>15387.8788</v>
      </c>
      <c r="CT230" s="2">
        <f t="shared" si="47"/>
        <v>0</v>
      </c>
      <c r="CX230" s="2">
        <f t="shared" si="48"/>
        <v>44064.173999999999</v>
      </c>
    </row>
    <row r="231" spans="1:102" x14ac:dyDescent="0.25">
      <c r="A231" s="2">
        <v>1903</v>
      </c>
      <c r="C231" s="2">
        <f t="shared" si="22"/>
        <v>0</v>
      </c>
      <c r="E231" s="2">
        <f t="shared" si="22"/>
        <v>79.26871355759431</v>
      </c>
      <c r="G231" s="2">
        <f t="shared" ref="G231:I231" si="1083">F56*G56</f>
        <v>0</v>
      </c>
      <c r="I231" s="2">
        <f t="shared" si="1083"/>
        <v>0</v>
      </c>
      <c r="K231" s="2">
        <f t="shared" ref="K231" si="1084">J56*K56</f>
        <v>0</v>
      </c>
      <c r="M231" s="2">
        <f t="shared" ref="M231" si="1085">L56*M56</f>
        <v>0</v>
      </c>
      <c r="O231" s="2">
        <f t="shared" ref="O231" si="1086">N56*O56</f>
        <v>0</v>
      </c>
      <c r="Q231" s="2">
        <f t="shared" ref="Q231" si="1087">P56*Q56</f>
        <v>0</v>
      </c>
      <c r="S231" s="2">
        <f t="shared" ref="S231" si="1088">R56*S56</f>
        <v>0</v>
      </c>
      <c r="U231" s="2">
        <f t="shared" ref="U231" si="1089">T56*U56</f>
        <v>3680.3331294597351</v>
      </c>
      <c r="W231" s="2">
        <f t="shared" ref="W231" si="1090">V56*W56</f>
        <v>34251.9</v>
      </c>
      <c r="Y231" s="2">
        <f t="shared" ref="Y231" si="1091">X56*Y56</f>
        <v>662.94</v>
      </c>
      <c r="AA231" s="2">
        <f t="shared" ref="AA231" si="1092">Z56*AA56</f>
        <v>0</v>
      </c>
      <c r="AC231" s="2">
        <f t="shared" ref="AC231" si="1093">AB56*AC56</f>
        <v>1056.9161807679241</v>
      </c>
      <c r="AE231" s="2">
        <f t="shared" ref="AE231" si="1094">AD56*AE56</f>
        <v>198.17178389398578</v>
      </c>
      <c r="AG231" s="2">
        <f t="shared" ref="AG231" si="1095">AF56*AG56</f>
        <v>1717.4887937478766</v>
      </c>
      <c r="AI231" s="2">
        <f t="shared" ref="AI231" si="1096">AH56*AI56</f>
        <v>0</v>
      </c>
      <c r="AK231" s="2">
        <f t="shared" ref="AK231" si="1097">AJ56*AK56</f>
        <v>33147</v>
      </c>
      <c r="AM231" s="2">
        <f t="shared" ref="AM231" si="1098">AL56*AM56</f>
        <v>22459.468841318387</v>
      </c>
      <c r="AO231" s="2">
        <f t="shared" ref="AO231" si="1099">AN56*AO56</f>
        <v>3664.585</v>
      </c>
      <c r="AQ231" s="2">
        <f t="shared" ref="AQ231" si="1100">AP56*AQ56</f>
        <v>0</v>
      </c>
      <c r="AS231" s="2">
        <f t="shared" ref="AS231" si="1101">AR56*AS56</f>
        <v>1952.2439999999999</v>
      </c>
      <c r="AU231" s="2">
        <f t="shared" ref="AU231" si="1102">AT56*AU56</f>
        <v>0</v>
      </c>
      <c r="AW231" s="2">
        <f t="shared" ref="AW231" si="1103">AV56*AW56</f>
        <v>102870.31644274552</v>
      </c>
      <c r="BA231" s="2">
        <f t="shared" si="44"/>
        <v>2179.3199999999997</v>
      </c>
      <c r="CJ231" s="2">
        <f t="shared" ref="CJ231" si="1104">CI56*CJ56</f>
        <v>37333.732800000005</v>
      </c>
      <c r="CO231" s="2">
        <f t="shared" si="46"/>
        <v>20774.863200000003</v>
      </c>
      <c r="CT231" s="2">
        <f t="shared" si="47"/>
        <v>0</v>
      </c>
      <c r="CX231" s="2">
        <f t="shared" si="48"/>
        <v>58108.596000000005</v>
      </c>
    </row>
    <row r="232" spans="1:102" x14ac:dyDescent="0.25">
      <c r="A232" s="2">
        <v>1904</v>
      </c>
      <c r="C232" s="2">
        <f t="shared" si="22"/>
        <v>248.64042739153157</v>
      </c>
      <c r="E232" s="2">
        <f t="shared" si="22"/>
        <v>0</v>
      </c>
      <c r="G232" s="2">
        <f t="shared" ref="G232:I232" si="1105">F57*G57</f>
        <v>0</v>
      </c>
      <c r="I232" s="2">
        <f t="shared" si="1105"/>
        <v>0</v>
      </c>
      <c r="K232" s="2">
        <f t="shared" ref="K232" si="1106">J57*K57</f>
        <v>0</v>
      </c>
      <c r="M232" s="2">
        <f t="shared" ref="M232" si="1107">L57*M57</f>
        <v>0</v>
      </c>
      <c r="O232" s="2">
        <f t="shared" ref="O232" si="1108">N57*O57</f>
        <v>0</v>
      </c>
      <c r="Q232" s="2">
        <f t="shared" ref="Q232" si="1109">P57*Q57</f>
        <v>294.64</v>
      </c>
      <c r="S232" s="2">
        <f t="shared" ref="S232" si="1110">R57*S57</f>
        <v>0</v>
      </c>
      <c r="U232" s="2">
        <f t="shared" ref="U232" si="1111">T57*U57</f>
        <v>2452.1090425509665</v>
      </c>
      <c r="W232" s="2">
        <f t="shared" ref="W232" si="1112">V57*W57</f>
        <v>40513</v>
      </c>
      <c r="Y232" s="2">
        <f t="shared" ref="Y232" si="1113">X57*Y57</f>
        <v>1104.9000000000001</v>
      </c>
      <c r="AA232" s="2">
        <f t="shared" ref="AA232" si="1114">Z57*AA57</f>
        <v>0</v>
      </c>
      <c r="AC232" s="2">
        <f t="shared" ref="AC232" si="1115">AB57*AC57</f>
        <v>568.96</v>
      </c>
      <c r="AE232" s="2">
        <f t="shared" ref="AE232" si="1116">AD57*AE57</f>
        <v>0</v>
      </c>
      <c r="AG232" s="2">
        <f t="shared" ref="AG232" si="1117">AF57*AG57</f>
        <v>1041.7176526921064</v>
      </c>
      <c r="AI232" s="2">
        <f t="shared" ref="AI232" si="1118">AH57*AI57</f>
        <v>0</v>
      </c>
      <c r="AK232" s="2">
        <f t="shared" ref="AK232" si="1119">AJ57*AK57</f>
        <v>36830</v>
      </c>
      <c r="AM232" s="2">
        <f t="shared" ref="AM232" si="1120">AL57*AM57</f>
        <v>18420.080000000002</v>
      </c>
      <c r="AO232" s="2">
        <f t="shared" ref="AO232" si="1121">AN57*AO57</f>
        <v>13258.8</v>
      </c>
      <c r="AQ232" s="2">
        <f t="shared" ref="AQ232" si="1122">AP57*AQ57</f>
        <v>0</v>
      </c>
      <c r="AS232" s="2">
        <f t="shared" ref="AS232" si="1123">AR57*AS57</f>
        <v>522.73199999999997</v>
      </c>
      <c r="AU232" s="2">
        <f t="shared" ref="AU232" si="1124">AT57*AU57</f>
        <v>0</v>
      </c>
      <c r="AW232" s="2">
        <f t="shared" ref="AW232" si="1125">AV57*AW57</f>
        <v>115255.57912263462</v>
      </c>
      <c r="BA232" s="2">
        <f t="shared" si="44"/>
        <v>4688.84</v>
      </c>
      <c r="CJ232" s="2">
        <f t="shared" ref="CJ232" si="1126">CI57*CJ57</f>
        <v>37952.476799999997</v>
      </c>
      <c r="CO232" s="2">
        <f t="shared" si="46"/>
        <v>22819.563200000001</v>
      </c>
      <c r="CT232" s="2">
        <f t="shared" si="47"/>
        <v>0</v>
      </c>
      <c r="CX232" s="2">
        <f t="shared" si="48"/>
        <v>60772.039999999986</v>
      </c>
    </row>
    <row r="233" spans="1:102" x14ac:dyDescent="0.25">
      <c r="A233" s="2">
        <v>1905</v>
      </c>
      <c r="C233" s="2">
        <f t="shared" si="22"/>
        <v>571.46039182349136</v>
      </c>
      <c r="E233" s="2">
        <f t="shared" si="22"/>
        <v>0</v>
      </c>
      <c r="G233" s="2">
        <f t="shared" ref="G233:I233" si="1127">F58*G58</f>
        <v>0</v>
      </c>
      <c r="I233" s="2">
        <f t="shared" si="1127"/>
        <v>0</v>
      </c>
      <c r="K233" s="2">
        <f t="shared" ref="K233" si="1128">J58*K58</f>
        <v>0</v>
      </c>
      <c r="M233" s="2">
        <f t="shared" ref="M233" si="1129">L58*M58</f>
        <v>0</v>
      </c>
      <c r="O233" s="2">
        <f t="shared" ref="O233" si="1130">N58*O58</f>
        <v>0</v>
      </c>
      <c r="Q233" s="2">
        <f t="shared" ref="Q233" si="1131">P58*Q58</f>
        <v>311.73511891628817</v>
      </c>
      <c r="S233" s="2">
        <f t="shared" ref="S233" si="1132">R58*S58</f>
        <v>0</v>
      </c>
      <c r="U233" s="2">
        <f t="shared" ref="U233" si="1133">T58*U58</f>
        <v>1320.8</v>
      </c>
      <c r="W233" s="2">
        <f t="shared" ref="W233" si="1134">V58*W58</f>
        <v>85224.62</v>
      </c>
      <c r="Y233" s="2">
        <f t="shared" ref="Y233" si="1135">X58*Y58</f>
        <v>736.6</v>
      </c>
      <c r="AA233" s="2">
        <f t="shared" ref="AA233" si="1136">Z58*AA58</f>
        <v>0</v>
      </c>
      <c r="AC233" s="2">
        <f t="shared" ref="AC233" si="1137">AB58*AC58</f>
        <v>0</v>
      </c>
      <c r="AE233" s="2">
        <f t="shared" ref="AE233" si="1138">AD58*AE58</f>
        <v>0</v>
      </c>
      <c r="AG233" s="2">
        <f t="shared" ref="AG233" si="1139">AF58*AG58</f>
        <v>762.77180726800782</v>
      </c>
      <c r="AI233" s="2">
        <f t="shared" ref="AI233" si="1140">AH58*AI58</f>
        <v>0</v>
      </c>
      <c r="AK233" s="2">
        <f t="shared" ref="AK233" si="1141">AJ58*AK58</f>
        <v>33367.979999999996</v>
      </c>
      <c r="AM233" s="2">
        <f t="shared" ref="AM233" si="1142">AL58*AM58</f>
        <v>5442.4799221284875</v>
      </c>
      <c r="AO233" s="2">
        <f t="shared" ref="AO233" si="1143">AN58*AO58</f>
        <v>7660.64</v>
      </c>
      <c r="AQ233" s="2">
        <f t="shared" ref="AQ233" si="1144">AP58*AQ58</f>
        <v>0</v>
      </c>
      <c r="AS233" s="2">
        <f t="shared" ref="AS233" si="1145">AR58*AS58</f>
        <v>170.68800000000002</v>
      </c>
      <c r="AU233" s="2">
        <f t="shared" ref="AU233" si="1146">AT58*AU58</f>
        <v>0</v>
      </c>
      <c r="AW233" s="2">
        <f t="shared" ref="AW233" si="1147">AV58*AW58</f>
        <v>135569.77524013628</v>
      </c>
      <c r="BA233" s="2">
        <f t="shared" si="44"/>
        <v>8188.9600000000009</v>
      </c>
      <c r="CJ233" s="2">
        <f t="shared" ref="CJ233" si="1148">CI58*CJ58</f>
        <v>45767.142400000004</v>
      </c>
      <c r="CO233" s="2">
        <f t="shared" si="46"/>
        <v>30989.828799999999</v>
      </c>
      <c r="CT233" s="2">
        <f t="shared" si="47"/>
        <v>0</v>
      </c>
      <c r="CX233" s="2">
        <f t="shared" si="48"/>
        <v>76756.9712</v>
      </c>
    </row>
    <row r="234" spans="1:102" x14ac:dyDescent="0.25">
      <c r="A234" s="2">
        <v>1906</v>
      </c>
      <c r="C234" s="2">
        <f t="shared" si="22"/>
        <v>664.63476206547409</v>
      </c>
      <c r="E234" s="2">
        <f t="shared" si="22"/>
        <v>75.564999999999998</v>
      </c>
      <c r="G234" s="2">
        <f t="shared" ref="G234:I234" si="1149">F59*G59</f>
        <v>0</v>
      </c>
      <c r="I234" s="2">
        <f t="shared" si="1149"/>
        <v>0</v>
      </c>
      <c r="K234" s="2">
        <f t="shared" ref="K234" si="1150">J59*K59</f>
        <v>2631.44</v>
      </c>
      <c r="M234" s="2">
        <f t="shared" ref="M234" si="1151">L59*M59</f>
        <v>0</v>
      </c>
      <c r="O234" s="2">
        <f t="shared" ref="O234" si="1152">N59*O59</f>
        <v>0</v>
      </c>
      <c r="Q234" s="2">
        <f t="shared" ref="Q234" si="1153">P59*Q59</f>
        <v>0</v>
      </c>
      <c r="S234" s="2">
        <f t="shared" ref="S234" si="1154">R59*S59</f>
        <v>0</v>
      </c>
      <c r="U234" s="2">
        <f t="shared" ref="U234" si="1155">T59*U59</f>
        <v>8269.1530205872441</v>
      </c>
      <c r="W234" s="2">
        <f t="shared" ref="W234" si="1156">V59*W59</f>
        <v>109090.45999999999</v>
      </c>
      <c r="Y234" s="2">
        <f t="shared" ref="Y234" si="1157">X59*Y59</f>
        <v>11186.972662841716</v>
      </c>
      <c r="AA234" s="2">
        <f t="shared" ref="AA234" si="1158">Z59*AA59</f>
        <v>0</v>
      </c>
      <c r="AC234" s="2">
        <f t="shared" ref="AC234" si="1159">AB59*AC59</f>
        <v>720.08099898751254</v>
      </c>
      <c r="AE234" s="2">
        <f t="shared" ref="AE234" si="1160">AD59*AE59</f>
        <v>0</v>
      </c>
      <c r="AG234" s="2">
        <f t="shared" ref="AG234" si="1161">AF59*AG59</f>
        <v>827.37306783665213</v>
      </c>
      <c r="AI234" s="2">
        <f t="shared" ref="AI234" si="1162">AH59*AI59</f>
        <v>0</v>
      </c>
      <c r="AK234" s="2">
        <f t="shared" ref="AK234" si="1163">AJ59*AK59</f>
        <v>30200.6</v>
      </c>
      <c r="AM234" s="2">
        <f t="shared" ref="AM234" si="1164">AL59*AM59</f>
        <v>3600.4049949375635</v>
      </c>
      <c r="AO234" s="2">
        <f t="shared" ref="AO234" si="1165">AN59*AO59</f>
        <v>8912.86</v>
      </c>
      <c r="AQ234" s="2">
        <f t="shared" ref="AQ234" si="1166">AP59*AQ59</f>
        <v>0</v>
      </c>
      <c r="AS234" s="2">
        <f t="shared" ref="AS234" si="1167">AR59*AS59</f>
        <v>942.34</v>
      </c>
      <c r="AU234" s="2">
        <f t="shared" ref="AU234" si="1168">AT59*AU59</f>
        <v>0</v>
      </c>
      <c r="AW234" s="2">
        <f t="shared" ref="AW234" si="1169">AV59*AW59</f>
        <v>177121.88450725618</v>
      </c>
      <c r="BA234" s="2">
        <f t="shared" si="44"/>
        <v>7000.24</v>
      </c>
      <c r="CJ234" s="2">
        <f t="shared" ref="CJ234" si="1170">CI59*CJ59</f>
        <v>55706.873599999999</v>
      </c>
      <c r="CO234" s="2">
        <f t="shared" si="46"/>
        <v>50612.547999999995</v>
      </c>
      <c r="CT234" s="2">
        <f t="shared" si="47"/>
        <v>0</v>
      </c>
      <c r="CX234" s="2">
        <f t="shared" si="48"/>
        <v>106319.4216</v>
      </c>
    </row>
    <row r="235" spans="1:102" x14ac:dyDescent="0.25">
      <c r="A235" s="2">
        <v>1907</v>
      </c>
      <c r="C235" s="2">
        <f t="shared" si="22"/>
        <v>0</v>
      </c>
      <c r="E235" s="2">
        <f t="shared" si="22"/>
        <v>142.24</v>
      </c>
      <c r="G235" s="2">
        <f t="shared" ref="G235:I235" si="1171">F60*G60</f>
        <v>0</v>
      </c>
      <c r="I235" s="2">
        <f t="shared" si="1171"/>
        <v>0</v>
      </c>
      <c r="K235" s="2">
        <f t="shared" ref="K235" si="1172">J60*K60</f>
        <v>3270.9248956011174</v>
      </c>
      <c r="M235" s="2">
        <f t="shared" ref="M235" si="1173">L60*M60</f>
        <v>0</v>
      </c>
      <c r="O235" s="2">
        <f t="shared" ref="O235" si="1174">N60*O60</f>
        <v>0</v>
      </c>
      <c r="Q235" s="2">
        <f t="shared" ref="Q235" si="1175">P60*Q60</f>
        <v>0</v>
      </c>
      <c r="S235" s="2">
        <f t="shared" ref="S235" si="1176">R60*S60</f>
        <v>0</v>
      </c>
      <c r="U235" s="2">
        <f t="shared" ref="U235" si="1177">T60*U60</f>
        <v>1692.4188514553048</v>
      </c>
      <c r="W235" s="2">
        <f t="shared" ref="W235" si="1178">V60*W60</f>
        <v>133471.91999999998</v>
      </c>
      <c r="Y235" s="2">
        <f t="shared" ref="Y235" si="1179">X60*Y60</f>
        <v>10680.699999999999</v>
      </c>
      <c r="AA235" s="2">
        <f t="shared" ref="AA235" si="1180">Z60*AA60</f>
        <v>4885.76680052749</v>
      </c>
      <c r="AC235" s="2">
        <f t="shared" ref="AC235" si="1181">AB60*AC60</f>
        <v>0</v>
      </c>
      <c r="AE235" s="2">
        <f t="shared" ref="AE235" si="1182">AD60*AE60</f>
        <v>0</v>
      </c>
      <c r="AG235" s="2">
        <f t="shared" ref="AG235" si="1183">AF60*AG60</f>
        <v>1334.4071713397595</v>
      </c>
      <c r="AI235" s="2">
        <f t="shared" ref="AI235" si="1184">AH60*AI60</f>
        <v>0</v>
      </c>
      <c r="AK235" s="2">
        <f t="shared" ref="AK235" si="1185">AJ60*AK60</f>
        <v>30421.58</v>
      </c>
      <c r="AM235" s="2">
        <f t="shared" ref="AM235" si="1186">AL60*AM60</f>
        <v>5858.372947345284</v>
      </c>
      <c r="AO235" s="2">
        <f t="shared" ref="AO235" si="1187">AN60*AO60</f>
        <v>12522.2</v>
      </c>
      <c r="AQ235" s="2">
        <f t="shared" ref="AQ235" si="1188">AP60*AQ60</f>
        <v>0</v>
      </c>
      <c r="AS235" s="2">
        <f t="shared" ref="AS235" si="1189">AR60*AS60</f>
        <v>206.24800000000002</v>
      </c>
      <c r="AU235" s="2">
        <f t="shared" ref="AU235" si="1190">AT60*AU60</f>
        <v>0</v>
      </c>
      <c r="AW235" s="2">
        <f t="shared" ref="AW235" si="1191">AV60*AW60</f>
        <v>204486.77866626898</v>
      </c>
      <c r="BA235" s="2">
        <f t="shared" si="44"/>
        <v>6802.12</v>
      </c>
      <c r="CJ235" s="2">
        <f t="shared" ref="CJ235" si="1192">CI60*CJ60</f>
        <v>54762.400000000001</v>
      </c>
      <c r="CO235" s="2">
        <f t="shared" si="46"/>
        <v>60714.432800000002</v>
      </c>
      <c r="CT235" s="2">
        <f t="shared" si="47"/>
        <v>0</v>
      </c>
      <c r="CX235" s="2">
        <f t="shared" si="48"/>
        <v>115476.83279999999</v>
      </c>
    </row>
    <row r="236" spans="1:102" x14ac:dyDescent="0.25">
      <c r="A236" s="2">
        <v>1908</v>
      </c>
      <c r="C236" s="2">
        <f t="shared" si="22"/>
        <v>264.47062093361126</v>
      </c>
      <c r="E236" s="2">
        <f t="shared" si="22"/>
        <v>120.90085528393659</v>
      </c>
      <c r="G236" s="2">
        <f t="shared" ref="G236:I236" si="1193">F61*G61</f>
        <v>0</v>
      </c>
      <c r="I236" s="2">
        <f t="shared" si="1193"/>
        <v>0</v>
      </c>
      <c r="K236" s="2">
        <f t="shared" ref="K236" si="1194">J61*K61</f>
        <v>103.12400000000001</v>
      </c>
      <c r="M236" s="2">
        <f t="shared" ref="M236" si="1195">L61*M61</f>
        <v>0</v>
      </c>
      <c r="O236" s="2">
        <f t="shared" ref="O236" si="1196">N61*O61</f>
        <v>0</v>
      </c>
      <c r="Q236" s="2">
        <f t="shared" ref="Q236" si="1197">P61*Q61</f>
        <v>0</v>
      </c>
      <c r="S236" s="2">
        <f t="shared" ref="S236" si="1198">R61*S61</f>
        <v>0</v>
      </c>
      <c r="U236" s="2">
        <f t="shared" ref="U236" si="1199">T61*U61</f>
        <v>0</v>
      </c>
      <c r="W236" s="2">
        <f t="shared" ref="W236" si="1200">V61*W61</f>
        <v>103639.62</v>
      </c>
      <c r="Y236" s="2">
        <f t="shared" ref="Y236" si="1201">X61*Y61</f>
        <v>4695.8249999999998</v>
      </c>
      <c r="AA236" s="2">
        <f t="shared" ref="AA236" si="1202">Z61*AA61</f>
        <v>2887.8572598067085</v>
      </c>
      <c r="AC236" s="2">
        <f t="shared" ref="AC236" si="1203">AB61*AC61</f>
        <v>0</v>
      </c>
      <c r="AE236" s="2">
        <f t="shared" ref="AE236" si="1204">AD61*AE61</f>
        <v>0</v>
      </c>
      <c r="AG236" s="2">
        <f t="shared" ref="AG236" si="1205">AF61*AG61</f>
        <v>992.89827401932916</v>
      </c>
      <c r="AI236" s="2">
        <f t="shared" ref="AI236" si="1206">AH61*AI61</f>
        <v>0</v>
      </c>
      <c r="AK236" s="2">
        <f t="shared" ref="AK236" si="1207">AJ61*AK61</f>
        <v>40328.85</v>
      </c>
      <c r="AM236" s="2">
        <f t="shared" ref="AM236" si="1208">AL61*AM61</f>
        <v>9917.6482850104221</v>
      </c>
      <c r="AO236" s="2">
        <f t="shared" ref="AO236" si="1209">AN61*AO61</f>
        <v>17236.439999999999</v>
      </c>
      <c r="AQ236" s="2">
        <f t="shared" ref="AQ236" si="1210">AP61*AQ61</f>
        <v>1066.8</v>
      </c>
      <c r="AS236" s="2">
        <f t="shared" ref="AS236" si="1211">AR61*AS61</f>
        <v>0</v>
      </c>
      <c r="AU236" s="2">
        <f t="shared" ref="AU236" si="1212">AT61*AU61</f>
        <v>0</v>
      </c>
      <c r="AW236" s="2">
        <f t="shared" ref="AW236" si="1213">AV61*AW61</f>
        <v>181254.43429505397</v>
      </c>
      <c r="BA236" s="2">
        <f t="shared" si="44"/>
        <v>5217.16</v>
      </c>
      <c r="CJ236" s="2">
        <f t="shared" ref="CJ236" si="1214">CI61*CJ61</f>
        <v>40988.589599999999</v>
      </c>
      <c r="CO236" s="2">
        <f t="shared" si="46"/>
        <v>28663.493599999998</v>
      </c>
      <c r="CT236" s="2">
        <f t="shared" si="47"/>
        <v>0</v>
      </c>
      <c r="CX236" s="2">
        <f t="shared" si="48"/>
        <v>69652.083199999994</v>
      </c>
    </row>
    <row r="237" spans="1:102" x14ac:dyDescent="0.25">
      <c r="A237" s="2">
        <v>1909</v>
      </c>
      <c r="C237" s="2">
        <f t="shared" si="22"/>
        <v>0</v>
      </c>
      <c r="E237" s="2">
        <f t="shared" si="22"/>
        <v>0</v>
      </c>
      <c r="G237" s="2">
        <f t="shared" ref="G237:I237" si="1215">F62*G62</f>
        <v>0</v>
      </c>
      <c r="I237" s="2">
        <f t="shared" si="1215"/>
        <v>0</v>
      </c>
      <c r="K237" s="2">
        <f t="shared" ref="K237" si="1216">J62*K62</f>
        <v>106.68</v>
      </c>
      <c r="M237" s="2">
        <f t="shared" ref="M237" si="1217">L62*M62</f>
        <v>0</v>
      </c>
      <c r="O237" s="2">
        <f t="shared" ref="O237" si="1218">N62*O62</f>
        <v>0</v>
      </c>
      <c r="Q237" s="2">
        <f t="shared" ref="Q237" si="1219">P62*Q62</f>
        <v>0</v>
      </c>
      <c r="S237" s="2">
        <f t="shared" ref="S237" si="1220">R62*S62</f>
        <v>0</v>
      </c>
      <c r="U237" s="2">
        <f t="shared" ref="U237" si="1221">T62*U62</f>
        <v>396.24</v>
      </c>
      <c r="W237" s="2">
        <f t="shared" ref="W237" si="1222">V62*W62</f>
        <v>110121.70000000001</v>
      </c>
      <c r="Y237" s="2">
        <f t="shared" ref="Y237" si="1223">X62*Y62</f>
        <v>1767.84</v>
      </c>
      <c r="AA237" s="2">
        <f t="shared" ref="AA237" si="1224">Z62*AA62</f>
        <v>1303.7819999999999</v>
      </c>
      <c r="AC237" s="2">
        <f t="shared" ref="AC237" si="1225">AB62*AC62</f>
        <v>0</v>
      </c>
      <c r="AE237" s="2">
        <f t="shared" ref="AE237" si="1226">AD62*AE62</f>
        <v>0</v>
      </c>
      <c r="AG237" s="2">
        <f t="shared" ref="AG237" si="1227">AF62*AG62</f>
        <v>1351.2800000000002</v>
      </c>
      <c r="AI237" s="2">
        <f t="shared" ref="AI237" si="1228">AH62*AI62</f>
        <v>0</v>
      </c>
      <c r="AK237" s="2">
        <f t="shared" ref="AK237" si="1229">AJ62*AK62</f>
        <v>49720.5</v>
      </c>
      <c r="AM237" s="2">
        <f t="shared" ref="AM237" si="1230">AL62*AM62</f>
        <v>7144.1963307124133</v>
      </c>
      <c r="AO237" s="2">
        <f t="shared" ref="AO237" si="1231">AN62*AO62</f>
        <v>16868.14</v>
      </c>
      <c r="AQ237" s="2">
        <f t="shared" ref="AQ237" si="1232">AP62*AQ62</f>
        <v>86.570849654515129</v>
      </c>
      <c r="AS237" s="2">
        <f t="shared" ref="AS237" si="1233">AR62*AS62</f>
        <v>711.2</v>
      </c>
      <c r="AU237" s="2">
        <f t="shared" ref="AU237" si="1234">AT62*AU62</f>
        <v>0</v>
      </c>
      <c r="AW237" s="2">
        <f t="shared" ref="AW237" si="1235">AV62*AW62</f>
        <v>189578.12918036696</v>
      </c>
      <c r="BA237" s="2">
        <f t="shared" si="44"/>
        <v>5877.56</v>
      </c>
      <c r="CJ237" s="2">
        <f t="shared" ref="CJ237" si="1236">CI62*CJ62</f>
        <v>32626.300000000003</v>
      </c>
      <c r="CO237" s="2">
        <f t="shared" si="46"/>
        <v>20906.4352</v>
      </c>
      <c r="CT237" s="2">
        <f t="shared" si="47"/>
        <v>108.1024</v>
      </c>
      <c r="CX237" s="2">
        <f t="shared" si="48"/>
        <v>53640.837599999999</v>
      </c>
    </row>
    <row r="238" spans="1:102" x14ac:dyDescent="0.25">
      <c r="A238" s="2">
        <v>1910</v>
      </c>
      <c r="C238" s="2">
        <f t="shared" si="22"/>
        <v>106.68</v>
      </c>
      <c r="E238" s="2">
        <f t="shared" si="22"/>
        <v>0</v>
      </c>
      <c r="G238" s="2">
        <f t="shared" ref="G238:I238" si="1237">F63*G63</f>
        <v>0</v>
      </c>
      <c r="I238" s="2">
        <f t="shared" si="1237"/>
        <v>0</v>
      </c>
      <c r="K238" s="2">
        <f t="shared" ref="K238" si="1238">J63*K63</f>
        <v>57.827124313132124</v>
      </c>
      <c r="M238" s="2">
        <f t="shared" ref="M238" si="1239">L63*M63</f>
        <v>0</v>
      </c>
      <c r="O238" s="2">
        <f t="shared" ref="O238" si="1240">N63*O63</f>
        <v>13.55323226089034</v>
      </c>
      <c r="Q238" s="2">
        <f t="shared" ref="Q238" si="1241">P63*Q63</f>
        <v>38.181391454965357</v>
      </c>
      <c r="S238" s="2">
        <f t="shared" ref="S238" si="1242">R63*S63</f>
        <v>0</v>
      </c>
      <c r="U238" s="2">
        <f t="shared" ref="U238" si="1243">T63*U63</f>
        <v>0</v>
      </c>
      <c r="W238" s="2">
        <f t="shared" ref="W238" si="1244">V63*W63</f>
        <v>77858.62</v>
      </c>
      <c r="Y238" s="2">
        <f t="shared" ref="Y238" si="1245">X63*Y63</f>
        <v>5156.2000000000007</v>
      </c>
      <c r="AA238" s="2">
        <f t="shared" ref="AA238" si="1246">Z63*AA63</f>
        <v>3683</v>
      </c>
      <c r="AC238" s="2">
        <f t="shared" ref="AC238" si="1247">AB63*AC63</f>
        <v>0</v>
      </c>
      <c r="AE238" s="2">
        <f t="shared" ref="AE238" si="1248">AD63*AE63</f>
        <v>0</v>
      </c>
      <c r="AG238" s="2">
        <f t="shared" ref="AG238" si="1249">AF63*AG63</f>
        <v>1713.9920000000002</v>
      </c>
      <c r="AI238" s="2">
        <f t="shared" ref="AI238" si="1250">AH63*AI63</f>
        <v>0</v>
      </c>
      <c r="AK238" s="2">
        <f t="shared" ref="AK238" si="1251">AJ63*AK63</f>
        <v>58044.08</v>
      </c>
      <c r="AM238" s="2">
        <f t="shared" ref="AM238" si="1252">AL63*AM63</f>
        <v>5132.1572827904765</v>
      </c>
      <c r="AO238" s="2">
        <f t="shared" ref="AO238" si="1253">AN63*AO63</f>
        <v>14363.7</v>
      </c>
      <c r="AQ238" s="2">
        <f t="shared" ref="AQ238" si="1254">AP63*AQ63</f>
        <v>0</v>
      </c>
      <c r="AS238" s="2">
        <f t="shared" ref="AS238" si="1255">AR63*AS63</f>
        <v>325.27757426136816</v>
      </c>
      <c r="AU238" s="2">
        <f t="shared" ref="AU238" si="1256">AT63*AU63</f>
        <v>0</v>
      </c>
      <c r="AW238" s="2">
        <f t="shared" ref="AW238" si="1257">AV63*AW63</f>
        <v>166493.26860508084</v>
      </c>
      <c r="BA238" s="2">
        <f t="shared" si="44"/>
        <v>2707.64</v>
      </c>
      <c r="CJ238" s="2">
        <f t="shared" ref="CJ238" si="1258">CI63*CJ63</f>
        <v>22595.535200000002</v>
      </c>
      <c r="CO238" s="2">
        <f t="shared" si="46"/>
        <v>10916.92</v>
      </c>
      <c r="CT238" s="2">
        <f t="shared" si="47"/>
        <v>0</v>
      </c>
      <c r="CX238" s="2">
        <f t="shared" si="48"/>
        <v>33512.455200000004</v>
      </c>
    </row>
    <row r="239" spans="1:102" x14ac:dyDescent="0.25">
      <c r="A239" s="2">
        <v>1911</v>
      </c>
      <c r="C239" s="2">
        <f t="shared" si="22"/>
        <v>71.12</v>
      </c>
      <c r="E239" s="2">
        <f t="shared" si="22"/>
        <v>10.668000000000001</v>
      </c>
      <c r="G239" s="2">
        <f t="shared" ref="G239:I239" si="1259">F64*G64</f>
        <v>0</v>
      </c>
      <c r="I239" s="2">
        <f t="shared" si="1259"/>
        <v>0</v>
      </c>
      <c r="K239" s="2">
        <f t="shared" ref="K239" si="1260">J64*K64</f>
        <v>178.46011249989235</v>
      </c>
      <c r="M239" s="2">
        <f t="shared" ref="M239" si="1261">L64*M64</f>
        <v>0</v>
      </c>
      <c r="O239" s="2">
        <f t="shared" ref="O239" si="1262">N64*O64</f>
        <v>284.48</v>
      </c>
      <c r="Q239" s="2">
        <f t="shared" ref="Q239" si="1263">P64*Q64</f>
        <v>0</v>
      </c>
      <c r="S239" s="2">
        <f t="shared" ref="S239" si="1264">R64*S64</f>
        <v>7.3660000000000005</v>
      </c>
      <c r="U239" s="2">
        <f t="shared" ref="U239" si="1265">T64*U64</f>
        <v>0</v>
      </c>
      <c r="W239" s="2">
        <f t="shared" ref="W239" si="1266">V64*W64</f>
        <v>86624.16</v>
      </c>
      <c r="Y239" s="2">
        <f t="shared" ref="Y239" si="1267">X64*Y64</f>
        <v>5351.3990000000003</v>
      </c>
      <c r="AA239" s="2">
        <f t="shared" ref="AA239" si="1268">Z64*AA64</f>
        <v>44.196000000000005</v>
      </c>
      <c r="AC239" s="2">
        <f t="shared" ref="AC239" si="1269">AB64*AC64</f>
        <v>0</v>
      </c>
      <c r="AE239" s="2">
        <f t="shared" ref="AE239" si="1270">AD64*AE64</f>
        <v>0</v>
      </c>
      <c r="AG239" s="2">
        <f t="shared" ref="AG239" si="1271">AF64*AG64</f>
        <v>2375.4079999999999</v>
      </c>
      <c r="AI239" s="2">
        <f t="shared" ref="AI239" si="1272">AH64*AI64</f>
        <v>0</v>
      </c>
      <c r="AK239" s="2">
        <f t="shared" ref="AK239" si="1273">AJ64*AK64</f>
        <v>59369.96</v>
      </c>
      <c r="AM239" s="2">
        <f t="shared" ref="AM239" si="1274">AL64*AM64</f>
        <v>6329.68</v>
      </c>
      <c r="AO239" s="2">
        <f t="shared" ref="AO239" si="1275">AN64*AO64</f>
        <v>14658.34</v>
      </c>
      <c r="AQ239" s="2">
        <f t="shared" ref="AQ239" si="1276">AP64*AQ64</f>
        <v>248.92000000000002</v>
      </c>
      <c r="AS239" s="2">
        <f t="shared" ref="AS239" si="1277">AR64*AS64</f>
        <v>118.97340833326157</v>
      </c>
      <c r="AU239" s="2">
        <f t="shared" ref="AU239" si="1278">AT64*AU64</f>
        <v>0</v>
      </c>
      <c r="AW239" s="2">
        <f t="shared" ref="AW239" si="1279">AV64*AW64</f>
        <v>175673.13052083316</v>
      </c>
      <c r="BA239" s="2">
        <f t="shared" si="44"/>
        <v>2179.3199999999997</v>
      </c>
      <c r="CJ239" s="2">
        <f t="shared" ref="CJ239" si="1280">CI64*CJ64</f>
        <v>29238.8544</v>
      </c>
      <c r="CO239" s="2">
        <f t="shared" si="46"/>
        <v>10571.988000000001</v>
      </c>
      <c r="CT239" s="2">
        <f t="shared" si="47"/>
        <v>0</v>
      </c>
      <c r="CX239" s="2">
        <f t="shared" si="48"/>
        <v>39810.842400000001</v>
      </c>
    </row>
    <row r="240" spans="1:102" x14ac:dyDescent="0.25">
      <c r="A240" s="2">
        <v>1912</v>
      </c>
      <c r="C240" s="2">
        <f t="shared" si="22"/>
        <v>0</v>
      </c>
      <c r="E240" s="2">
        <f t="shared" si="22"/>
        <v>0</v>
      </c>
      <c r="G240" s="2">
        <f t="shared" ref="G240:I240" si="1281">F65*G65</f>
        <v>0</v>
      </c>
      <c r="I240" s="2">
        <f t="shared" si="1281"/>
        <v>0</v>
      </c>
      <c r="K240" s="2">
        <f t="shared" ref="K240" si="1282">J65*K65</f>
        <v>391.16</v>
      </c>
      <c r="M240" s="2">
        <f t="shared" ref="M240" si="1283">L65*M65</f>
        <v>7594.6</v>
      </c>
      <c r="O240" s="2">
        <f t="shared" ref="O240" si="1284">N65*O65</f>
        <v>48.511421901801718</v>
      </c>
      <c r="Q240" s="2">
        <f t="shared" ref="Q240" si="1285">P65*Q65</f>
        <v>0</v>
      </c>
      <c r="S240" s="2">
        <f t="shared" ref="S240" si="1286">R65*S65</f>
        <v>36.83</v>
      </c>
      <c r="U240" s="2">
        <f t="shared" ref="U240" si="1287">T65*U65</f>
        <v>0</v>
      </c>
      <c r="W240" s="2">
        <f t="shared" ref="W240" si="1288">V65*W65</f>
        <v>74101.960000000006</v>
      </c>
      <c r="Y240" s="2">
        <f t="shared" ref="Y240" si="1289">X65*Y65</f>
        <v>4957.3180000000002</v>
      </c>
      <c r="AA240" s="2">
        <f t="shared" ref="AA240" si="1290">Z65*AA65</f>
        <v>902.33500000000004</v>
      </c>
      <c r="AC240" s="2">
        <f t="shared" ref="AC240" si="1291">AB65*AC65</f>
        <v>0</v>
      </c>
      <c r="AE240" s="2">
        <f t="shared" ref="AE240" si="1292">AD65*AE65</f>
        <v>0</v>
      </c>
      <c r="AG240" s="2">
        <f t="shared" ref="AG240" si="1293">AF65*AG65</f>
        <v>1493.52</v>
      </c>
      <c r="AI240" s="2">
        <f t="shared" ref="AI240" si="1294">AH65*AI65</f>
        <v>35560</v>
      </c>
      <c r="AK240" s="2">
        <f t="shared" ref="AK240" si="1295">AJ65*AK65</f>
        <v>82388.709999999992</v>
      </c>
      <c r="AM240" s="2">
        <f t="shared" ref="AM240" si="1296">AL65*AM65</f>
        <v>6784.848</v>
      </c>
      <c r="AO240" s="2">
        <f t="shared" ref="AO240" si="1297">AN65*AO65</f>
        <v>12301.22</v>
      </c>
      <c r="AQ240" s="2">
        <f t="shared" ref="AQ240" si="1298">AP65*AQ65</f>
        <v>2079.5229521905671</v>
      </c>
      <c r="AS240" s="2">
        <f t="shared" ref="AS240" si="1299">AR65*AS65</f>
        <v>0</v>
      </c>
      <c r="AU240" s="2">
        <f t="shared" ref="AU240" si="1300">AT65*AU65</f>
        <v>25062.18</v>
      </c>
      <c r="AW240" s="2">
        <f t="shared" ref="AW240" si="1301">AV65*AW65</f>
        <v>253702.71537409237</v>
      </c>
      <c r="BA240" s="2">
        <f t="shared" si="44"/>
        <v>3169.92</v>
      </c>
      <c r="CJ240" s="2">
        <f t="shared" ref="CJ240" si="1302">CI65*CJ65</f>
        <v>30613.603999999999</v>
      </c>
      <c r="CO240" s="2">
        <f t="shared" si="46"/>
        <v>8774.7855999999992</v>
      </c>
      <c r="CT240" s="2">
        <f t="shared" si="47"/>
        <v>0</v>
      </c>
      <c r="CX240" s="2">
        <f t="shared" si="48"/>
        <v>39388.389599999995</v>
      </c>
    </row>
    <row r="241" spans="1:102" x14ac:dyDescent="0.25">
      <c r="A241" s="2">
        <v>1913</v>
      </c>
      <c r="C241" s="2">
        <f t="shared" si="22"/>
        <v>0</v>
      </c>
      <c r="E241" s="2">
        <f t="shared" si="22"/>
        <v>188.81350270868623</v>
      </c>
      <c r="G241" s="2">
        <f t="shared" ref="G241:I241" si="1303">F66*G66</f>
        <v>0</v>
      </c>
      <c r="I241" s="2">
        <f t="shared" si="1303"/>
        <v>0</v>
      </c>
      <c r="K241" s="2">
        <f t="shared" ref="K241" si="1304">J66*K66</f>
        <v>0</v>
      </c>
      <c r="M241" s="2">
        <f t="shared" ref="M241" si="1305">L66*M66</f>
        <v>164.18565452929238</v>
      </c>
      <c r="O241" s="2">
        <f t="shared" ref="O241" si="1306">N66*O66</f>
        <v>0</v>
      </c>
      <c r="Q241" s="2">
        <f t="shared" ref="Q241" si="1307">P66*Q66</f>
        <v>0</v>
      </c>
      <c r="S241" s="2">
        <f t="shared" ref="S241" si="1308">R66*S66</f>
        <v>55.244999999999997</v>
      </c>
      <c r="U241" s="2">
        <f t="shared" ref="U241" si="1309">T66*U66</f>
        <v>0</v>
      </c>
      <c r="W241" s="2">
        <f t="shared" ref="W241" si="1310">V66*W66</f>
        <v>86108.54</v>
      </c>
      <c r="Y241" s="2">
        <f t="shared" ref="Y241" si="1311">X66*Y66</f>
        <v>9433.0837499999998</v>
      </c>
      <c r="AA241" s="2">
        <f t="shared" ref="AA241" si="1312">Z66*AA66</f>
        <v>718.18500000000006</v>
      </c>
      <c r="AC241" s="2">
        <f t="shared" ref="AC241" si="1313">AB66*AC66</f>
        <v>0</v>
      </c>
      <c r="AE241" s="2">
        <f t="shared" ref="AE241" si="1314">AD66*AE66</f>
        <v>0</v>
      </c>
      <c r="AG241" s="2">
        <f t="shared" ref="AG241" si="1315">AF66*AG66</f>
        <v>3698.2400000000002</v>
      </c>
      <c r="AI241" s="2">
        <f t="shared" ref="AI241" si="1316">AH66*AI66</f>
        <v>0</v>
      </c>
      <c r="AK241" s="2">
        <f t="shared" ref="AK241" si="1317">AJ66*AK66</f>
        <v>79899.002000000008</v>
      </c>
      <c r="AM241" s="2">
        <f t="shared" ref="AM241" si="1318">AL66*AM66</f>
        <v>11485.880000000001</v>
      </c>
      <c r="AO241" s="2">
        <f t="shared" ref="AO241" si="1319">AN66*AO66</f>
        <v>11638.279999999999</v>
      </c>
      <c r="AQ241" s="2">
        <f t="shared" ref="AQ241" si="1320">AP66*AQ66</f>
        <v>497.84000000000003</v>
      </c>
      <c r="AS241" s="2">
        <f t="shared" ref="AS241" si="1321">AR66*AS66</f>
        <v>0</v>
      </c>
      <c r="AU241" s="2">
        <f t="shared" ref="AU241" si="1322">AT66*AU66</f>
        <v>24942.146432349931</v>
      </c>
      <c r="AW241" s="2">
        <f t="shared" ref="AW241" si="1323">AV66*AW66</f>
        <v>228829.44133958788</v>
      </c>
      <c r="BA241" s="2">
        <f t="shared" si="44"/>
        <v>3764.2799999999997</v>
      </c>
      <c r="CJ241" s="2">
        <f t="shared" ref="CJ241" si="1324">CI66*CJ66</f>
        <v>32607.097600000005</v>
      </c>
      <c r="CO241" s="2">
        <f t="shared" si="46"/>
        <v>9892.7920000000013</v>
      </c>
      <c r="CT241" s="2">
        <f t="shared" si="47"/>
        <v>227.58400000000003</v>
      </c>
      <c r="CX241" s="2">
        <f t="shared" si="48"/>
        <v>42727.473600000012</v>
      </c>
    </row>
    <row r="242" spans="1:102" x14ac:dyDescent="0.25">
      <c r="A242" s="2">
        <v>1914</v>
      </c>
      <c r="C242" s="2">
        <f t="shared" si="22"/>
        <v>0</v>
      </c>
      <c r="E242" s="2">
        <f t="shared" si="22"/>
        <v>106.68</v>
      </c>
      <c r="G242" s="2">
        <f t="shared" ref="G242:I242" si="1325">F67*G67</f>
        <v>0</v>
      </c>
      <c r="I242" s="2">
        <f t="shared" si="1325"/>
        <v>0</v>
      </c>
      <c r="K242" s="2">
        <f t="shared" ref="K242" si="1326">J67*K67</f>
        <v>624.38128884329944</v>
      </c>
      <c r="M242" s="2">
        <f t="shared" ref="M242" si="1327">L67*M67</f>
        <v>0</v>
      </c>
      <c r="O242" s="2">
        <f t="shared" ref="O242" si="1328">N67*O67</f>
        <v>0</v>
      </c>
      <c r="Q242" s="2">
        <f t="shared" ref="Q242" si="1329">P67*Q67</f>
        <v>0</v>
      </c>
      <c r="S242" s="2">
        <f t="shared" ref="S242" si="1330">R67*S67</f>
        <v>147.32</v>
      </c>
      <c r="U242" s="2">
        <f t="shared" ref="U242" si="1331">T67*U67</f>
        <v>0</v>
      </c>
      <c r="W242" s="2">
        <f t="shared" ref="W242" si="1332">V67*W67</f>
        <v>58559.700000000004</v>
      </c>
      <c r="Y242" s="2">
        <f t="shared" ref="Y242" si="1333">X67*Y67</f>
        <v>7439.66</v>
      </c>
      <c r="AA242" s="2">
        <f t="shared" ref="AA242" si="1334">Z67*AA67</f>
        <v>84.708999999999989</v>
      </c>
      <c r="AC242" s="2">
        <f t="shared" ref="AC242" si="1335">AB67*AC67</f>
        <v>0</v>
      </c>
      <c r="AE242" s="2">
        <f t="shared" ref="AE242" si="1336">AD67*AE67</f>
        <v>0</v>
      </c>
      <c r="AG242" s="2">
        <f t="shared" ref="AG242" si="1337">AF67*AG67</f>
        <v>1920.2400000000002</v>
      </c>
      <c r="AI242" s="2">
        <f t="shared" ref="AI242" si="1338">AH67*AI67</f>
        <v>0</v>
      </c>
      <c r="AK242" s="2">
        <f t="shared" ref="AK242" si="1339">AJ67*AK67</f>
        <v>72997.06</v>
      </c>
      <c r="AM242" s="2">
        <f t="shared" ref="AM242" si="1340">AL67*AM67</f>
        <v>8321.0400000000009</v>
      </c>
      <c r="AO242" s="2">
        <f t="shared" ref="AO242" si="1341">AN67*AO67</f>
        <v>9207.5</v>
      </c>
      <c r="AQ242" s="2">
        <f t="shared" ref="AQ242" si="1342">AP67*AQ67</f>
        <v>88.70495963313823</v>
      </c>
      <c r="AS242" s="2">
        <f t="shared" ref="AS242" si="1343">AR67*AS67</f>
        <v>0</v>
      </c>
      <c r="AU242" s="2">
        <f t="shared" ref="AU242" si="1344">AT67*AU67</f>
        <v>16827.167330959997</v>
      </c>
      <c r="AW242" s="2">
        <f t="shared" ref="AW242" si="1345">AV67*AW67</f>
        <v>176324.16257943644</v>
      </c>
      <c r="BA242" s="2">
        <f t="shared" si="44"/>
        <v>3473.7040000000002</v>
      </c>
      <c r="CJ242" s="2">
        <f t="shared" ref="CJ242" si="1346">CI67*CJ67</f>
        <v>17391.684799999999</v>
      </c>
      <c r="CO242" s="2">
        <f t="shared" si="46"/>
        <v>6215.8879999999999</v>
      </c>
      <c r="CT242" s="2">
        <f t="shared" si="47"/>
        <v>0</v>
      </c>
      <c r="CX242" s="2">
        <f t="shared" si="48"/>
        <v>23607.572799999998</v>
      </c>
    </row>
    <row r="243" spans="1:102" x14ac:dyDescent="0.25">
      <c r="A243" s="2">
        <v>1915</v>
      </c>
      <c r="C243" s="2">
        <f t="shared" si="22"/>
        <v>0</v>
      </c>
      <c r="E243" s="2">
        <f t="shared" si="22"/>
        <v>77.785572243779953</v>
      </c>
      <c r="G243" s="2">
        <f t="shared" ref="G243:I243" si="1347">F68*G68</f>
        <v>12242.8</v>
      </c>
      <c r="I243" s="2">
        <f t="shared" si="1347"/>
        <v>0</v>
      </c>
      <c r="K243" s="2">
        <f t="shared" ref="K243" si="1348">J68*K68</f>
        <v>0</v>
      </c>
      <c r="M243" s="2">
        <f t="shared" ref="M243" si="1349">L68*M68</f>
        <v>0</v>
      </c>
      <c r="O243" s="2">
        <f t="shared" ref="O243" si="1350">N68*O68</f>
        <v>0</v>
      </c>
      <c r="Q243" s="2">
        <f t="shared" ref="Q243" si="1351">P68*Q68</f>
        <v>117.85600000000001</v>
      </c>
      <c r="S243" s="2">
        <f t="shared" ref="S243" si="1352">R68*S68</f>
        <v>0</v>
      </c>
      <c r="U243" s="2">
        <f t="shared" ref="U243" si="1353">T68*U68</f>
        <v>0</v>
      </c>
      <c r="W243" s="2">
        <f t="shared" ref="W243" si="1354">V68*W68</f>
        <v>48762.92</v>
      </c>
      <c r="Y243" s="2">
        <f t="shared" ref="Y243" si="1355">X68*Y68</f>
        <v>7586.98</v>
      </c>
      <c r="AA243" s="2">
        <f t="shared" ref="AA243" si="1356">Z68*AA68</f>
        <v>220.98</v>
      </c>
      <c r="AC243" s="2">
        <f t="shared" ref="AC243" si="1357">AB68*AC68</f>
        <v>0</v>
      </c>
      <c r="AE243" s="2">
        <f t="shared" ref="AE243" si="1358">AD68*AE68</f>
        <v>0</v>
      </c>
      <c r="AG243" s="2">
        <f t="shared" ref="AG243" si="1359">AF68*AG68</f>
        <v>302.26</v>
      </c>
      <c r="AI243" s="2">
        <f t="shared" ref="AI243" si="1360">AH68*AI68</f>
        <v>0</v>
      </c>
      <c r="AK243" s="2">
        <f t="shared" ref="AK243" si="1361">AJ68*AK68</f>
        <v>76974.7</v>
      </c>
      <c r="AM243" s="2">
        <f t="shared" ref="AM243" si="1362">AL68*AM68</f>
        <v>5760.72</v>
      </c>
      <c r="AO243" s="2">
        <f t="shared" ref="AO243" si="1363">AN68*AO68</f>
        <v>10244.264499999999</v>
      </c>
      <c r="AQ243" s="2">
        <f t="shared" ref="AQ243" si="1364">AP68*AQ68</f>
        <v>195.58</v>
      </c>
      <c r="AS243" s="2">
        <f t="shared" ref="AS243" si="1365">AR68*AS68</f>
        <v>0</v>
      </c>
      <c r="AU243" s="2">
        <f t="shared" ref="AU243" si="1366">AT68*AU68</f>
        <v>35961.576763600395</v>
      </c>
      <c r="AW243" s="2">
        <f t="shared" ref="AW243" si="1367">AV68*AW68</f>
        <v>198448.42283584416</v>
      </c>
      <c r="BA243" s="2">
        <f t="shared" si="44"/>
        <v>6310.1220000000003</v>
      </c>
      <c r="CJ243" s="2">
        <f t="shared" ref="CJ243" si="1368">CI68*CJ68</f>
        <v>17590.1096</v>
      </c>
      <c r="CO243" s="2">
        <f t="shared" si="46"/>
        <v>5593.5879999999997</v>
      </c>
      <c r="CT243" s="2">
        <f t="shared" si="47"/>
        <v>0</v>
      </c>
      <c r="CX243" s="2">
        <f t="shared" si="48"/>
        <v>23183.6976</v>
      </c>
    </row>
    <row r="244" spans="1:102" x14ac:dyDescent="0.25">
      <c r="A244" s="2">
        <v>1916</v>
      </c>
      <c r="C244" s="2">
        <f t="shared" si="22"/>
        <v>75.335426191477524</v>
      </c>
      <c r="E244" s="2">
        <f t="shared" si="22"/>
        <v>47.117000000000004</v>
      </c>
      <c r="G244" s="2">
        <f t="shared" ref="G244:I244" si="1369">F69*G69</f>
        <v>0</v>
      </c>
      <c r="I244" s="2">
        <f t="shared" si="1369"/>
        <v>750.31600000000014</v>
      </c>
      <c r="K244" s="2">
        <f t="shared" ref="K244" si="1370">J69*K69</f>
        <v>0</v>
      </c>
      <c r="M244" s="2">
        <f t="shared" ref="M244" si="1371">L69*M69</f>
        <v>0</v>
      </c>
      <c r="O244" s="2">
        <f t="shared" ref="O244" si="1372">N69*O69</f>
        <v>0</v>
      </c>
      <c r="Q244" s="2">
        <f t="shared" ref="Q244" si="1373">P69*Q69</f>
        <v>27.622499999999999</v>
      </c>
      <c r="S244" s="2">
        <f t="shared" ref="S244" si="1374">R69*S69</f>
        <v>0</v>
      </c>
      <c r="U244" s="2">
        <f t="shared" ref="U244" si="1375">T69*U69</f>
        <v>0</v>
      </c>
      <c r="W244" s="2">
        <f t="shared" ref="W244" si="1376">V69*W69</f>
        <v>51584.097999999998</v>
      </c>
      <c r="Y244" s="2">
        <f t="shared" ref="Y244" si="1377">X69*Y69</f>
        <v>1003.6174999999999</v>
      </c>
      <c r="AA244" s="2">
        <f t="shared" ref="AA244" si="1378">Z69*AA69</f>
        <v>368.3</v>
      </c>
      <c r="AC244" s="2">
        <f t="shared" ref="AC244" si="1379">AB69*AC69</f>
        <v>0</v>
      </c>
      <c r="AE244" s="2">
        <f t="shared" ref="AE244" si="1380">AD69*AE69</f>
        <v>0</v>
      </c>
      <c r="AG244" s="2">
        <f t="shared" ref="AG244" si="1381">AF69*AG69</f>
        <v>2313.2180171209184</v>
      </c>
      <c r="AI244" s="2">
        <f t="shared" ref="AI244" si="1382">AH69*AI69</f>
        <v>0</v>
      </c>
      <c r="AK244" s="2">
        <f t="shared" ref="AK244" si="1383">AJ69*AK69</f>
        <v>80178.909999999989</v>
      </c>
      <c r="AM244" s="2">
        <f t="shared" ref="AM244" si="1384">AL69*AM69</f>
        <v>5938.5199999999995</v>
      </c>
      <c r="AO244" s="2">
        <f t="shared" ref="AO244" si="1385">AN69*AO69</f>
        <v>10135.616</v>
      </c>
      <c r="AQ244" s="2">
        <f t="shared" ref="AQ244" si="1386">AP69*AQ69</f>
        <v>231.01674051362755</v>
      </c>
      <c r="AS244" s="2">
        <f t="shared" ref="AS244" si="1387">AR69*AS69</f>
        <v>0</v>
      </c>
      <c r="AU244" s="2">
        <f t="shared" ref="AU244" si="1388">AT69*AU69</f>
        <v>21022.056</v>
      </c>
      <c r="AW244" s="2">
        <f t="shared" ref="AW244" si="1389">AV69*AW69</f>
        <v>173675.74318382601</v>
      </c>
      <c r="BA244" s="2">
        <f t="shared" si="44"/>
        <v>8056.88</v>
      </c>
      <c r="CJ244" s="2">
        <f t="shared" ref="CJ244" si="1390">CI69*CJ69</f>
        <v>20037.3488</v>
      </c>
      <c r="CO244" s="2">
        <f t="shared" si="46"/>
        <v>10893.450399999998</v>
      </c>
      <c r="CT244" s="2">
        <f t="shared" si="47"/>
        <v>0</v>
      </c>
      <c r="CX244" s="2">
        <f t="shared" si="48"/>
        <v>30930.799200000001</v>
      </c>
    </row>
    <row r="245" spans="1:102" x14ac:dyDescent="0.25">
      <c r="A245" s="2">
        <v>1917</v>
      </c>
      <c r="C245" s="2">
        <f t="shared" si="22"/>
        <v>0</v>
      </c>
      <c r="E245" s="2">
        <f t="shared" si="22"/>
        <v>174.24400000000003</v>
      </c>
      <c r="G245" s="2">
        <f t="shared" ref="G245:I245" si="1391">F70*G70</f>
        <v>0</v>
      </c>
      <c r="I245" s="2">
        <f t="shared" si="1391"/>
        <v>0</v>
      </c>
      <c r="K245" s="2">
        <f t="shared" ref="K245" si="1392">J70*K70</f>
        <v>13.335000000000001</v>
      </c>
      <c r="M245" s="2">
        <f t="shared" ref="M245" si="1393">L70*M70</f>
        <v>0</v>
      </c>
      <c r="O245" s="2">
        <f t="shared" ref="O245" si="1394">N70*O70</f>
        <v>0</v>
      </c>
      <c r="Q245" s="2">
        <f t="shared" ref="Q245" si="1395">P70*Q70</f>
        <v>0</v>
      </c>
      <c r="S245" s="2">
        <f t="shared" ref="S245" si="1396">R70*S70</f>
        <v>0</v>
      </c>
      <c r="U245" s="2">
        <f t="shared" ref="U245" si="1397">T70*U70</f>
        <v>0</v>
      </c>
      <c r="W245" s="2">
        <f t="shared" ref="W245" si="1398">V70*W70</f>
        <v>44873.672000000006</v>
      </c>
      <c r="Y245" s="2">
        <f t="shared" ref="Y245" si="1399">X70*Y70</f>
        <v>10165.08</v>
      </c>
      <c r="AA245" s="2">
        <f t="shared" ref="AA245" si="1400">Z70*AA70</f>
        <v>14732</v>
      </c>
      <c r="AC245" s="2">
        <f t="shared" ref="AC245" si="1401">AB70*AC70</f>
        <v>0</v>
      </c>
      <c r="AE245" s="2">
        <f t="shared" ref="AE245" si="1402">AD70*AE70</f>
        <v>0</v>
      </c>
      <c r="AG245" s="2">
        <f t="shared" ref="AG245" si="1403">AF70*AG70</f>
        <v>1688.4999786924361</v>
      </c>
      <c r="AI245" s="2">
        <f t="shared" ref="AI245" si="1404">AH70*AI70</f>
        <v>0</v>
      </c>
      <c r="AK245" s="2">
        <f t="shared" ref="AK245" si="1405">AJ70*AK70</f>
        <v>68945.759999999995</v>
      </c>
      <c r="AM245" s="2">
        <f t="shared" ref="AM245" si="1406">AL70*AM70</f>
        <v>8890</v>
      </c>
      <c r="AO245" s="2">
        <f t="shared" ref="AO245" si="1407">AN70*AO70</f>
        <v>9391.65</v>
      </c>
      <c r="AQ245" s="2">
        <f t="shared" ref="AQ245" si="1408">AP70*AQ70</f>
        <v>568.96</v>
      </c>
      <c r="AS245" s="2">
        <f t="shared" ref="AS245" si="1409">AR70*AS70</f>
        <v>0</v>
      </c>
      <c r="AU245" s="2">
        <f t="shared" ref="AU245" si="1410">AT70*AU70</f>
        <v>29615.806610446711</v>
      </c>
      <c r="AW245" s="2">
        <f t="shared" ref="AW245" si="1411">AV70*AW70</f>
        <v>189059.00758913913</v>
      </c>
      <c r="BA245" s="2">
        <f t="shared" si="44"/>
        <v>9176.257999999998</v>
      </c>
      <c r="CJ245" s="2">
        <f t="shared" ref="CJ245" si="1412">CI70*CJ70</f>
        <v>16920.8704</v>
      </c>
      <c r="CO245" s="2">
        <f t="shared" si="46"/>
        <v>4910.8359999999993</v>
      </c>
      <c r="CT245" s="2">
        <f t="shared" si="47"/>
        <v>0</v>
      </c>
      <c r="CX245" s="2">
        <f t="shared" si="48"/>
        <v>21831.706399999995</v>
      </c>
    </row>
    <row r="246" spans="1:102" x14ac:dyDescent="0.25">
      <c r="A246" s="2">
        <v>1918</v>
      </c>
      <c r="C246" s="2">
        <f t="shared" si="22"/>
        <v>711.2</v>
      </c>
      <c r="E246" s="2">
        <f t="shared" si="22"/>
        <v>295.14800000000002</v>
      </c>
      <c r="G246" s="2">
        <f t="shared" ref="G246:I246" si="1413">F71*G71</f>
        <v>0</v>
      </c>
      <c r="I246" s="2">
        <f t="shared" si="1413"/>
        <v>0</v>
      </c>
      <c r="K246" s="2">
        <f t="shared" ref="K246" si="1414">J71*K71</f>
        <v>20.997773666049909</v>
      </c>
      <c r="M246" s="2">
        <f t="shared" ref="M246" si="1415">L71*M71</f>
        <v>0</v>
      </c>
      <c r="O246" s="2">
        <f t="shared" ref="O246" si="1416">N71*O71</f>
        <v>0</v>
      </c>
      <c r="Q246" s="2">
        <f t="shared" ref="Q246" si="1417">P71*Q71</f>
        <v>14.732000000000001</v>
      </c>
      <c r="S246" s="2">
        <f t="shared" ref="S246" si="1418">R71*S71</f>
        <v>0</v>
      </c>
      <c r="U246" s="2">
        <f t="shared" ref="U246" si="1419">T71*U71</f>
        <v>0</v>
      </c>
      <c r="W246" s="2">
        <f t="shared" ref="W246" si="1420">V71*W71</f>
        <v>50862.23</v>
      </c>
      <c r="Y246" s="2">
        <f t="shared" ref="Y246" si="1421">X71*Y71</f>
        <v>10551.795</v>
      </c>
      <c r="AA246" s="2">
        <f t="shared" ref="AA246" si="1422">Z71*AA71</f>
        <v>2729.1030000000001</v>
      </c>
      <c r="AC246" s="2">
        <f t="shared" ref="AC246" si="1423">AB71*AC71</f>
        <v>0</v>
      </c>
      <c r="AE246" s="2">
        <f t="shared" ref="AE246" si="1424">AD71*AE71</f>
        <v>0</v>
      </c>
      <c r="AG246" s="2">
        <f t="shared" ref="AG246" si="1425">AF71*AG71</f>
        <v>1902.9232384857728</v>
      </c>
      <c r="AI246" s="2">
        <f t="shared" ref="AI246" si="1426">AH71*AI71</f>
        <v>0</v>
      </c>
      <c r="AK246" s="2">
        <f t="shared" ref="AK246" si="1427">AJ71*AK71</f>
        <v>64342.01</v>
      </c>
      <c r="AM246" s="2">
        <f t="shared" ref="AM246" si="1428">AL71*AM71</f>
        <v>7837.424</v>
      </c>
      <c r="AO246" s="2">
        <f t="shared" ref="AO246" si="1429">AN71*AO71</f>
        <v>11417.3</v>
      </c>
      <c r="AQ246" s="2">
        <f t="shared" ref="AQ246" si="1430">AP71*AQ71</f>
        <v>0</v>
      </c>
      <c r="AS246" s="2">
        <f t="shared" ref="AS246" si="1431">AR71*AS71</f>
        <v>0</v>
      </c>
      <c r="AU246" s="2">
        <f t="shared" ref="AU246" si="1432">AT71*AU71</f>
        <v>23575.133208481275</v>
      </c>
      <c r="AW246" s="2">
        <f t="shared" ref="AW246" si="1433">AV71*AW71</f>
        <v>174259.9962206331</v>
      </c>
      <c r="BA246" s="2">
        <f t="shared" si="44"/>
        <v>8981.4399999999987</v>
      </c>
      <c r="CJ246" s="2">
        <f t="shared" ref="CJ246" si="1434">CI71*CJ71</f>
        <v>21037.296000000002</v>
      </c>
      <c r="CO246" s="2">
        <f t="shared" si="46"/>
        <v>7076.44</v>
      </c>
      <c r="CT246" s="2">
        <f t="shared" si="47"/>
        <v>0</v>
      </c>
      <c r="CX246" s="2">
        <f t="shared" si="48"/>
        <v>28113.736000000001</v>
      </c>
    </row>
    <row r="247" spans="1:102" x14ac:dyDescent="0.25">
      <c r="A247" s="2">
        <v>1919</v>
      </c>
      <c r="C247" s="2">
        <f t="shared" ref="C247:E310" si="1435">B72*C72</f>
        <v>0</v>
      </c>
      <c r="E247" s="2">
        <f t="shared" si="1435"/>
        <v>0</v>
      </c>
      <c r="G247" s="2">
        <f t="shared" ref="G247:I247" si="1436">F72*G72</f>
        <v>0</v>
      </c>
      <c r="I247" s="2">
        <f t="shared" si="1436"/>
        <v>401.21233386660998</v>
      </c>
      <c r="K247" s="2">
        <f t="shared" ref="K247" si="1437">J72*K72</f>
        <v>0</v>
      </c>
      <c r="M247" s="2">
        <f t="shared" ref="M247" si="1438">L72*M72</f>
        <v>0</v>
      </c>
      <c r="O247" s="2">
        <f t="shared" ref="O247" si="1439">N72*O72</f>
        <v>0</v>
      </c>
      <c r="Q247" s="2">
        <f t="shared" ref="Q247" si="1440">P72*Q72</f>
        <v>29.464000000000002</v>
      </c>
      <c r="S247" s="2">
        <f t="shared" ref="S247" si="1441">R72*S72</f>
        <v>0</v>
      </c>
      <c r="U247" s="2">
        <f t="shared" ref="U247" si="1442">T72*U72</f>
        <v>0</v>
      </c>
      <c r="W247" s="2">
        <f t="shared" ref="W247" si="1443">V72*W72</f>
        <v>46184.82</v>
      </c>
      <c r="Y247" s="2">
        <f t="shared" ref="Y247" si="1444">X72*Y72</f>
        <v>11896.09</v>
      </c>
      <c r="AA247" s="2">
        <f t="shared" ref="AA247" si="1445">Z72*AA72</f>
        <v>7406.5129999999999</v>
      </c>
      <c r="AC247" s="2">
        <f t="shared" ref="AC247" si="1446">AB72*AC72</f>
        <v>0</v>
      </c>
      <c r="AE247" s="2">
        <f t="shared" ref="AE247" si="1447">AD72*AE72</f>
        <v>0</v>
      </c>
      <c r="AG247" s="2">
        <f t="shared" ref="AG247" si="1448">AF72*AG72</f>
        <v>363.97823605504647</v>
      </c>
      <c r="AI247" s="2">
        <f t="shared" ref="AI247" si="1449">AH72*AI72</f>
        <v>0</v>
      </c>
      <c r="AK247" s="2">
        <f t="shared" ref="AK247" si="1450">AJ72*AK72</f>
        <v>73328.53</v>
      </c>
      <c r="AM247" s="2">
        <f t="shared" ref="AM247" si="1451">AL72*AM72</f>
        <v>7727.1880000000001</v>
      </c>
      <c r="AO247" s="2">
        <f t="shared" ref="AO247" si="1452">AN72*AO72</f>
        <v>11490.960000000001</v>
      </c>
      <c r="AQ247" s="2">
        <f t="shared" ref="AQ247" si="1453">AP72*AQ72</f>
        <v>1137.92</v>
      </c>
      <c r="AS247" s="2">
        <f t="shared" ref="AS247" si="1454">AR72*AS72</f>
        <v>0</v>
      </c>
      <c r="AU247" s="2">
        <f t="shared" ref="AU247" si="1455">AT72*AU72</f>
        <v>44530.35528783124</v>
      </c>
      <c r="AW247" s="2">
        <f t="shared" ref="AW247" si="1456">AV72*AW72</f>
        <v>204497.03085775289</v>
      </c>
      <c r="BA247" s="2">
        <f t="shared" ref="BA247:BA310" si="1457">AZ72*BA72</f>
        <v>7601.2040000000006</v>
      </c>
      <c r="CJ247" s="2">
        <f t="shared" ref="CJ247" si="1458">CI72*CJ72</f>
        <v>17396.663199999999</v>
      </c>
      <c r="CO247" s="2">
        <f t="shared" ref="CO247:CO310" si="1459">CN72*CO72</f>
        <v>2610.1040000000003</v>
      </c>
      <c r="CT247" s="2">
        <f t="shared" ref="CT247:CT310" si="1460">CS72*CT72</f>
        <v>0</v>
      </c>
      <c r="CX247" s="2">
        <f t="shared" ref="CX247:CX310" si="1461">CW72*CX72</f>
        <v>20006.767199999998</v>
      </c>
    </row>
    <row r="248" spans="1:102" x14ac:dyDescent="0.25">
      <c r="A248" s="2">
        <v>1920</v>
      </c>
      <c r="C248" s="2">
        <f t="shared" si="1435"/>
        <v>0</v>
      </c>
      <c r="E248" s="2">
        <f t="shared" si="1435"/>
        <v>0</v>
      </c>
      <c r="G248" s="2">
        <f t="shared" ref="G248:I248" si="1462">F73*G73</f>
        <v>0</v>
      </c>
      <c r="I248" s="2">
        <f t="shared" si="1462"/>
        <v>0</v>
      </c>
      <c r="K248" s="2">
        <f t="shared" ref="K248" si="1463">J73*K73</f>
        <v>0</v>
      </c>
      <c r="M248" s="2">
        <f t="shared" ref="M248" si="1464">L73*M73</f>
        <v>0</v>
      </c>
      <c r="O248" s="2">
        <f t="shared" ref="O248" si="1465">N73*O73</f>
        <v>0</v>
      </c>
      <c r="Q248" s="2">
        <f t="shared" ref="Q248" si="1466">P73*Q73</f>
        <v>0</v>
      </c>
      <c r="S248" s="2">
        <f t="shared" ref="S248" si="1467">R73*S73</f>
        <v>0</v>
      </c>
      <c r="U248" s="2">
        <f t="shared" ref="U248" si="1468">T73*U73</f>
        <v>0</v>
      </c>
      <c r="W248" s="2">
        <f t="shared" ref="W248" si="1469">V73*W73</f>
        <v>50604.42</v>
      </c>
      <c r="Y248" s="2">
        <f t="shared" ref="Y248" si="1470">X73*Y73</f>
        <v>12227.560000000001</v>
      </c>
      <c r="AA248" s="2">
        <f t="shared" ref="AA248" si="1471">Z73*AA73</f>
        <v>1399.5400000000002</v>
      </c>
      <c r="AC248" s="2">
        <f t="shared" ref="AC248" si="1472">AB73*AC73</f>
        <v>0</v>
      </c>
      <c r="AE248" s="2">
        <f t="shared" ref="AE248" si="1473">AD73*AE73</f>
        <v>0</v>
      </c>
      <c r="AG248" s="2">
        <f t="shared" ref="AG248" si="1474">AF73*AG73</f>
        <v>630.23236682987192</v>
      </c>
      <c r="AI248" s="2">
        <f t="shared" ref="AI248" si="1475">AH73*AI73</f>
        <v>0</v>
      </c>
      <c r="AK248" s="2">
        <f t="shared" ref="AK248" si="1476">AJ73*AK73</f>
        <v>65704.72</v>
      </c>
      <c r="AM248" s="2">
        <f t="shared" ref="AM248" si="1477">AL73*AM73</f>
        <v>9441.18</v>
      </c>
      <c r="AO248" s="2">
        <f t="shared" ref="AO248" si="1478">AN73*AO73</f>
        <v>8360.41</v>
      </c>
      <c r="AQ248" s="2">
        <f t="shared" ref="AQ248" si="1479">AP73*AQ73</f>
        <v>2595.88</v>
      </c>
      <c r="AS248" s="2">
        <f t="shared" ref="AS248" si="1480">AR73*AS73</f>
        <v>0</v>
      </c>
      <c r="AU248" s="2">
        <f t="shared" ref="AU248" si="1481">AT73*AU73</f>
        <v>23588.758197943906</v>
      </c>
      <c r="AW248" s="2">
        <f t="shared" ref="AW248" si="1482">AV73*AW73</f>
        <v>174552.70056477378</v>
      </c>
      <c r="BA248" s="2">
        <f t="shared" si="1457"/>
        <v>5596.8899999999994</v>
      </c>
      <c r="CJ248" s="2">
        <f t="shared" ref="CJ248" si="1483">CI73*CJ73</f>
        <v>13519.200800000001</v>
      </c>
      <c r="CO248" s="2">
        <f t="shared" si="1459"/>
        <v>2951.48</v>
      </c>
      <c r="CT248" s="2">
        <f t="shared" si="1460"/>
        <v>0</v>
      </c>
      <c r="CX248" s="2">
        <f t="shared" si="1461"/>
        <v>16470.680800000002</v>
      </c>
    </row>
    <row r="249" spans="1:102" x14ac:dyDescent="0.25">
      <c r="A249" s="2">
        <v>1921</v>
      </c>
      <c r="C249" s="2">
        <f t="shared" si="1435"/>
        <v>0</v>
      </c>
      <c r="E249" s="2">
        <f t="shared" si="1435"/>
        <v>0</v>
      </c>
      <c r="G249" s="2">
        <f t="shared" ref="G249:I249" si="1484">F74*G74</f>
        <v>0</v>
      </c>
      <c r="I249" s="2">
        <f t="shared" si="1484"/>
        <v>0</v>
      </c>
      <c r="K249" s="2">
        <f t="shared" ref="K249" si="1485">J74*K74</f>
        <v>0</v>
      </c>
      <c r="M249" s="2">
        <f t="shared" ref="M249" si="1486">L74*M74</f>
        <v>0</v>
      </c>
      <c r="O249" s="2">
        <f t="shared" ref="O249" si="1487">N74*O74</f>
        <v>0</v>
      </c>
      <c r="Q249" s="2">
        <f t="shared" ref="Q249" si="1488">P74*Q74</f>
        <v>11.049000000000001</v>
      </c>
      <c r="S249" s="2">
        <f t="shared" ref="S249" si="1489">R74*S74</f>
        <v>0</v>
      </c>
      <c r="U249" s="2">
        <f t="shared" ref="U249" si="1490">T74*U74</f>
        <v>0</v>
      </c>
      <c r="W249" s="2">
        <f t="shared" ref="W249" si="1491">V74*W74</f>
        <v>41986.2</v>
      </c>
      <c r="Y249" s="2">
        <f t="shared" ref="Y249" si="1492">X74*Y74</f>
        <v>3120.4217499999995</v>
      </c>
      <c r="AA249" s="2">
        <f t="shared" ref="AA249" si="1493">Z74*AA74</f>
        <v>515.62</v>
      </c>
      <c r="AC249" s="2">
        <f t="shared" ref="AC249" si="1494">AB74*AC74</f>
        <v>0</v>
      </c>
      <c r="AE249" s="2">
        <f t="shared" ref="AE249" si="1495">AD74*AE74</f>
        <v>0</v>
      </c>
      <c r="AG249" s="2">
        <f t="shared" ref="AG249" si="1496">AF74*AG74</f>
        <v>1422.4</v>
      </c>
      <c r="AI249" s="2">
        <f t="shared" ref="AI249" si="1497">AH74*AI74</f>
        <v>34.700430098316922</v>
      </c>
      <c r="AK249" s="2">
        <f t="shared" ref="AK249" si="1498">AJ74*AK74</f>
        <v>39702.740000000005</v>
      </c>
      <c r="AM249" s="2">
        <f t="shared" ref="AM249" si="1499">AL74*AM74</f>
        <v>15113</v>
      </c>
      <c r="AO249" s="2">
        <f t="shared" ref="AO249" si="1500">AN74*AO74</f>
        <v>4272.28</v>
      </c>
      <c r="AQ249" s="2">
        <f t="shared" ref="AQ249" si="1501">AP74*AQ74</f>
        <v>2493.5729068650544</v>
      </c>
      <c r="AS249" s="2">
        <f t="shared" ref="AS249" si="1502">AR74*AS74</f>
        <v>0</v>
      </c>
      <c r="AU249" s="2">
        <f t="shared" ref="AU249" si="1503">AT74*AU74</f>
        <v>7887.9034817774127</v>
      </c>
      <c r="AW249" s="2">
        <f t="shared" ref="AW249" si="1504">AV74*AW74</f>
        <v>116559.8875687408</v>
      </c>
      <c r="BA249" s="2">
        <f t="shared" si="1457"/>
        <v>5283.2</v>
      </c>
      <c r="CJ249" s="2">
        <f t="shared" ref="CJ249" si="1505">CI74*CJ74</f>
        <v>3760.1143999999999</v>
      </c>
      <c r="CO249" s="2">
        <f t="shared" si="1459"/>
        <v>1031.24</v>
      </c>
      <c r="CT249" s="2">
        <f t="shared" si="1460"/>
        <v>0</v>
      </c>
      <c r="CX249" s="2">
        <f t="shared" si="1461"/>
        <v>4791.3544000000002</v>
      </c>
    </row>
    <row r="250" spans="1:102" x14ac:dyDescent="0.25">
      <c r="A250" s="2">
        <v>1922</v>
      </c>
      <c r="C250" s="2">
        <f t="shared" si="1435"/>
        <v>0</v>
      </c>
      <c r="E250" s="2">
        <f t="shared" si="1435"/>
        <v>0</v>
      </c>
      <c r="G250" s="2">
        <f t="shared" ref="G250:I250" si="1506">F75*G75</f>
        <v>0</v>
      </c>
      <c r="I250" s="2">
        <f t="shared" si="1506"/>
        <v>0</v>
      </c>
      <c r="K250" s="2">
        <f t="shared" ref="K250" si="1507">J75*K75</f>
        <v>0</v>
      </c>
      <c r="M250" s="2">
        <f t="shared" ref="M250" si="1508">L75*M75</f>
        <v>0</v>
      </c>
      <c r="O250" s="2">
        <f t="shared" ref="O250" si="1509">N75*O75</f>
        <v>0</v>
      </c>
      <c r="Q250" s="2">
        <f t="shared" ref="Q250" si="1510">P75*Q75</f>
        <v>18.586357146373885</v>
      </c>
      <c r="S250" s="2">
        <f t="shared" ref="S250" si="1511">R75*S75</f>
        <v>0</v>
      </c>
      <c r="U250" s="2">
        <f t="shared" ref="U250" si="1512">T75*U75</f>
        <v>0</v>
      </c>
      <c r="W250" s="2">
        <f t="shared" ref="W250" si="1513">V75*W75</f>
        <v>27254.2</v>
      </c>
      <c r="Y250" s="2">
        <f t="shared" ref="Y250" si="1514">X75*Y75</f>
        <v>920.75</v>
      </c>
      <c r="AA250" s="2">
        <f t="shared" ref="AA250" si="1515">Z75*AA75</f>
        <v>589.28</v>
      </c>
      <c r="AC250" s="2">
        <f t="shared" ref="AC250" si="1516">AB75*AC75</f>
        <v>0</v>
      </c>
      <c r="AE250" s="2">
        <f t="shared" ref="AE250" si="1517">AD75*AE75</f>
        <v>0</v>
      </c>
      <c r="AG250" s="2">
        <f t="shared" ref="AG250" si="1518">AF75*AG75</f>
        <v>924.56000000000006</v>
      </c>
      <c r="AI250" s="2">
        <f t="shared" ref="AI250" si="1519">AH75*AI75</f>
        <v>0</v>
      </c>
      <c r="AK250" s="2">
        <f t="shared" ref="AK250" si="1520">AJ75*AK75</f>
        <v>26738.579999999998</v>
      </c>
      <c r="AM250" s="2">
        <f t="shared" ref="AM250" si="1521">AL75*AM75</f>
        <v>15219.68</v>
      </c>
      <c r="AO250" s="2">
        <f t="shared" ref="AO250" si="1522">AN75*AO75</f>
        <v>3314.7</v>
      </c>
      <c r="AQ250" s="2">
        <f t="shared" ref="AQ250" si="1523">AP75*AQ75</f>
        <v>568.96</v>
      </c>
      <c r="AS250" s="2">
        <f t="shared" ref="AS250" si="1524">AR75*AS75</f>
        <v>0</v>
      </c>
      <c r="AU250" s="2">
        <f t="shared" ref="AU250" si="1525">AT75*AU75</f>
        <v>5052.0600000000004</v>
      </c>
      <c r="AW250" s="2">
        <f t="shared" ref="AW250" si="1526">AV75*AW75</f>
        <v>80601.356357146375</v>
      </c>
      <c r="BA250" s="2">
        <f t="shared" si="1457"/>
        <v>7561.5800000000008</v>
      </c>
      <c r="CJ250" s="2">
        <f t="shared" ref="CJ250" si="1527">CI75*CJ75</f>
        <v>1127.9631999999999</v>
      </c>
      <c r="CO250" s="2">
        <f t="shared" si="1459"/>
        <v>1774.5</v>
      </c>
      <c r="CT250" s="2">
        <f t="shared" si="1460"/>
        <v>0</v>
      </c>
      <c r="CX250" s="2">
        <f t="shared" si="1461"/>
        <v>2902.4632000000001</v>
      </c>
    </row>
    <row r="251" spans="1:102" x14ac:dyDescent="0.25">
      <c r="A251" s="2">
        <v>1923</v>
      </c>
      <c r="C251" s="2">
        <f t="shared" si="1435"/>
        <v>0</v>
      </c>
      <c r="E251" s="2">
        <f t="shared" si="1435"/>
        <v>0</v>
      </c>
      <c r="G251" s="2">
        <f t="shared" ref="G251:I251" si="1528">F76*G76</f>
        <v>0</v>
      </c>
      <c r="I251" s="2">
        <f t="shared" si="1528"/>
        <v>0</v>
      </c>
      <c r="K251" s="2">
        <f t="shared" ref="K251" si="1529">J76*K76</f>
        <v>0</v>
      </c>
      <c r="M251" s="2">
        <f t="shared" ref="M251" si="1530">L76*M76</f>
        <v>0</v>
      </c>
      <c r="O251" s="2">
        <f t="shared" ref="O251" si="1531">N76*O76</f>
        <v>0</v>
      </c>
      <c r="Q251" s="2">
        <f t="shared" ref="Q251" si="1532">P76*Q76</f>
        <v>44.196000000000005</v>
      </c>
      <c r="S251" s="2">
        <f t="shared" ref="S251" si="1533">R76*S76</f>
        <v>0</v>
      </c>
      <c r="U251" s="2">
        <f t="shared" ref="U251" si="1534">T76*U76</f>
        <v>0</v>
      </c>
      <c r="W251" s="2">
        <f t="shared" ref="W251" si="1535">V76*W76</f>
        <v>29464</v>
      </c>
      <c r="Y251" s="2">
        <f t="shared" ref="Y251" si="1536">X76*Y76</f>
        <v>1215.3899999999999</v>
      </c>
      <c r="AA251" s="2">
        <f t="shared" ref="AA251" si="1537">Z76*AA76</f>
        <v>128.905</v>
      </c>
      <c r="AC251" s="2">
        <f t="shared" ref="AC251" si="1538">AB76*AC76</f>
        <v>0</v>
      </c>
      <c r="AE251" s="2">
        <f t="shared" ref="AE251" si="1539">AD76*AE76</f>
        <v>0</v>
      </c>
      <c r="AG251" s="2">
        <f t="shared" ref="AG251" si="1540">AF76*AG76</f>
        <v>1991.3600000000001</v>
      </c>
      <c r="AI251" s="2">
        <f t="shared" ref="AI251" si="1541">AH76*AI76</f>
        <v>0</v>
      </c>
      <c r="AK251" s="2">
        <f t="shared" ref="AK251" si="1542">AJ76*AK76</f>
        <v>26885.9</v>
      </c>
      <c r="AM251" s="2">
        <f t="shared" ref="AM251" si="1543">AL76*AM76</f>
        <v>11699.24</v>
      </c>
      <c r="AO251" s="2">
        <f t="shared" ref="AO251" si="1544">AN76*AO76</f>
        <v>4640.58</v>
      </c>
      <c r="AQ251" s="2">
        <f t="shared" ref="AQ251" si="1545">AP76*AQ76</f>
        <v>640.08000000000004</v>
      </c>
      <c r="AS251" s="2">
        <f t="shared" ref="AS251" si="1546">AR76*AS76</f>
        <v>0</v>
      </c>
      <c r="AU251" s="2">
        <f t="shared" ref="AU251" si="1547">AT76*AU76</f>
        <v>11424.92</v>
      </c>
      <c r="AW251" s="2">
        <f t="shared" ref="AW251" si="1548">AV76*AW76</f>
        <v>88134.570999999996</v>
      </c>
      <c r="BA251" s="2">
        <f t="shared" si="1457"/>
        <v>5137.9119999999994</v>
      </c>
      <c r="CJ251" s="2">
        <f t="shared" ref="CJ251" si="1549">CI76*CJ76</f>
        <v>1992.7823999999998</v>
      </c>
      <c r="CO251" s="2">
        <f t="shared" si="1459"/>
        <v>1735.328</v>
      </c>
      <c r="CT251" s="2">
        <f t="shared" si="1460"/>
        <v>0</v>
      </c>
      <c r="CX251" s="2">
        <f t="shared" si="1461"/>
        <v>3728.1103999999996</v>
      </c>
    </row>
    <row r="252" spans="1:102" x14ac:dyDescent="0.25">
      <c r="A252" s="2">
        <v>1924</v>
      </c>
      <c r="C252" s="2">
        <f t="shared" si="1435"/>
        <v>0</v>
      </c>
      <c r="E252" s="2">
        <f t="shared" si="1435"/>
        <v>71.12</v>
      </c>
      <c r="G252" s="2">
        <f t="shared" ref="G252:I252" si="1550">F77*G77</f>
        <v>0</v>
      </c>
      <c r="I252" s="2">
        <f t="shared" si="1550"/>
        <v>0</v>
      </c>
      <c r="K252" s="2">
        <f t="shared" ref="K252" si="1551">J77*K77</f>
        <v>0</v>
      </c>
      <c r="M252" s="2">
        <f t="shared" ref="M252" si="1552">L77*M77</f>
        <v>0</v>
      </c>
      <c r="O252" s="2">
        <f t="shared" ref="O252" si="1553">N77*O77</f>
        <v>0</v>
      </c>
      <c r="Q252" s="2">
        <f t="shared" ref="Q252" si="1554">P77*Q77</f>
        <v>51.561999999999998</v>
      </c>
      <c r="S252" s="2">
        <f t="shared" ref="S252" si="1555">R77*S77</f>
        <v>0</v>
      </c>
      <c r="U252" s="2">
        <f t="shared" ref="U252" si="1556">T77*U77</f>
        <v>0</v>
      </c>
      <c r="W252" s="2">
        <f t="shared" ref="W252" si="1557">V77*W77</f>
        <v>39187.120000000003</v>
      </c>
      <c r="Y252" s="2">
        <f t="shared" ref="Y252" si="1558">X77*Y77</f>
        <v>2449.1950000000002</v>
      </c>
      <c r="AA252" s="2">
        <f t="shared" ref="AA252" si="1559">Z77*AA77</f>
        <v>3020.06</v>
      </c>
      <c r="AC252" s="2">
        <f t="shared" ref="AC252" si="1560">AB77*AC77</f>
        <v>0</v>
      </c>
      <c r="AE252" s="2">
        <f t="shared" ref="AE252" si="1561">AD77*AE77</f>
        <v>0</v>
      </c>
      <c r="AG252" s="2">
        <f t="shared" ref="AG252" si="1562">AF77*AG77</f>
        <v>2204.7200000000003</v>
      </c>
      <c r="AI252" s="2">
        <f t="shared" ref="AI252" si="1563">AH77*AI77</f>
        <v>0</v>
      </c>
      <c r="AK252" s="2">
        <f t="shared" ref="AK252" si="1564">AJ77*AK77</f>
        <v>32557.72</v>
      </c>
      <c r="AM252" s="2">
        <f t="shared" ref="AM252" si="1565">AL77*AM77</f>
        <v>9192.26</v>
      </c>
      <c r="AO252" s="2">
        <f t="shared" ref="AO252" si="1566">AN77*AO77</f>
        <v>3593.4073744493389</v>
      </c>
      <c r="AQ252" s="2">
        <f t="shared" ref="AQ252" si="1567">AP77*AQ77</f>
        <v>213.36</v>
      </c>
      <c r="AS252" s="2">
        <f t="shared" ref="AS252" si="1568">AR77*AS77</f>
        <v>0</v>
      </c>
      <c r="AU252" s="2">
        <f t="shared" ref="AU252" si="1569">AT77*AU77</f>
        <v>25425.4</v>
      </c>
      <c r="AW252" s="2">
        <f t="shared" ref="AW252" si="1570">AV77*AW77</f>
        <v>117965.92437444933</v>
      </c>
      <c r="BA252" s="2">
        <f t="shared" si="1457"/>
        <v>2509.5200000000004</v>
      </c>
      <c r="CJ252" s="2">
        <f t="shared" ref="CJ252" si="1571">CI77*CJ77</f>
        <v>3738.0672000000004</v>
      </c>
      <c r="CO252" s="2">
        <f t="shared" si="1459"/>
        <v>2030.4760000000001</v>
      </c>
      <c r="CT252" s="2">
        <f t="shared" si="1460"/>
        <v>0</v>
      </c>
      <c r="CX252" s="2">
        <f t="shared" si="1461"/>
        <v>5768.5431999999992</v>
      </c>
    </row>
    <row r="253" spans="1:102" x14ac:dyDescent="0.25">
      <c r="A253" s="2">
        <v>1925</v>
      </c>
      <c r="C253" s="2">
        <f t="shared" si="1435"/>
        <v>0</v>
      </c>
      <c r="E253" s="2">
        <f t="shared" si="1435"/>
        <v>0</v>
      </c>
      <c r="G253" s="2">
        <f t="shared" ref="G253:I253" si="1572">F78*G78</f>
        <v>0</v>
      </c>
      <c r="I253" s="2">
        <f t="shared" si="1572"/>
        <v>0</v>
      </c>
      <c r="K253" s="2">
        <f t="shared" ref="K253" si="1573">J78*K78</f>
        <v>0</v>
      </c>
      <c r="M253" s="2">
        <f t="shared" ref="M253" si="1574">L78*M78</f>
        <v>0</v>
      </c>
      <c r="O253" s="2">
        <f t="shared" ref="O253" si="1575">N78*O78</f>
        <v>0</v>
      </c>
      <c r="Q253" s="2">
        <f t="shared" ref="Q253" si="1576">P78*Q78</f>
        <v>7.3660000000000005</v>
      </c>
      <c r="S253" s="2">
        <f t="shared" ref="S253" si="1577">R78*S78</f>
        <v>0</v>
      </c>
      <c r="U253" s="2">
        <f t="shared" ref="U253" si="1578">T78*U78</f>
        <v>0</v>
      </c>
      <c r="W253" s="2">
        <f t="shared" ref="W253" si="1579">V78*W78</f>
        <v>32631.38</v>
      </c>
      <c r="Y253" s="2">
        <f t="shared" ref="Y253" si="1580">X78*Y78</f>
        <v>2467.61</v>
      </c>
      <c r="AA253" s="2">
        <f t="shared" ref="AA253" si="1581">Z78*AA78</f>
        <v>2872.7400000000002</v>
      </c>
      <c r="AC253" s="2">
        <f t="shared" ref="AC253" si="1582">AB78*AC78</f>
        <v>0</v>
      </c>
      <c r="AE253" s="2">
        <f t="shared" ref="AE253" si="1583">AD78*AE78</f>
        <v>0</v>
      </c>
      <c r="AG253" s="2">
        <f t="shared" ref="AG253" si="1584">AF78*AG78</f>
        <v>3075.94</v>
      </c>
      <c r="AI253" s="2">
        <f t="shared" ref="AI253" si="1585">AH78*AI78</f>
        <v>0</v>
      </c>
      <c r="AK253" s="2">
        <f t="shared" ref="AK253" si="1586">AJ78*AK78</f>
        <v>26296.62</v>
      </c>
      <c r="AM253" s="2">
        <f t="shared" ref="AM253" si="1587">AL78*AM78</f>
        <v>10312.4</v>
      </c>
      <c r="AO253" s="2">
        <f t="shared" ref="AO253" si="1588">AN78*AO78</f>
        <v>4658.9949999999999</v>
      </c>
      <c r="AQ253" s="2">
        <f t="shared" ref="AQ253" si="1589">AP78*AQ78</f>
        <v>173.72976687116562</v>
      </c>
      <c r="AS253" s="2">
        <f t="shared" ref="AS253" si="1590">AR78*AS78</f>
        <v>0</v>
      </c>
      <c r="AU253" s="2">
        <f t="shared" ref="AU253" si="1591">AT78*AU78</f>
        <v>22668.23</v>
      </c>
      <c r="AW253" s="2">
        <f t="shared" ref="AW253" si="1592">AV78*AW78</f>
        <v>105165.01076687116</v>
      </c>
      <c r="BA253" s="2">
        <f t="shared" si="1457"/>
        <v>4556.76</v>
      </c>
      <c r="CJ253" s="2">
        <f t="shared" ref="CJ253" si="1593">CI78*CJ78</f>
        <v>3930.8024000000005</v>
      </c>
      <c r="CO253" s="2">
        <f t="shared" si="1459"/>
        <v>1704.0352</v>
      </c>
      <c r="CT253" s="2">
        <f t="shared" si="1460"/>
        <v>0</v>
      </c>
      <c r="CX253" s="2">
        <f t="shared" si="1461"/>
        <v>5634.8375999999998</v>
      </c>
    </row>
    <row r="254" spans="1:102" x14ac:dyDescent="0.25">
      <c r="A254" s="2">
        <v>1926</v>
      </c>
      <c r="C254" s="2">
        <f t="shared" si="1435"/>
        <v>11.430000000000001</v>
      </c>
      <c r="E254" s="2">
        <f t="shared" si="1435"/>
        <v>0</v>
      </c>
      <c r="G254" s="2">
        <f t="shared" ref="G254:I254" si="1594">F79*G79</f>
        <v>1270</v>
      </c>
      <c r="I254" s="2">
        <f t="shared" si="1594"/>
        <v>99.568000000000012</v>
      </c>
      <c r="K254" s="2">
        <f t="shared" ref="K254" si="1595">J79*K79</f>
        <v>21.336000000000002</v>
      </c>
      <c r="M254" s="2">
        <f t="shared" ref="M254" si="1596">L79*M79</f>
        <v>0</v>
      </c>
      <c r="O254" s="2">
        <f t="shared" ref="O254" si="1597">N79*O79</f>
        <v>0</v>
      </c>
      <c r="Q254" s="2">
        <f t="shared" ref="Q254" si="1598">P79*Q79</f>
        <v>116.0145</v>
      </c>
      <c r="S254" s="2">
        <f t="shared" ref="S254" si="1599">R79*S79</f>
        <v>257.81</v>
      </c>
      <c r="U254" s="2">
        <f t="shared" ref="U254" si="1600">T79*U79</f>
        <v>19.812000000000001</v>
      </c>
      <c r="W254" s="2">
        <f t="shared" ref="W254" si="1601">V79*W79</f>
        <v>34859.595000000001</v>
      </c>
      <c r="Y254" s="2">
        <f t="shared" ref="Y254" si="1602">X79*Y79</f>
        <v>3425.19</v>
      </c>
      <c r="AA254" s="2">
        <f t="shared" ref="AA254" si="1603">Z79*AA79</f>
        <v>920.75</v>
      </c>
      <c r="AC254" s="2">
        <f t="shared" ref="AC254" si="1604">AB79*AC79</f>
        <v>0</v>
      </c>
      <c r="AE254" s="2">
        <f t="shared" ref="AE254" si="1605">AD79*AE79</f>
        <v>0</v>
      </c>
      <c r="AG254" s="2">
        <f t="shared" ref="AG254" si="1606">AF79*AG79</f>
        <v>3307.08</v>
      </c>
      <c r="AI254" s="2">
        <f t="shared" ref="AI254" si="1607">AH79*AI79</f>
        <v>0</v>
      </c>
      <c r="AK254" s="2">
        <f t="shared" ref="AK254" si="1608">AJ79*AK79</f>
        <v>29629.734999999997</v>
      </c>
      <c r="AM254" s="2">
        <f t="shared" ref="AM254" si="1609">AL79*AM79</f>
        <v>12072.62</v>
      </c>
      <c r="AO254" s="2">
        <f t="shared" ref="AO254" si="1610">AN79*AO79</f>
        <v>4309.1099999999997</v>
      </c>
      <c r="AQ254" s="2">
        <f t="shared" ref="AQ254" si="1611">AP79*AQ79</f>
        <v>426.72</v>
      </c>
      <c r="AS254" s="2">
        <f t="shared" ref="AS254" si="1612">AR79*AS79</f>
        <v>0</v>
      </c>
      <c r="AU254" s="2">
        <f t="shared" ref="AU254" si="1613">AT79*AU79</f>
        <v>23939.5</v>
      </c>
      <c r="AW254" s="2">
        <f t="shared" ref="AW254" si="1614">AV79*AW79</f>
        <v>114686.2705</v>
      </c>
      <c r="BA254" s="2">
        <f t="shared" si="1457"/>
        <v>1915.1599999999999</v>
      </c>
      <c r="CJ254" s="2">
        <f t="shared" ref="CJ254" si="1615">CI79*CJ79</f>
        <v>4367.4791999999998</v>
      </c>
      <c r="CO254" s="2">
        <f t="shared" si="1459"/>
        <v>2519.0704000000005</v>
      </c>
      <c r="CT254" s="2">
        <f t="shared" si="1460"/>
        <v>0</v>
      </c>
      <c r="CX254" s="2">
        <f t="shared" si="1461"/>
        <v>6886.5495999999994</v>
      </c>
    </row>
    <row r="255" spans="1:102" x14ac:dyDescent="0.25">
      <c r="A255" s="2">
        <v>1927</v>
      </c>
      <c r="C255" s="2">
        <f t="shared" si="1435"/>
        <v>6.3500000000000005</v>
      </c>
      <c r="E255" s="2">
        <f t="shared" si="1435"/>
        <v>0</v>
      </c>
      <c r="G255" s="2">
        <f t="shared" ref="G255:I255" si="1616">F80*G80</f>
        <v>1422.4</v>
      </c>
      <c r="I255" s="2">
        <f t="shared" si="1616"/>
        <v>8.5343999999999998</v>
      </c>
      <c r="K255" s="2">
        <f t="shared" ref="K255" si="1617">J80*K80</f>
        <v>0</v>
      </c>
      <c r="M255" s="2">
        <f t="shared" ref="M255" si="1618">L80*M80</f>
        <v>0</v>
      </c>
      <c r="O255" s="2">
        <f t="shared" ref="O255" si="1619">N80*O80</f>
        <v>0</v>
      </c>
      <c r="Q255" s="2">
        <f t="shared" ref="Q255" si="1620">P80*Q80</f>
        <v>291.54214953271031</v>
      </c>
      <c r="S255" s="2">
        <f t="shared" ref="S255" si="1621">R80*S80</f>
        <v>74.004205607476621</v>
      </c>
      <c r="U255" s="2">
        <f t="shared" ref="U255" si="1622">T80*U80</f>
        <v>0</v>
      </c>
      <c r="W255" s="2">
        <f t="shared" ref="W255" si="1623">V80*W80</f>
        <v>28672.154999999999</v>
      </c>
      <c r="Y255" s="2">
        <f t="shared" ref="Y255" si="1624">X80*Y80</f>
        <v>7918.45</v>
      </c>
      <c r="AA255" s="2">
        <f t="shared" ref="AA255" si="1625">Z80*AA80</f>
        <v>2430.7799999999997</v>
      </c>
      <c r="AC255" s="2">
        <f t="shared" ref="AC255" si="1626">AB80*AC80</f>
        <v>0</v>
      </c>
      <c r="AE255" s="2">
        <f t="shared" ref="AE255" si="1627">AD80*AE80</f>
        <v>0</v>
      </c>
      <c r="AG255" s="2">
        <f t="shared" ref="AG255" si="1628">AF80*AG80</f>
        <v>1280.1600000000001</v>
      </c>
      <c r="AI255" s="2">
        <f t="shared" ref="AI255" si="1629">AH80*AI80</f>
        <v>35.56</v>
      </c>
      <c r="AK255" s="2">
        <f t="shared" ref="AK255" si="1630">AJ80*AK80</f>
        <v>26130.884999999998</v>
      </c>
      <c r="AM255" s="2">
        <f t="shared" ref="AM255" si="1631">AL80*AM80</f>
        <v>16002</v>
      </c>
      <c r="AO255" s="2">
        <f t="shared" ref="AO255" si="1632">AN80*AO80</f>
        <v>4879.9750000000004</v>
      </c>
      <c r="AQ255" s="2">
        <f t="shared" ref="AQ255" si="1633">AP80*AQ80</f>
        <v>60.452000000000005</v>
      </c>
      <c r="AS255" s="2">
        <f t="shared" ref="AS255" si="1634">AR80*AS80</f>
        <v>0</v>
      </c>
      <c r="AU255" s="2">
        <f t="shared" ref="AU255" si="1635">AT80*AU80</f>
        <v>6114.7237962453855</v>
      </c>
      <c r="AW255" s="2">
        <f t="shared" ref="AW255" si="1636">AV80*AW80</f>
        <v>95327.971551385563</v>
      </c>
      <c r="BA255" s="2">
        <f t="shared" si="1457"/>
        <v>4127.5</v>
      </c>
      <c r="CJ255" s="2">
        <f t="shared" ref="CJ255" si="1637">CI80*CJ80</f>
        <v>4149.1408000000001</v>
      </c>
      <c r="CO255" s="2">
        <f t="shared" si="1459"/>
        <v>2662.7327999999998</v>
      </c>
      <c r="CT255" s="2">
        <f t="shared" si="1460"/>
        <v>0</v>
      </c>
      <c r="CX255" s="2">
        <f t="shared" si="1461"/>
        <v>6811.8735999999999</v>
      </c>
    </row>
    <row r="256" spans="1:102" x14ac:dyDescent="0.25">
      <c r="A256" s="2">
        <v>1928</v>
      </c>
      <c r="C256" s="2">
        <f t="shared" si="1435"/>
        <v>0</v>
      </c>
      <c r="E256" s="2">
        <f t="shared" si="1435"/>
        <v>0</v>
      </c>
      <c r="G256" s="2">
        <f t="shared" ref="G256:I256" si="1638">F81*G81</f>
        <v>1051.56</v>
      </c>
      <c r="I256" s="2">
        <f t="shared" si="1638"/>
        <v>0</v>
      </c>
      <c r="K256" s="2">
        <f t="shared" ref="K256" si="1639">J81*K81</f>
        <v>0</v>
      </c>
      <c r="M256" s="2">
        <f t="shared" ref="M256" si="1640">L81*M81</f>
        <v>0</v>
      </c>
      <c r="O256" s="2">
        <f t="shared" ref="O256" si="1641">N81*O81</f>
        <v>0</v>
      </c>
      <c r="Q256" s="2">
        <f t="shared" ref="Q256" si="1642">P81*Q81</f>
        <v>4.1819741456941095</v>
      </c>
      <c r="S256" s="2">
        <f t="shared" ref="S256" si="1643">R81*S81</f>
        <v>0</v>
      </c>
      <c r="U256" s="2">
        <f t="shared" ref="U256" si="1644">T81*U81</f>
        <v>0</v>
      </c>
      <c r="W256" s="2">
        <f t="shared" ref="W256" si="1645">V81*W81</f>
        <v>34712.275000000001</v>
      </c>
      <c r="Y256" s="2">
        <f t="shared" ref="Y256" si="1646">X81*Y81</f>
        <v>6960.87</v>
      </c>
      <c r="AA256" s="2">
        <f t="shared" ref="AA256" si="1647">Z81*AA81</f>
        <v>681.35500000000002</v>
      </c>
      <c r="AC256" s="2">
        <f t="shared" ref="AC256" si="1648">AB81*AC81</f>
        <v>0</v>
      </c>
      <c r="AE256" s="2">
        <f t="shared" ref="AE256" si="1649">AD81*AE81</f>
        <v>0</v>
      </c>
      <c r="AG256" s="2">
        <f t="shared" ref="AG256" si="1650">AF81*AG81</f>
        <v>924.56000000000006</v>
      </c>
      <c r="AI256" s="2">
        <f t="shared" ref="AI256" si="1651">AH81*AI81</f>
        <v>71.12</v>
      </c>
      <c r="AK256" s="2">
        <f t="shared" ref="AK256" si="1652">AJ81*AK81</f>
        <v>22650.45</v>
      </c>
      <c r="AM256" s="2">
        <f t="shared" ref="AM256" si="1653">AL81*AM81</f>
        <v>10650.220000000001</v>
      </c>
      <c r="AO256" s="2">
        <f t="shared" ref="AO256" si="1654">AN81*AO81</f>
        <v>3756.6600000000003</v>
      </c>
      <c r="AQ256" s="2">
        <f t="shared" ref="AQ256" si="1655">AP81*AQ81</f>
        <v>0</v>
      </c>
      <c r="AS256" s="2">
        <f t="shared" ref="AS256" si="1656">AR81*AS81</f>
        <v>0</v>
      </c>
      <c r="AU256" s="2">
        <f t="shared" ref="AU256" si="1657">AT81*AU81</f>
        <v>22602.19</v>
      </c>
      <c r="AW256" s="2">
        <f t="shared" ref="AW256" si="1658">AV81*AW81</f>
        <v>104065.44197414571</v>
      </c>
      <c r="BA256" s="2">
        <f t="shared" si="1457"/>
        <v>5646.42</v>
      </c>
      <c r="CJ256" s="2">
        <f t="shared" ref="CJ256" si="1659">CI81*CJ81</f>
        <v>3878.8848000000003</v>
      </c>
      <c r="CO256" s="2">
        <f t="shared" si="1459"/>
        <v>2523.3375999999998</v>
      </c>
      <c r="CT256" s="2">
        <f t="shared" si="1460"/>
        <v>0</v>
      </c>
      <c r="CX256" s="2">
        <f t="shared" si="1461"/>
        <v>6402.2224000000006</v>
      </c>
    </row>
    <row r="257" spans="1:102" x14ac:dyDescent="0.25">
      <c r="A257" s="2">
        <v>1929</v>
      </c>
      <c r="C257" s="2">
        <f t="shared" si="1435"/>
        <v>0</v>
      </c>
      <c r="E257" s="2">
        <f t="shared" si="1435"/>
        <v>0</v>
      </c>
      <c r="G257" s="2">
        <f t="shared" ref="G257:I257" si="1660">F82*G82</f>
        <v>180.12088516479844</v>
      </c>
      <c r="I257" s="2">
        <f t="shared" si="1660"/>
        <v>0</v>
      </c>
      <c r="K257" s="2">
        <f t="shared" ref="K257" si="1661">J82*K82</f>
        <v>0</v>
      </c>
      <c r="M257" s="2">
        <f t="shared" ref="M257" si="1662">L82*M82</f>
        <v>0</v>
      </c>
      <c r="O257" s="2">
        <f t="shared" ref="O257" si="1663">N82*O82</f>
        <v>0</v>
      </c>
      <c r="Q257" s="2">
        <f t="shared" ref="Q257" si="1664">P82*Q82</f>
        <v>71.8185</v>
      </c>
      <c r="S257" s="2">
        <f t="shared" ref="S257" si="1665">R82*S82</f>
        <v>0</v>
      </c>
      <c r="U257" s="2">
        <f t="shared" ref="U257" si="1666">T82*U82</f>
        <v>0</v>
      </c>
      <c r="W257" s="2">
        <f t="shared" ref="W257" si="1667">V82*W82</f>
        <v>25854.66</v>
      </c>
      <c r="Y257" s="2">
        <f t="shared" ref="Y257" si="1668">X82*Y82</f>
        <v>8592.4390000000003</v>
      </c>
      <c r="AA257" s="2">
        <f t="shared" ref="AA257" si="1669">Z82*AA82</f>
        <v>736.6</v>
      </c>
      <c r="AC257" s="2">
        <f t="shared" ref="AC257" si="1670">AB82*AC82</f>
        <v>0</v>
      </c>
      <c r="AE257" s="2">
        <f t="shared" ref="AE257" si="1671">AD82*AE82</f>
        <v>0</v>
      </c>
      <c r="AG257" s="2">
        <f t="shared" ref="AG257" si="1672">AF82*AG82</f>
        <v>889</v>
      </c>
      <c r="AI257" s="2">
        <f t="shared" ref="AI257" si="1673">AH82*AI82</f>
        <v>0</v>
      </c>
      <c r="AK257" s="2">
        <f t="shared" ref="AK257" si="1674">AJ82*AK82</f>
        <v>13472.414000000001</v>
      </c>
      <c r="AM257" s="2">
        <f t="shared" ref="AM257" si="1675">AL82*AM82</f>
        <v>12072.62</v>
      </c>
      <c r="AO257" s="2">
        <f t="shared" ref="AO257" si="1676">AN82*AO82</f>
        <v>3012.694</v>
      </c>
      <c r="AQ257" s="2">
        <f t="shared" ref="AQ257" si="1677">AP82*AQ82</f>
        <v>0</v>
      </c>
      <c r="AS257" s="2">
        <f t="shared" ref="AS257" si="1678">AR82*AS82</f>
        <v>0</v>
      </c>
      <c r="AU257" s="2">
        <f t="shared" ref="AU257" si="1679">AT82*AU82</f>
        <v>27578.304</v>
      </c>
      <c r="AW257" s="2">
        <f t="shared" ref="AW257" si="1680">AV82*AW82</f>
        <v>92460.670385164791</v>
      </c>
      <c r="BA257" s="2">
        <f t="shared" si="1457"/>
        <v>1667.51</v>
      </c>
      <c r="CJ257" s="2">
        <f t="shared" ref="CJ257" si="1681">CI82*CJ82</f>
        <v>2723.8959999999997</v>
      </c>
      <c r="CO257" s="2">
        <f t="shared" si="1459"/>
        <v>1270.2031999999999</v>
      </c>
      <c r="CT257" s="2">
        <f t="shared" si="1460"/>
        <v>0</v>
      </c>
      <c r="CX257" s="2">
        <f t="shared" si="1461"/>
        <v>3994.0992000000001</v>
      </c>
    </row>
    <row r="258" spans="1:102" x14ac:dyDescent="0.25">
      <c r="A258" s="2">
        <v>1930</v>
      </c>
      <c r="C258" s="2">
        <f t="shared" si="1435"/>
        <v>0</v>
      </c>
      <c r="E258" s="2">
        <f t="shared" si="1435"/>
        <v>0</v>
      </c>
      <c r="G258" s="2">
        <f t="shared" ref="G258:I258" si="1682">F83*G83</f>
        <v>0</v>
      </c>
      <c r="I258" s="2">
        <f t="shared" si="1682"/>
        <v>0</v>
      </c>
      <c r="K258" s="2">
        <f t="shared" ref="K258" si="1683">J83*K83</f>
        <v>10.668000000000001</v>
      </c>
      <c r="M258" s="2">
        <f t="shared" ref="M258" si="1684">L83*M83</f>
        <v>326.89800000000002</v>
      </c>
      <c r="O258" s="2">
        <f t="shared" ref="O258" si="1685">N83*O83</f>
        <v>106.68</v>
      </c>
      <c r="Q258" s="2">
        <f t="shared" ref="Q258" si="1686">P83*Q83</f>
        <v>3.6830000000000003</v>
      </c>
      <c r="S258" s="2">
        <f t="shared" ref="S258" si="1687">R83*S83</f>
        <v>0</v>
      </c>
      <c r="U258" s="2">
        <f t="shared" ref="U258" si="1688">T83*U83</f>
        <v>51.924080824088755</v>
      </c>
      <c r="W258" s="2">
        <f t="shared" ref="W258" si="1689">V83*W83</f>
        <v>21324.57</v>
      </c>
      <c r="Y258" s="2">
        <f t="shared" ref="Y258" si="1690">X83*Y83</f>
        <v>3130.55</v>
      </c>
      <c r="AA258" s="2">
        <f t="shared" ref="AA258" si="1691">Z83*AA83</f>
        <v>497.20500000000004</v>
      </c>
      <c r="AC258" s="2">
        <f t="shared" ref="AC258" si="1692">AB83*AC83</f>
        <v>0</v>
      </c>
      <c r="AE258" s="2">
        <f t="shared" ref="AE258" si="1693">AD83*AE83</f>
        <v>0</v>
      </c>
      <c r="AG258" s="2">
        <f t="shared" ref="AG258" si="1694">AF83*AG83</f>
        <v>604.52</v>
      </c>
      <c r="AI258" s="2">
        <f t="shared" ref="AI258" si="1695">AH83*AI83</f>
        <v>0</v>
      </c>
      <c r="AK258" s="2">
        <f t="shared" ref="AK258" si="1696">AJ83*AK83</f>
        <v>10441.305</v>
      </c>
      <c r="AM258" s="2">
        <f t="shared" ref="AM258" si="1697">AL83*AM83</f>
        <v>13228.32</v>
      </c>
      <c r="AO258" s="2">
        <f t="shared" ref="AO258" si="1698">AN83*AO83</f>
        <v>2044.0649999999998</v>
      </c>
      <c r="AQ258" s="2">
        <f t="shared" ref="AQ258" si="1699">AP83*AQ83</f>
        <v>35.56</v>
      </c>
      <c r="AS258" s="2">
        <f t="shared" ref="AS258" si="1700">AR83*AS83</f>
        <v>0</v>
      </c>
      <c r="AU258" s="2">
        <f t="shared" ref="AU258" si="1701">AT83*AU83</f>
        <v>3251.9310047543581</v>
      </c>
      <c r="AW258" s="2">
        <f t="shared" ref="AW258" si="1702">AV83*AW83</f>
        <v>55057.879085578446</v>
      </c>
      <c r="BA258" s="2">
        <f t="shared" si="1457"/>
        <v>0</v>
      </c>
      <c r="CJ258" s="2">
        <f t="shared" ref="CJ258" si="1703">CI83*CJ83</f>
        <v>46.228000000000002</v>
      </c>
      <c r="CO258" s="2">
        <f t="shared" si="1459"/>
        <v>839.21600000000012</v>
      </c>
      <c r="CT258" s="2">
        <f t="shared" si="1460"/>
        <v>42.672000000000004</v>
      </c>
      <c r="CX258" s="2">
        <f t="shared" si="1461"/>
        <v>928.1160000000001</v>
      </c>
    </row>
    <row r="259" spans="1:102" x14ac:dyDescent="0.25">
      <c r="A259" s="2">
        <v>1931</v>
      </c>
      <c r="C259" s="2">
        <f t="shared" si="1435"/>
        <v>0</v>
      </c>
      <c r="E259" s="2">
        <f t="shared" si="1435"/>
        <v>0</v>
      </c>
      <c r="G259" s="2">
        <f t="shared" ref="G259:I259" si="1704">F84*G84</f>
        <v>548.6400000000001</v>
      </c>
      <c r="I259" s="2">
        <f t="shared" si="1704"/>
        <v>0</v>
      </c>
      <c r="K259" s="2">
        <f t="shared" ref="K259" si="1705">J84*K84</f>
        <v>3.5560000000000005</v>
      </c>
      <c r="M259" s="2">
        <f t="shared" ref="M259" si="1706">L84*M84</f>
        <v>0</v>
      </c>
      <c r="O259" s="2">
        <f t="shared" ref="O259" si="1707">N84*O84</f>
        <v>0</v>
      </c>
      <c r="Q259" s="2">
        <f t="shared" ref="Q259" si="1708">P84*Q84</f>
        <v>135.35024999999999</v>
      </c>
      <c r="S259" s="2">
        <f t="shared" ref="S259" si="1709">R84*S84</f>
        <v>0</v>
      </c>
      <c r="U259" s="2">
        <f t="shared" ref="U259" si="1710">T84*U84</f>
        <v>37.972999999999999</v>
      </c>
      <c r="W259" s="2">
        <f t="shared" ref="W259" si="1711">V84*W84</f>
        <v>22318.98</v>
      </c>
      <c r="Y259" s="2">
        <f t="shared" ref="Y259" si="1712">X84*Y84</f>
        <v>1602.105</v>
      </c>
      <c r="AA259" s="2">
        <f t="shared" ref="AA259" si="1713">Z84*AA84</f>
        <v>2430.7799999999997</v>
      </c>
      <c r="AC259" s="2">
        <f t="shared" ref="AC259" si="1714">AB84*AC84</f>
        <v>0</v>
      </c>
      <c r="AE259" s="2">
        <f t="shared" ref="AE259" si="1715">AD84*AE84</f>
        <v>0</v>
      </c>
      <c r="AG259" s="2">
        <f t="shared" ref="AG259" si="1716">AF84*AG84</f>
        <v>113.79200000000002</v>
      </c>
      <c r="AI259" s="2">
        <f t="shared" ref="AI259" si="1717">AH84*AI84</f>
        <v>0</v>
      </c>
      <c r="AK259" s="2">
        <f t="shared" ref="AK259" si="1718">AJ84*AK84</f>
        <v>12945.745000000001</v>
      </c>
      <c r="AM259" s="2">
        <f t="shared" ref="AM259" si="1719">AL84*AM84</f>
        <v>9743.44</v>
      </c>
      <c r="AO259" s="2">
        <f t="shared" ref="AO259" si="1720">AN84*AO84</f>
        <v>3425.19</v>
      </c>
      <c r="AQ259" s="2">
        <f t="shared" ref="AQ259" si="1721">AP84*AQ84</f>
        <v>53.34</v>
      </c>
      <c r="AS259" s="2">
        <f t="shared" ref="AS259" si="1722">AR84*AS84</f>
        <v>0</v>
      </c>
      <c r="AU259" s="2">
        <f t="shared" ref="AU259" si="1723">AT84*AU84</f>
        <v>16972.280000000002</v>
      </c>
      <c r="AW259" s="2">
        <f t="shared" ref="AW259" si="1724">AV84*AW84</f>
        <v>70331.171249999999</v>
      </c>
      <c r="BA259" s="2">
        <f t="shared" si="1457"/>
        <v>379.73</v>
      </c>
      <c r="CJ259" s="2">
        <f t="shared" ref="CJ259" si="1725">CI84*CJ84</f>
        <v>0</v>
      </c>
      <c r="CO259" s="2">
        <f t="shared" si="1459"/>
        <v>448.05600000000004</v>
      </c>
      <c r="CT259" s="2">
        <f t="shared" si="1460"/>
        <v>0</v>
      </c>
      <c r="CX259" s="2">
        <f t="shared" si="1461"/>
        <v>448.05600000000004</v>
      </c>
    </row>
    <row r="260" spans="1:102" x14ac:dyDescent="0.25">
      <c r="A260" s="2">
        <v>1932</v>
      </c>
      <c r="C260" s="2">
        <f t="shared" si="1435"/>
        <v>0</v>
      </c>
      <c r="E260" s="2">
        <f t="shared" si="1435"/>
        <v>0</v>
      </c>
      <c r="G260" s="2">
        <f t="shared" ref="G260:I260" si="1726">F85*G85</f>
        <v>584.20000000000005</v>
      </c>
      <c r="I260" s="2">
        <f t="shared" si="1726"/>
        <v>0</v>
      </c>
      <c r="K260" s="2">
        <f t="shared" ref="K260" si="1727">J85*K85</f>
        <v>32.003999999999998</v>
      </c>
      <c r="M260" s="2">
        <f t="shared" ref="M260" si="1728">L85*M85</f>
        <v>0</v>
      </c>
      <c r="O260" s="2">
        <f t="shared" ref="O260" si="1729">N85*O85</f>
        <v>0</v>
      </c>
      <c r="Q260" s="2">
        <f t="shared" ref="Q260" si="1730">P85*Q85</f>
        <v>12.890499999999999</v>
      </c>
      <c r="S260" s="2">
        <f t="shared" ref="S260" si="1731">R85*S85</f>
        <v>20.256500000000003</v>
      </c>
      <c r="U260" s="2">
        <f t="shared" ref="U260" si="1732">T85*U85</f>
        <v>0</v>
      </c>
      <c r="W260" s="2">
        <f t="shared" ref="W260" si="1733">V85*W85</f>
        <v>25486.36</v>
      </c>
      <c r="Y260" s="2">
        <f t="shared" ref="Y260" si="1734">X85*Y85</f>
        <v>3535.68</v>
      </c>
      <c r="AA260" s="2">
        <f t="shared" ref="AA260" si="1735">Z85*AA85</f>
        <v>552.45000000000005</v>
      </c>
      <c r="AC260" s="2">
        <f t="shared" ref="AC260" si="1736">AB85*AC85</f>
        <v>0</v>
      </c>
      <c r="AE260" s="2">
        <f t="shared" ref="AE260" si="1737">AD85*AE85</f>
        <v>0</v>
      </c>
      <c r="AG260" s="2">
        <f t="shared" ref="AG260" si="1738">AF85*AG85</f>
        <v>231.14000000000001</v>
      </c>
      <c r="AI260" s="2">
        <f t="shared" ref="AI260" si="1739">AH85*AI85</f>
        <v>0</v>
      </c>
      <c r="AK260" s="2">
        <f t="shared" ref="AK260" si="1740">AJ85*AK85</f>
        <v>15394.939999999999</v>
      </c>
      <c r="AM260" s="2">
        <f t="shared" ref="AM260" si="1741">AL85*AM85</f>
        <v>10099.039999999999</v>
      </c>
      <c r="AO260" s="2">
        <f t="shared" ref="AO260" si="1742">AN85*AO85</f>
        <v>2799.0800000000004</v>
      </c>
      <c r="AQ260" s="2">
        <f t="shared" ref="AQ260" si="1743">AP85*AQ85</f>
        <v>0</v>
      </c>
      <c r="AS260" s="2">
        <f t="shared" ref="AS260" si="1744">AR85*AS85</f>
        <v>0</v>
      </c>
      <c r="AU260" s="2">
        <f t="shared" ref="AU260" si="1745">AT85*AU85</f>
        <v>8948.42</v>
      </c>
      <c r="AW260" s="2">
        <f t="shared" ref="AW260" si="1746">AV85*AW85</f>
        <v>67696.46100000001</v>
      </c>
      <c r="BA260" s="2">
        <f t="shared" si="1457"/>
        <v>1551.94</v>
      </c>
      <c r="CJ260" s="2">
        <f t="shared" ref="CJ260" si="1747">CI85*CJ85</f>
        <v>586.74</v>
      </c>
      <c r="CO260" s="2">
        <f t="shared" si="1459"/>
        <v>497.84000000000003</v>
      </c>
      <c r="CT260" s="2">
        <f t="shared" si="1460"/>
        <v>0</v>
      </c>
      <c r="CX260" s="2">
        <f t="shared" si="1461"/>
        <v>1084.58</v>
      </c>
    </row>
    <row r="261" spans="1:102" x14ac:dyDescent="0.25">
      <c r="A261" s="2">
        <v>1933</v>
      </c>
      <c r="C261" s="2">
        <f t="shared" si="1435"/>
        <v>0</v>
      </c>
      <c r="E261" s="2">
        <f t="shared" si="1435"/>
        <v>0</v>
      </c>
      <c r="G261" s="2">
        <f t="shared" ref="G261:I261" si="1748">F86*G86</f>
        <v>0</v>
      </c>
      <c r="I261" s="2">
        <f t="shared" si="1748"/>
        <v>1066.8</v>
      </c>
      <c r="K261" s="2">
        <f t="shared" ref="K261" si="1749">J86*K86</f>
        <v>0</v>
      </c>
      <c r="M261" s="2">
        <f t="shared" ref="M261" si="1750">L86*M86</f>
        <v>0</v>
      </c>
      <c r="O261" s="2">
        <f t="shared" ref="O261" si="1751">N86*O86</f>
        <v>0</v>
      </c>
      <c r="Q261" s="2">
        <f t="shared" ref="Q261" si="1752">P86*Q86</f>
        <v>0</v>
      </c>
      <c r="S261" s="2">
        <f t="shared" ref="S261" si="1753">R86*S86</f>
        <v>110.49</v>
      </c>
      <c r="U261" s="2">
        <f t="shared" ref="U261" si="1754">T86*U86</f>
        <v>0</v>
      </c>
      <c r="W261" s="2">
        <f t="shared" ref="W261" si="1755">V86*W86</f>
        <v>39039.800000000003</v>
      </c>
      <c r="Y261" s="2">
        <f t="shared" ref="Y261" si="1756">X86*Y86</f>
        <v>11380.470000000001</v>
      </c>
      <c r="AA261" s="2">
        <f t="shared" ref="AA261" si="1757">Z86*AA86</f>
        <v>331.47</v>
      </c>
      <c r="AC261" s="2">
        <f t="shared" ref="AC261" si="1758">AB86*AC86</f>
        <v>0</v>
      </c>
      <c r="AE261" s="2">
        <f t="shared" ref="AE261" si="1759">AD86*AE86</f>
        <v>0</v>
      </c>
      <c r="AG261" s="2">
        <f t="shared" ref="AG261" si="1760">AF86*AG86</f>
        <v>2773.6800000000003</v>
      </c>
      <c r="AI261" s="2">
        <f t="shared" ref="AI261" si="1761">AH86*AI86</f>
        <v>0</v>
      </c>
      <c r="AK261" s="2">
        <f t="shared" ref="AK261" si="1762">AJ86*AK86</f>
        <v>19225.259999999998</v>
      </c>
      <c r="AM261" s="2">
        <f t="shared" ref="AM261" si="1763">AL86*AM86</f>
        <v>16482.060000000001</v>
      </c>
      <c r="AO261" s="2">
        <f t="shared" ref="AO261" si="1764">AN86*AO86</f>
        <v>2320.29</v>
      </c>
      <c r="AQ261" s="2">
        <f t="shared" ref="AQ261" si="1765">AP86*AQ86</f>
        <v>0</v>
      </c>
      <c r="AS261" s="2">
        <f t="shared" ref="AS261" si="1766">AR86*AS86</f>
        <v>0</v>
      </c>
      <c r="AU261" s="2">
        <f t="shared" ref="AU261" si="1767">AT86*AU86</f>
        <v>12877.800000000001</v>
      </c>
      <c r="AW261" s="2">
        <f t="shared" ref="AW261" si="1768">AV86*AW86</f>
        <v>105608.12000000001</v>
      </c>
      <c r="BA261" s="2">
        <f t="shared" si="1457"/>
        <v>643.89</v>
      </c>
      <c r="CJ261" s="2">
        <f t="shared" ref="CJ261" si="1769">CI86*CJ86</f>
        <v>216.20480000000001</v>
      </c>
      <c r="CO261" s="2">
        <f t="shared" si="1459"/>
        <v>213.36</v>
      </c>
      <c r="CT261" s="2">
        <f t="shared" si="1460"/>
        <v>0</v>
      </c>
      <c r="CX261" s="2">
        <f t="shared" si="1461"/>
        <v>429.56479999999999</v>
      </c>
    </row>
    <row r="262" spans="1:102" x14ac:dyDescent="0.25">
      <c r="A262" s="2">
        <v>1934</v>
      </c>
      <c r="C262" s="2">
        <f t="shared" si="1435"/>
        <v>177.8</v>
      </c>
      <c r="E262" s="2">
        <f t="shared" si="1435"/>
        <v>0</v>
      </c>
      <c r="G262" s="2">
        <f t="shared" ref="G262:I262" si="1770">F87*G87</f>
        <v>365.76</v>
      </c>
      <c r="I262" s="2">
        <f t="shared" si="1770"/>
        <v>924.56000000000006</v>
      </c>
      <c r="K262" s="2">
        <f t="shared" ref="K262" si="1771">J87*K87</f>
        <v>138.684</v>
      </c>
      <c r="M262" s="2">
        <f t="shared" ref="M262" si="1772">L87*M87</f>
        <v>0</v>
      </c>
      <c r="O262" s="2">
        <f t="shared" ref="O262" si="1773">N87*O87</f>
        <v>0</v>
      </c>
      <c r="Q262" s="2">
        <f t="shared" ref="Q262" si="1774">P87*Q87</f>
        <v>40.513000000000005</v>
      </c>
      <c r="S262" s="2">
        <f t="shared" ref="S262" si="1775">R87*S87</f>
        <v>128.905</v>
      </c>
      <c r="U262" s="2">
        <f t="shared" ref="U262" si="1776">T87*U87</f>
        <v>0</v>
      </c>
      <c r="W262" s="2">
        <f t="shared" ref="W262" si="1777">V87*W87</f>
        <v>40513</v>
      </c>
      <c r="Y262" s="2">
        <f t="shared" ref="Y262" si="1778">X87*Y87</f>
        <v>12595.859999999999</v>
      </c>
      <c r="AA262" s="2">
        <f t="shared" ref="AA262" si="1779">Z87*AA87</f>
        <v>791.84500000000003</v>
      </c>
      <c r="AC262" s="2">
        <f t="shared" ref="AC262" si="1780">AB87*AC87</f>
        <v>0</v>
      </c>
      <c r="AE262" s="2">
        <f t="shared" ref="AE262" si="1781">AD87*AE87</f>
        <v>0</v>
      </c>
      <c r="AG262" s="2">
        <f t="shared" ref="AG262" si="1782">AF87*AG87</f>
        <v>2898.14</v>
      </c>
      <c r="AI262" s="2">
        <f t="shared" ref="AI262" si="1783">AH87*AI87</f>
        <v>0</v>
      </c>
      <c r="AK262" s="2">
        <f t="shared" ref="AK262" si="1784">AJ87*AK87</f>
        <v>17825.72</v>
      </c>
      <c r="AM262" s="2">
        <f t="shared" ref="AM262" si="1785">AL87*AM87</f>
        <v>12997.18</v>
      </c>
      <c r="AO262" s="2">
        <f t="shared" ref="AO262" si="1786">AN87*AO87</f>
        <v>3314.7</v>
      </c>
      <c r="AQ262" s="2">
        <f t="shared" ref="AQ262" si="1787">AP87*AQ87</f>
        <v>0</v>
      </c>
      <c r="AS262" s="2">
        <f t="shared" ref="AS262" si="1788">AR87*AS87</f>
        <v>0</v>
      </c>
      <c r="AU262" s="2">
        <f t="shared" ref="AU262" si="1789">AT87*AU87</f>
        <v>18821.400000000001</v>
      </c>
      <c r="AW262" s="2">
        <f t="shared" ref="AW262" si="1790">AV87*AW87</f>
        <v>111534.06700000001</v>
      </c>
      <c r="BA262" s="2">
        <f t="shared" si="1457"/>
        <v>1485.8999999999999</v>
      </c>
      <c r="CJ262" s="2">
        <f t="shared" ref="CJ262" si="1791">CI87*CJ87</f>
        <v>110.236</v>
      </c>
      <c r="CO262" s="2">
        <f t="shared" si="1459"/>
        <v>815.74639999999999</v>
      </c>
      <c r="CT262" s="2">
        <f t="shared" si="1460"/>
        <v>0</v>
      </c>
      <c r="CX262" s="2">
        <f t="shared" si="1461"/>
        <v>925.98239999999998</v>
      </c>
    </row>
    <row r="263" spans="1:102" x14ac:dyDescent="0.25">
      <c r="A263" s="2">
        <v>1935</v>
      </c>
      <c r="C263" s="2">
        <f t="shared" si="1435"/>
        <v>426.72</v>
      </c>
      <c r="E263" s="2">
        <f t="shared" si="1435"/>
        <v>0</v>
      </c>
      <c r="G263" s="2">
        <f t="shared" ref="G263:I263" si="1792">F88*G88</f>
        <v>292.10000000000002</v>
      </c>
      <c r="I263" s="2">
        <f t="shared" si="1792"/>
        <v>213.36</v>
      </c>
      <c r="K263" s="2">
        <f t="shared" ref="K263" si="1793">J88*K88</f>
        <v>0</v>
      </c>
      <c r="M263" s="2">
        <f t="shared" ref="M263" si="1794">L88*M88</f>
        <v>0</v>
      </c>
      <c r="O263" s="2">
        <f t="shared" ref="O263" si="1795">N88*O88</f>
        <v>0</v>
      </c>
      <c r="Q263" s="2">
        <f t="shared" ref="Q263" si="1796">P88*Q88</f>
        <v>18.414999999999999</v>
      </c>
      <c r="S263" s="2">
        <f t="shared" ref="S263" si="1797">R88*S88</f>
        <v>92.075000000000003</v>
      </c>
      <c r="U263" s="2">
        <f t="shared" ref="U263" si="1798">T88*U88</f>
        <v>0</v>
      </c>
      <c r="W263" s="2">
        <f t="shared" ref="W263" si="1799">V88*W88</f>
        <v>31250.255000000001</v>
      </c>
      <c r="Y263" s="2">
        <f t="shared" ref="Y263" si="1800">X88*Y88</f>
        <v>14621.510000000002</v>
      </c>
      <c r="AA263" s="2">
        <f t="shared" ref="AA263" si="1801">Z88*AA88</f>
        <v>718.18500000000006</v>
      </c>
      <c r="AC263" s="2">
        <f t="shared" ref="AC263" si="1802">AB88*AC88</f>
        <v>0</v>
      </c>
      <c r="AE263" s="2">
        <f t="shared" ref="AE263" si="1803">AD88*AE88</f>
        <v>67.563999999999993</v>
      </c>
      <c r="AG263" s="2">
        <f t="shared" ref="AG263" si="1804">AF88*AG88</f>
        <v>1778</v>
      </c>
      <c r="AI263" s="2">
        <f t="shared" ref="AI263" si="1805">AH88*AI88</f>
        <v>0</v>
      </c>
      <c r="AK263" s="2">
        <f t="shared" ref="AK263" si="1806">AJ88*AK88</f>
        <v>18930.620000000003</v>
      </c>
      <c r="AM263" s="2">
        <f t="shared" ref="AM263" si="1807">AL88*AM88</f>
        <v>13459.46</v>
      </c>
      <c r="AO263" s="2">
        <f t="shared" ref="AO263" si="1808">AN88*AO88</f>
        <v>1362.71</v>
      </c>
      <c r="AQ263" s="2">
        <f t="shared" ref="AQ263" si="1809">AP88*AQ88</f>
        <v>568.96</v>
      </c>
      <c r="AS263" s="2">
        <f t="shared" ref="AS263" si="1810">AR88*AS88</f>
        <v>0</v>
      </c>
      <c r="AU263" s="2">
        <f t="shared" ref="AU263" si="1811">AT88*AU88</f>
        <v>17748.25</v>
      </c>
      <c r="AW263" s="2">
        <f t="shared" ref="AW263" si="1812">AV88*AW88</f>
        <v>101548.18400000001</v>
      </c>
      <c r="BA263" s="2">
        <f t="shared" si="1457"/>
        <v>1320.8</v>
      </c>
      <c r="CJ263" s="2">
        <f t="shared" ref="CJ263" si="1813">CI88*CJ88</f>
        <v>1231.7984000000001</v>
      </c>
      <c r="CO263" s="2">
        <f t="shared" si="1459"/>
        <v>71.12</v>
      </c>
      <c r="CT263" s="2">
        <f t="shared" si="1460"/>
        <v>0</v>
      </c>
      <c r="CX263" s="2">
        <f t="shared" si="1461"/>
        <v>1302.9184000000002</v>
      </c>
    </row>
    <row r="264" spans="1:102" x14ac:dyDescent="0.25">
      <c r="A264" s="2">
        <v>1936</v>
      </c>
      <c r="C264" s="2">
        <f t="shared" si="1435"/>
        <v>13.335000000000001</v>
      </c>
      <c r="E264" s="2">
        <f t="shared" si="1435"/>
        <v>0</v>
      </c>
      <c r="G264" s="2">
        <f t="shared" ref="G264:I264" si="1814">F89*G89</f>
        <v>155.6579986946515</v>
      </c>
      <c r="I264" s="2">
        <f t="shared" si="1814"/>
        <v>96.012000000000015</v>
      </c>
      <c r="K264" s="2">
        <f t="shared" ref="K264" si="1815">J89*K89</f>
        <v>22.225000000000001</v>
      </c>
      <c r="M264" s="2">
        <f t="shared" ref="M264" si="1816">L89*M89</f>
        <v>0</v>
      </c>
      <c r="O264" s="2">
        <f t="shared" ref="O264" si="1817">N89*O89</f>
        <v>0</v>
      </c>
      <c r="Q264" s="2">
        <f t="shared" ref="Q264" si="1818">P89*Q89</f>
        <v>11.049000000000001</v>
      </c>
      <c r="S264" s="2">
        <f t="shared" ref="S264" si="1819">R89*S89</f>
        <v>1196.9750000000001</v>
      </c>
      <c r="U264" s="2">
        <f t="shared" ref="U264" si="1820">T89*U89</f>
        <v>0</v>
      </c>
      <c r="W264" s="2">
        <f t="shared" ref="W264" si="1821">V89*W89</f>
        <v>29905.96</v>
      </c>
      <c r="Y264" s="2">
        <f t="shared" ref="Y264" si="1822">X89*Y89</f>
        <v>12964.16</v>
      </c>
      <c r="AA264" s="2">
        <f t="shared" ref="AA264" si="1823">Z89*AA89</f>
        <v>1252.2199999999998</v>
      </c>
      <c r="AC264" s="2">
        <f t="shared" ref="AC264" si="1824">AB89*AC89</f>
        <v>0</v>
      </c>
      <c r="AE264" s="2">
        <f t="shared" ref="AE264" si="1825">AD89*AE89</f>
        <v>21.336000000000002</v>
      </c>
      <c r="AG264" s="2">
        <f t="shared" ref="AG264" si="1826">AF89*AG89</f>
        <v>5476.24</v>
      </c>
      <c r="AI264" s="2">
        <f t="shared" ref="AI264" si="1827">AH89*AI89</f>
        <v>0</v>
      </c>
      <c r="AK264" s="2">
        <f t="shared" ref="AK264" si="1828">AJ89*AK89</f>
        <v>19593.560000000001</v>
      </c>
      <c r="AM264" s="2">
        <f t="shared" ref="AM264" si="1829">AL89*AM89</f>
        <v>18348.96</v>
      </c>
      <c r="AO264" s="2">
        <f t="shared" ref="AO264" si="1830">AN89*AO89</f>
        <v>1252.2199999999998</v>
      </c>
      <c r="AQ264" s="2">
        <f t="shared" ref="AQ264" si="1831">AP89*AQ89</f>
        <v>0</v>
      </c>
      <c r="AS264" s="2">
        <f t="shared" ref="AS264" si="1832">AR89*AS89</f>
        <v>1.2446000000000002</v>
      </c>
      <c r="AU264" s="2">
        <f t="shared" ref="AU264" si="1833">AT89*AU89</f>
        <v>14726.92</v>
      </c>
      <c r="AW264" s="2">
        <f t="shared" ref="AW264" si="1834">AV89*AW89</f>
        <v>105038.07459869464</v>
      </c>
      <c r="BA264" s="2">
        <f t="shared" si="1457"/>
        <v>5646.42</v>
      </c>
      <c r="CJ264" s="2">
        <f t="shared" ref="CJ264" si="1835">CI89*CJ89</f>
        <v>1553.972</v>
      </c>
      <c r="CO264" s="2">
        <f t="shared" si="1459"/>
        <v>355.6</v>
      </c>
      <c r="CT264" s="2">
        <f t="shared" si="1460"/>
        <v>0</v>
      </c>
      <c r="CX264" s="2">
        <f t="shared" si="1461"/>
        <v>1909.5720000000001</v>
      </c>
    </row>
    <row r="265" spans="1:102" x14ac:dyDescent="0.25">
      <c r="A265" s="2">
        <v>1937</v>
      </c>
      <c r="C265" s="2">
        <f t="shared" si="1435"/>
        <v>37.338000000000001</v>
      </c>
      <c r="E265" s="2">
        <f t="shared" si="1435"/>
        <v>0</v>
      </c>
      <c r="G265" s="2">
        <f t="shared" ref="G265:I265" si="1836">F90*G90</f>
        <v>0</v>
      </c>
      <c r="I265" s="2">
        <f t="shared" si="1836"/>
        <v>640.08000000000004</v>
      </c>
      <c r="K265" s="2">
        <f t="shared" ref="K265" si="1837">J90*K90</f>
        <v>15.113000000000001</v>
      </c>
      <c r="M265" s="2">
        <f t="shared" ref="M265" si="1838">L90*M90</f>
        <v>0</v>
      </c>
      <c r="O265" s="2">
        <f t="shared" ref="O265" si="1839">N90*O90</f>
        <v>0</v>
      </c>
      <c r="Q265" s="2">
        <f t="shared" ref="Q265" si="1840">P90*Q90</f>
        <v>92.075000000000017</v>
      </c>
      <c r="S265" s="2">
        <f t="shared" ref="S265" si="1841">R90*S90</f>
        <v>1429.0039999999999</v>
      </c>
      <c r="U265" s="2">
        <f t="shared" ref="U265" si="1842">T90*U90</f>
        <v>35.817223691168692</v>
      </c>
      <c r="W265" s="2">
        <f t="shared" ref="W265" si="1843">V90*W90</f>
        <v>42280.84</v>
      </c>
      <c r="Y265" s="2">
        <f t="shared" ref="Y265" si="1844">X90*Y90</f>
        <v>9723.119999999999</v>
      </c>
      <c r="AA265" s="2">
        <f t="shared" ref="AA265" si="1845">Z90*AA90</f>
        <v>1289.0500000000002</v>
      </c>
      <c r="AC265" s="2">
        <f t="shared" ref="AC265" si="1846">AB90*AC90</f>
        <v>0</v>
      </c>
      <c r="AE265" s="2">
        <f t="shared" ref="AE265" si="1847">AD90*AE90</f>
        <v>21.336000000000002</v>
      </c>
      <c r="AG265" s="2">
        <f t="shared" ref="AG265" si="1848">AF90*AG90</f>
        <v>4800.5999999999995</v>
      </c>
      <c r="AI265" s="2">
        <f t="shared" ref="AI265" si="1849">AH90*AI90</f>
        <v>39.465250000000005</v>
      </c>
      <c r="AK265" s="2">
        <f t="shared" ref="AK265" si="1850">AJ90*AK90</f>
        <v>17899.38</v>
      </c>
      <c r="AM265" s="2">
        <f t="shared" ref="AM265" si="1851">AL90*AM90</f>
        <v>16997.68</v>
      </c>
      <c r="AO265" s="2">
        <f t="shared" ref="AO265" si="1852">AN90*AO90</f>
        <v>1841.5</v>
      </c>
      <c r="AQ265" s="2">
        <f t="shared" ref="AQ265" si="1853">AP90*AQ90</f>
        <v>0</v>
      </c>
      <c r="AS265" s="2">
        <f t="shared" ref="AS265" si="1854">AR90*AS90</f>
        <v>3.5560000000000005</v>
      </c>
      <c r="AU265" s="2">
        <f t="shared" ref="AU265" si="1855">AT90*AU90</f>
        <v>10120.629999999999</v>
      </c>
      <c r="AW265" s="2">
        <f t="shared" ref="AW265" si="1856">AV90*AW90</f>
        <v>107266.58447369118</v>
      </c>
      <c r="BA265" s="2">
        <f t="shared" si="1457"/>
        <v>14363.699999999999</v>
      </c>
      <c r="CJ265" s="2">
        <f t="shared" ref="CJ265" si="1857">CI90*CJ90</f>
        <v>3647.0336000000002</v>
      </c>
      <c r="CO265" s="2">
        <f t="shared" si="1459"/>
        <v>213.36</v>
      </c>
      <c r="CT265" s="2">
        <f t="shared" si="1460"/>
        <v>0</v>
      </c>
      <c r="CX265" s="2">
        <f t="shared" si="1461"/>
        <v>3860.3936000000003</v>
      </c>
    </row>
    <row r="266" spans="1:102" x14ac:dyDescent="0.25">
      <c r="A266" s="2">
        <v>1938</v>
      </c>
      <c r="C266" s="2">
        <f t="shared" si="1435"/>
        <v>1137.92</v>
      </c>
      <c r="E266" s="2">
        <f t="shared" si="1435"/>
        <v>0</v>
      </c>
      <c r="G266" s="2">
        <f t="shared" ref="G266:I266" si="1858">F91*G91</f>
        <v>0</v>
      </c>
      <c r="I266" s="2">
        <f t="shared" si="1858"/>
        <v>0</v>
      </c>
      <c r="K266" s="2">
        <f t="shared" ref="K266" si="1859">J91*K91</f>
        <v>0</v>
      </c>
      <c r="M266" s="2">
        <f t="shared" ref="M266" si="1860">L91*M91</f>
        <v>9.0106390328151988</v>
      </c>
      <c r="O266" s="2">
        <f t="shared" ref="O266" si="1861">N91*O91</f>
        <v>0</v>
      </c>
      <c r="Q266" s="2">
        <f t="shared" ref="Q266" si="1862">P91*Q91</f>
        <v>165.73500000000001</v>
      </c>
      <c r="S266" s="2">
        <f t="shared" ref="S266" si="1863">R91*S91</f>
        <v>3535.68</v>
      </c>
      <c r="U266" s="2">
        <f t="shared" ref="U266" si="1864">T91*U91</f>
        <v>66.040000000000006</v>
      </c>
      <c r="W266" s="2">
        <f t="shared" ref="W266" si="1865">V91*W91</f>
        <v>45300.9</v>
      </c>
      <c r="Y266" s="2">
        <f t="shared" ref="Y266" si="1866">X91*Y91</f>
        <v>9575.8000000000011</v>
      </c>
      <c r="AA266" s="2">
        <f t="shared" ref="AA266" si="1867">Z91*AA91</f>
        <v>345.28125</v>
      </c>
      <c r="AC266" s="2">
        <f t="shared" ref="AC266" si="1868">AB91*AC91</f>
        <v>0</v>
      </c>
      <c r="AE266" s="2">
        <f t="shared" ref="AE266" si="1869">AD91*AE91</f>
        <v>0</v>
      </c>
      <c r="AG266" s="2">
        <f t="shared" ref="AG266" si="1870">AF91*AG91</f>
        <v>4573.0159999999996</v>
      </c>
      <c r="AI266" s="2">
        <f t="shared" ref="AI266" si="1871">AH91*AI91</f>
        <v>0</v>
      </c>
      <c r="AK266" s="2">
        <f t="shared" ref="AK266" si="1872">AJ91*AK91</f>
        <v>17862.55</v>
      </c>
      <c r="AM266" s="2">
        <f t="shared" ref="AM266" si="1873">AL91*AM91</f>
        <v>17139.919999999998</v>
      </c>
      <c r="AO266" s="2">
        <f t="shared" ref="AO266" si="1874">AN91*AO91</f>
        <v>7402.83</v>
      </c>
      <c r="AQ266" s="2">
        <f t="shared" ref="AQ266" si="1875">AP91*AQ91</f>
        <v>0</v>
      </c>
      <c r="AS266" s="2">
        <f t="shared" ref="AS266" si="1876">AR91*AS91</f>
        <v>0</v>
      </c>
      <c r="AU266" s="2">
        <f t="shared" ref="AU266" si="1877">AT91*AU91</f>
        <v>13564.616000000002</v>
      </c>
      <c r="AW266" s="2">
        <f t="shared" ref="AW266" si="1878">AV91*AW91</f>
        <v>120679.29888903281</v>
      </c>
      <c r="BA266" s="2">
        <f t="shared" si="1457"/>
        <v>11177.27</v>
      </c>
      <c r="CJ266" s="2">
        <f t="shared" ref="CJ266" si="1879">CI91*CJ91</f>
        <v>3691.1279999999997</v>
      </c>
      <c r="CO266" s="2">
        <f t="shared" si="1459"/>
        <v>71.12</v>
      </c>
      <c r="CT266" s="2">
        <f t="shared" si="1460"/>
        <v>0</v>
      </c>
      <c r="CX266" s="2">
        <f t="shared" si="1461"/>
        <v>3762.2479999999996</v>
      </c>
    </row>
    <row r="267" spans="1:102" x14ac:dyDescent="0.25">
      <c r="A267" s="2">
        <v>1939</v>
      </c>
      <c r="C267" s="2">
        <f t="shared" si="1435"/>
        <v>10383.52</v>
      </c>
      <c r="E267" s="2">
        <f t="shared" si="1435"/>
        <v>0</v>
      </c>
      <c r="G267" s="2">
        <f t="shared" ref="G267:I267" si="1880">F92*G92</f>
        <v>0</v>
      </c>
      <c r="I267" s="2">
        <f t="shared" si="1880"/>
        <v>78.232000000000014</v>
      </c>
      <c r="K267" s="2">
        <f t="shared" ref="K267" si="1881">J92*K92</f>
        <v>21.336000000000002</v>
      </c>
      <c r="M267" s="2">
        <f t="shared" ref="M267" si="1882">L92*M92</f>
        <v>0</v>
      </c>
      <c r="O267" s="2">
        <f t="shared" ref="O267" si="1883">N92*O92</f>
        <v>0</v>
      </c>
      <c r="Q267" s="2">
        <f t="shared" ref="Q267" si="1884">P92*Q92</f>
        <v>22.098000000000003</v>
      </c>
      <c r="S267" s="2">
        <f t="shared" ref="S267" si="1885">R92*S92</f>
        <v>6272.1490000000013</v>
      </c>
      <c r="U267" s="2">
        <f t="shared" ref="U267" si="1886">T92*U92</f>
        <v>0</v>
      </c>
      <c r="W267" s="2">
        <f t="shared" ref="W267" si="1887">V92*W92</f>
        <v>47289.72</v>
      </c>
      <c r="Y267" s="2">
        <f t="shared" ref="Y267" si="1888">X92*Y92</f>
        <v>11078.464</v>
      </c>
      <c r="AA267" s="2">
        <f t="shared" ref="AA267" si="1889">Z92*AA92</f>
        <v>250.44400000000002</v>
      </c>
      <c r="AC267" s="2">
        <f t="shared" ref="AC267" si="1890">AB92*AC92</f>
        <v>0</v>
      </c>
      <c r="AE267" s="2">
        <f t="shared" ref="AE267" si="1891">AD92*AE92</f>
        <v>9.7790000000000017</v>
      </c>
      <c r="AG267" s="2">
        <f t="shared" ref="AG267" si="1892">AF92*AG92</f>
        <v>3741.8009999999999</v>
      </c>
      <c r="AI267" s="2">
        <f t="shared" ref="AI267" si="1893">AH92*AI92</f>
        <v>0</v>
      </c>
      <c r="AK267" s="2">
        <f t="shared" ref="AK267" si="1894">AJ92*AK92</f>
        <v>22318.98</v>
      </c>
      <c r="AM267" s="2">
        <f t="shared" ref="AM267" si="1895">AL92*AM92</f>
        <v>21037.296000000002</v>
      </c>
      <c r="AO267" s="2">
        <f t="shared" ref="AO267" si="1896">AN92*AO92</f>
        <v>3646.17</v>
      </c>
      <c r="AQ267" s="2">
        <f t="shared" ref="AQ267" si="1897">AP92*AQ92</f>
        <v>0</v>
      </c>
      <c r="AS267" s="2">
        <f t="shared" ref="AS267" si="1898">AR92*AS92</f>
        <v>0</v>
      </c>
      <c r="AU267" s="2">
        <f t="shared" ref="AU267" si="1899">AT92*AU92</f>
        <v>11941.682999999999</v>
      </c>
      <c r="AW267" s="2">
        <f t="shared" ref="AW267" si="1900">AV92*AW92</f>
        <v>138091.67199999999</v>
      </c>
      <c r="BA267" s="2">
        <f t="shared" si="1457"/>
        <v>16311.88</v>
      </c>
      <c r="CJ267" s="2">
        <f t="shared" ref="CJ267" si="1901">CI92*CJ92</f>
        <v>766.67359999999996</v>
      </c>
      <c r="CO267" s="2">
        <f t="shared" si="1459"/>
        <v>0</v>
      </c>
      <c r="CT267" s="2">
        <f t="shared" si="1460"/>
        <v>0</v>
      </c>
      <c r="CX267" s="2">
        <f t="shared" si="1461"/>
        <v>766.67359999999996</v>
      </c>
    </row>
    <row r="268" spans="1:102" x14ac:dyDescent="0.25">
      <c r="A268" s="2">
        <v>1940</v>
      </c>
      <c r="C268" s="2">
        <f t="shared" si="1435"/>
        <v>23447.552799999998</v>
      </c>
      <c r="E268" s="2">
        <f t="shared" si="1435"/>
        <v>0</v>
      </c>
      <c r="G268" s="2">
        <f t="shared" ref="G268:I268" si="1902">F93*G93</f>
        <v>0</v>
      </c>
      <c r="I268" s="2">
        <f t="shared" si="1902"/>
        <v>346.71000000000004</v>
      </c>
      <c r="K268" s="2">
        <f t="shared" ref="K268" si="1903">J93*K93</f>
        <v>0</v>
      </c>
      <c r="M268" s="2">
        <f t="shared" ref="M268" si="1904">L93*M93</f>
        <v>0</v>
      </c>
      <c r="O268" s="2">
        <f t="shared" ref="O268" si="1905">N93*O93</f>
        <v>0</v>
      </c>
      <c r="Q268" s="2">
        <f t="shared" ref="Q268" si="1906">P93*Q93</f>
        <v>3.6830000000000003</v>
      </c>
      <c r="S268" s="2">
        <f t="shared" ref="S268" si="1907">R93*S93</f>
        <v>5943.2917639257294</v>
      </c>
      <c r="U268" s="2">
        <f t="shared" ref="U268" si="1908">T93*U93</f>
        <v>19.399249999999999</v>
      </c>
      <c r="W268" s="2">
        <f t="shared" ref="W268" si="1909">V93*W93</f>
        <v>35211.6898</v>
      </c>
      <c r="Y268" s="2">
        <f t="shared" ref="Y268" si="1910">X93*Y93</f>
        <v>6432.7277999999997</v>
      </c>
      <c r="AA268" s="2">
        <f t="shared" ref="AA268" si="1911">Z93*AA93</f>
        <v>453.00900000000001</v>
      </c>
      <c r="AC268" s="2">
        <f t="shared" ref="AC268" si="1912">AB93*AC93</f>
        <v>0</v>
      </c>
      <c r="AE268" s="2">
        <f t="shared" ref="AE268" si="1913">AD93*AE93</f>
        <v>0</v>
      </c>
      <c r="AG268" s="2">
        <f t="shared" ref="AG268" si="1914">AF93*AG93</f>
        <v>4073.7535999999996</v>
      </c>
      <c r="AI268" s="2">
        <f t="shared" ref="AI268" si="1915">AH93*AI93</f>
        <v>0</v>
      </c>
      <c r="AK268" s="2">
        <f t="shared" ref="AK268" si="1916">AJ93*AK93</f>
        <v>21295.052841909819</v>
      </c>
      <c r="AM268" s="2">
        <f t="shared" ref="AM268" si="1917">AL93*AM93</f>
        <v>14175.282800000001</v>
      </c>
      <c r="AO268" s="2">
        <f t="shared" ref="AO268" si="1918">AN93*AO93</f>
        <v>8968.8415999999997</v>
      </c>
      <c r="AQ268" s="2">
        <f t="shared" ref="AQ268" si="1919">AP93*AQ93</f>
        <v>0</v>
      </c>
      <c r="AS268" s="2">
        <f t="shared" ref="AS268" si="1920">AR93*AS93</f>
        <v>0</v>
      </c>
      <c r="AU268" s="2">
        <f t="shared" ref="AU268" si="1921">AT93*AU93</f>
        <v>8007.3499999999995</v>
      </c>
      <c r="AW268" s="2">
        <f t="shared" ref="AW268" si="1922">AV93*AW93</f>
        <v>128378.34425583555</v>
      </c>
      <c r="BA268" s="2">
        <f t="shared" si="1457"/>
        <v>10434.32</v>
      </c>
      <c r="CJ268" s="2">
        <f t="shared" ref="CJ268" si="1923">CI93*CJ93</f>
        <v>2386.0759999999996</v>
      </c>
      <c r="CO268" s="2">
        <f t="shared" si="1459"/>
        <v>209.80400000000003</v>
      </c>
      <c r="CT268" s="2">
        <f t="shared" si="1460"/>
        <v>0</v>
      </c>
      <c r="CX268" s="2">
        <f t="shared" si="1461"/>
        <v>2595.8799999999997</v>
      </c>
    </row>
    <row r="269" spans="1:102" x14ac:dyDescent="0.25">
      <c r="A269" s="2">
        <v>1941</v>
      </c>
      <c r="C269" s="2">
        <f t="shared" si="1435"/>
        <v>48215.092800000006</v>
      </c>
      <c r="E269" s="2">
        <f t="shared" si="1435"/>
        <v>0</v>
      </c>
      <c r="G269" s="2">
        <f t="shared" ref="G269:I269" si="1924">F94*G94</f>
        <v>0</v>
      </c>
      <c r="I269" s="2">
        <f t="shared" si="1924"/>
        <v>346.71000000000004</v>
      </c>
      <c r="K269" s="2">
        <f t="shared" ref="K269" si="1925">J94*K94</f>
        <v>0</v>
      </c>
      <c r="M269" s="2">
        <f t="shared" ref="M269" si="1926">L94*M94</f>
        <v>13.797642857142858</v>
      </c>
      <c r="O269" s="2">
        <f t="shared" ref="O269" si="1927">N94*O94</f>
        <v>0</v>
      </c>
      <c r="Q269" s="2">
        <f t="shared" ref="Q269" si="1928">P94*Q94</f>
        <v>3.6830000000000003</v>
      </c>
      <c r="S269" s="2">
        <f t="shared" ref="S269" si="1929">R94*S94</f>
        <v>4699.5080000000007</v>
      </c>
      <c r="U269" s="2">
        <f t="shared" ref="U269" si="1930">T94*U94</f>
        <v>19.399249999999999</v>
      </c>
      <c r="W269" s="2">
        <f t="shared" ref="W269" si="1931">V94*W94</f>
        <v>35561.574800000002</v>
      </c>
      <c r="Y269" s="2">
        <f t="shared" ref="Y269" si="1932">X94*Y94</f>
        <v>5372.0238000000008</v>
      </c>
      <c r="AA269" s="2">
        <f t="shared" ref="AA269" si="1933">Z94*AA94</f>
        <v>220.98</v>
      </c>
      <c r="AC269" s="2">
        <f t="shared" ref="AC269" si="1934">AB94*AC94</f>
        <v>0</v>
      </c>
      <c r="AE269" s="2">
        <f t="shared" ref="AE269" si="1935">AD94*AE94</f>
        <v>0</v>
      </c>
      <c r="AG269" s="2">
        <f t="shared" ref="AG269" si="1936">AF94*AG94</f>
        <v>3696.8175999999999</v>
      </c>
      <c r="AI269" s="2">
        <f t="shared" ref="AI269" si="1937">AH94*AI94</f>
        <v>0</v>
      </c>
      <c r="AK269" s="2">
        <f t="shared" ref="AK269" si="1938">AJ94*AK94</f>
        <v>21359.190200000001</v>
      </c>
      <c r="AM269" s="2">
        <f t="shared" ref="AM269" si="1939">AL94*AM94</f>
        <v>11863.882799999999</v>
      </c>
      <c r="AO269" s="2">
        <f t="shared" ref="AO269" si="1940">AN94*AO94</f>
        <v>7064.7305999999999</v>
      </c>
      <c r="AQ269" s="2">
        <f t="shared" ref="AQ269" si="1941">AP94*AQ94</f>
        <v>0</v>
      </c>
      <c r="AS269" s="2">
        <f t="shared" ref="AS269" si="1942">AR94*AS94</f>
        <v>0</v>
      </c>
      <c r="AU269" s="2">
        <f t="shared" ref="AU269" si="1943">AT94*AU94</f>
        <v>7000.24</v>
      </c>
      <c r="AW269" s="2">
        <f t="shared" ref="AW269" si="1944">AV94*AW94</f>
        <v>145437.63049285713</v>
      </c>
      <c r="BA269" s="2">
        <f t="shared" si="1457"/>
        <v>5943.5999999999995</v>
      </c>
      <c r="CJ269" s="2">
        <f t="shared" ref="CJ269" si="1945">CI94*CJ94</f>
        <v>361.28960000000006</v>
      </c>
      <c r="CO269" s="2">
        <f t="shared" si="1459"/>
        <v>416.76320000000004</v>
      </c>
      <c r="CT269" s="2">
        <f t="shared" si="1460"/>
        <v>0</v>
      </c>
      <c r="CX269" s="2">
        <f t="shared" si="1461"/>
        <v>778.05280000000016</v>
      </c>
    </row>
    <row r="270" spans="1:102" x14ac:dyDescent="0.25">
      <c r="A270" s="2">
        <v>1942</v>
      </c>
      <c r="C270" s="2">
        <f t="shared" si="1435"/>
        <v>43962.116800000011</v>
      </c>
      <c r="E270" s="2">
        <f t="shared" si="1435"/>
        <v>0</v>
      </c>
      <c r="G270" s="2">
        <f t="shared" ref="G270:I270" si="1946">F95*G95</f>
        <v>0</v>
      </c>
      <c r="I270" s="2">
        <f t="shared" si="1946"/>
        <v>0</v>
      </c>
      <c r="K270" s="2">
        <f t="shared" ref="K270" si="1947">J95*K95</f>
        <v>0</v>
      </c>
      <c r="M270" s="2">
        <f t="shared" ref="M270" si="1948">L95*M95</f>
        <v>0</v>
      </c>
      <c r="O270" s="2">
        <f t="shared" ref="O270" si="1949">N95*O95</f>
        <v>0</v>
      </c>
      <c r="Q270" s="2">
        <f t="shared" ref="Q270" si="1950">P95*Q95</f>
        <v>3.6830000000000003</v>
      </c>
      <c r="S270" s="2">
        <f t="shared" ref="S270" si="1951">R95*S95</f>
        <v>3355.2130000000002</v>
      </c>
      <c r="U270" s="2">
        <f t="shared" ref="U270" si="1952">T95*U95</f>
        <v>19.399249999999999</v>
      </c>
      <c r="W270" s="2">
        <f t="shared" ref="W270" si="1953">V95*W95</f>
        <v>29451.477800000001</v>
      </c>
      <c r="Y270" s="2">
        <f t="shared" ref="Y270" si="1954">X95*Y95</f>
        <v>5232.0698000000002</v>
      </c>
      <c r="AA270" s="2">
        <f t="shared" ref="AA270" si="1955">Z95*AA95</f>
        <v>75.501499999999993</v>
      </c>
      <c r="AC270" s="2">
        <f t="shared" ref="AC270" si="1956">AB95*AC95</f>
        <v>0</v>
      </c>
      <c r="AE270" s="2">
        <f t="shared" ref="AE270" si="1957">AD95*AE95</f>
        <v>0</v>
      </c>
      <c r="AG270" s="2">
        <f t="shared" ref="AG270" si="1958">AF95*AG95</f>
        <v>4884.5216</v>
      </c>
      <c r="AI270" s="2">
        <f t="shared" ref="AI270" si="1959">AH95*AI95</f>
        <v>0</v>
      </c>
      <c r="AK270" s="2">
        <f t="shared" ref="AK270" si="1960">AJ95*AK95</f>
        <v>8156.3717999999999</v>
      </c>
      <c r="AM270" s="2">
        <f t="shared" ref="AM270" si="1961">AL95*AM95</f>
        <v>9595.1547999999984</v>
      </c>
      <c r="AO270" s="2">
        <f t="shared" ref="AO270" si="1962">AN95*AO95</f>
        <v>3230.7276000000002</v>
      </c>
      <c r="AQ270" s="2">
        <f t="shared" ref="AQ270" si="1963">AP95*AQ95</f>
        <v>0</v>
      </c>
      <c r="AS270" s="2">
        <f t="shared" ref="AS270" si="1964">AR95*AS95</f>
        <v>0</v>
      </c>
      <c r="AU270" s="2">
        <f t="shared" ref="AU270" si="1965">AT95*AU95</f>
        <v>2400.5540000000001</v>
      </c>
      <c r="AW270" s="2">
        <f t="shared" ref="AW270" si="1966">AV95*AW95</f>
        <v>110366.79095</v>
      </c>
      <c r="BA270" s="2">
        <f t="shared" si="1457"/>
        <v>5481.3200000000006</v>
      </c>
      <c r="CJ270" s="2">
        <f t="shared" ref="CJ270" si="1967">CI95*CJ95</f>
        <v>903.93520000000001</v>
      </c>
      <c r="CO270" s="2">
        <f t="shared" si="1459"/>
        <v>760.98400000000004</v>
      </c>
      <c r="CT270" s="2">
        <f t="shared" si="1460"/>
        <v>0</v>
      </c>
      <c r="CX270" s="2">
        <f t="shared" si="1461"/>
        <v>1664.9191999999998</v>
      </c>
    </row>
    <row r="271" spans="1:102" x14ac:dyDescent="0.25">
      <c r="A271" s="2">
        <v>1943</v>
      </c>
      <c r="C271" s="2">
        <f t="shared" si="1435"/>
        <v>37298.1728</v>
      </c>
      <c r="E271" s="2">
        <f t="shared" si="1435"/>
        <v>0</v>
      </c>
      <c r="G271" s="2">
        <f t="shared" ref="G271:I271" si="1968">F96*G96</f>
        <v>0</v>
      </c>
      <c r="I271" s="2">
        <f t="shared" si="1968"/>
        <v>0</v>
      </c>
      <c r="K271" s="2">
        <f t="shared" ref="K271" si="1969">J96*K96</f>
        <v>0</v>
      </c>
      <c r="M271" s="2">
        <f t="shared" ref="M271" si="1970">L96*M96</f>
        <v>0</v>
      </c>
      <c r="O271" s="2">
        <f t="shared" ref="O271" si="1971">N96*O96</f>
        <v>0</v>
      </c>
      <c r="Q271" s="2">
        <f t="shared" ref="Q271" si="1972">P96*Q96</f>
        <v>3.6830000000000003</v>
      </c>
      <c r="S271" s="2">
        <f t="shared" ref="S271" si="1973">R96*S96</f>
        <v>3020.0600000000004</v>
      </c>
      <c r="U271" s="2">
        <f t="shared" ref="U271" si="1974">T96*U96</f>
        <v>19.399249999999999</v>
      </c>
      <c r="W271" s="2">
        <f t="shared" ref="W271" si="1975">V96*W96</f>
        <v>38371.703799999996</v>
      </c>
      <c r="Y271" s="2">
        <f t="shared" ref="Y271" si="1976">X96*Y96</f>
        <v>4141.9018000000005</v>
      </c>
      <c r="AA271" s="2">
        <f t="shared" ref="AA271" si="1977">Z96*AA96</f>
        <v>116.0145</v>
      </c>
      <c r="AC271" s="2">
        <f t="shared" ref="AC271" si="1978">AB96*AC96</f>
        <v>0</v>
      </c>
      <c r="AE271" s="2">
        <f t="shared" ref="AE271" si="1979">AD96*AE96</f>
        <v>0</v>
      </c>
      <c r="AG271" s="2">
        <f t="shared" ref="AG271" si="1980">AF96*AG96</f>
        <v>3679.0375999999997</v>
      </c>
      <c r="AI271" s="2">
        <f t="shared" ref="AI271" si="1981">AH96*AI96</f>
        <v>0</v>
      </c>
      <c r="AK271" s="2">
        <f t="shared" ref="AK271" si="1982">AJ96*AK96</f>
        <v>10197.490400000001</v>
      </c>
      <c r="AM271" s="2">
        <f t="shared" ref="AM271" si="1983">AL96*AM96</f>
        <v>9627.1587999999992</v>
      </c>
      <c r="AO271" s="2">
        <f t="shared" ref="AO271" si="1984">AN96*AO96</f>
        <v>5827.2425999999996</v>
      </c>
      <c r="AQ271" s="2">
        <f t="shared" ref="AQ271" si="1985">AP96*AQ96</f>
        <v>0</v>
      </c>
      <c r="AS271" s="2">
        <f t="shared" ref="AS271" si="1986">AR96*AS96</f>
        <v>0</v>
      </c>
      <c r="AU271" s="2">
        <f t="shared" ref="AU271" si="1987">AT96*AU96</f>
        <v>6719.57</v>
      </c>
      <c r="AW271" s="2">
        <f t="shared" ref="AW271" si="1988">AV96*AW96</f>
        <v>119021.43454999999</v>
      </c>
      <c r="BA271" s="2">
        <f t="shared" si="1457"/>
        <v>3962.4</v>
      </c>
      <c r="CJ271" s="2">
        <f t="shared" ref="CJ271" si="1989">CI96*CJ96</f>
        <v>240.38559999999998</v>
      </c>
      <c r="CO271" s="2">
        <f t="shared" si="1459"/>
        <v>327.15199999999999</v>
      </c>
      <c r="CT271" s="2">
        <f t="shared" si="1460"/>
        <v>52.628799999999998</v>
      </c>
      <c r="CX271" s="2">
        <f t="shared" si="1461"/>
        <v>620.16639999999995</v>
      </c>
    </row>
    <row r="272" spans="1:102" x14ac:dyDescent="0.25">
      <c r="A272" s="2">
        <v>1944</v>
      </c>
      <c r="C272" s="2">
        <f t="shared" si="1435"/>
        <v>28137.916800000003</v>
      </c>
      <c r="E272" s="2">
        <f t="shared" si="1435"/>
        <v>0</v>
      </c>
      <c r="G272" s="2">
        <f t="shared" ref="G272:I272" si="1990">F97*G97</f>
        <v>0</v>
      </c>
      <c r="I272" s="2">
        <f t="shared" si="1990"/>
        <v>0</v>
      </c>
      <c r="K272" s="2">
        <f t="shared" ref="K272" si="1991">J97*K97</f>
        <v>0</v>
      </c>
      <c r="M272" s="2">
        <f t="shared" ref="M272" si="1992">L97*M97</f>
        <v>0</v>
      </c>
      <c r="O272" s="2">
        <f t="shared" ref="O272" si="1993">N97*O97</f>
        <v>0</v>
      </c>
      <c r="Q272" s="2">
        <f t="shared" ref="Q272" si="1994">P97*Q97</f>
        <v>3.6830000000000003</v>
      </c>
      <c r="S272" s="2">
        <f t="shared" ref="S272" si="1995">R97*S97</f>
        <v>2161.9210000000003</v>
      </c>
      <c r="U272" s="2">
        <f t="shared" ref="U272" si="1996">T97*U97</f>
        <v>19.399249999999999</v>
      </c>
      <c r="W272" s="2">
        <f t="shared" ref="W272" si="1997">V97*W97</f>
        <v>45645.628799999999</v>
      </c>
      <c r="Y272" s="2">
        <f t="shared" ref="Y272" si="1998">X97*Y97</f>
        <v>4646.4728000000005</v>
      </c>
      <c r="AA272" s="2">
        <f t="shared" ref="AA272" si="1999">Z97*AA97</f>
        <v>32.22625</v>
      </c>
      <c r="AC272" s="2">
        <f t="shared" ref="AC272" si="2000">AB97*AC97</f>
        <v>0</v>
      </c>
      <c r="AE272" s="2">
        <f t="shared" ref="AE272" si="2001">AD97*AE97</f>
        <v>0</v>
      </c>
      <c r="AG272" s="2">
        <f t="shared" ref="AG272" si="2002">AF97*AG97</f>
        <v>2448.6615999999999</v>
      </c>
      <c r="AI272" s="2">
        <f t="shared" ref="AI272" si="2003">AH97*AI97</f>
        <v>0</v>
      </c>
      <c r="AK272" s="2">
        <f t="shared" ref="AK272" si="2004">AJ97*AK97</f>
        <v>10954.715200000001</v>
      </c>
      <c r="AM272" s="2">
        <f t="shared" ref="AM272" si="2005">AL97*AM97</f>
        <v>10768.6348</v>
      </c>
      <c r="AO272" s="2">
        <f t="shared" ref="AO272" si="2006">AN97*AO97</f>
        <v>3779.4946</v>
      </c>
      <c r="AQ272" s="2">
        <f t="shared" ref="AQ272" si="2007">AP97*AQ97</f>
        <v>0</v>
      </c>
      <c r="AS272" s="2">
        <f t="shared" ref="AS272" si="2008">AR97*AS97</f>
        <v>0</v>
      </c>
      <c r="AU272" s="2">
        <f t="shared" ref="AU272" si="2009">AT97*AU97</f>
        <v>2790.19</v>
      </c>
      <c r="AW272" s="2">
        <f t="shared" ref="AW272" si="2010">AV97*AW97</f>
        <v>111388.94410000002</v>
      </c>
      <c r="BA272" s="2">
        <f t="shared" si="1457"/>
        <v>3632.2000000000003</v>
      </c>
      <c r="CJ272" s="2">
        <f t="shared" ref="CJ272" si="2011">CI97*CJ97</f>
        <v>64.007999999999996</v>
      </c>
      <c r="CO272" s="2">
        <f t="shared" si="1459"/>
        <v>701.95439999999996</v>
      </c>
      <c r="CT272" s="2">
        <f t="shared" si="1460"/>
        <v>22.0472</v>
      </c>
      <c r="CX272" s="2">
        <f t="shared" si="1461"/>
        <v>788.00959999999998</v>
      </c>
    </row>
    <row r="273" spans="1:102" x14ac:dyDescent="0.25">
      <c r="A273" s="2">
        <v>1945</v>
      </c>
      <c r="C273" s="2">
        <f t="shared" si="1435"/>
        <v>24892</v>
      </c>
      <c r="E273" s="2">
        <f t="shared" si="1435"/>
        <v>0</v>
      </c>
      <c r="G273" s="2">
        <f t="shared" ref="G273:I273" si="2012">F98*G98</f>
        <v>0</v>
      </c>
      <c r="I273" s="2">
        <f t="shared" si="2012"/>
        <v>0</v>
      </c>
      <c r="K273" s="2">
        <f t="shared" ref="K273" si="2013">J98*K98</f>
        <v>0</v>
      </c>
      <c r="M273" s="2">
        <f t="shared" ref="M273" si="2014">L98*M98</f>
        <v>0</v>
      </c>
      <c r="O273" s="2">
        <f t="shared" ref="O273" si="2015">N98*O98</f>
        <v>0</v>
      </c>
      <c r="Q273" s="2">
        <f t="shared" ref="Q273" si="2016">P98*Q98</f>
        <v>3.6830000000000003</v>
      </c>
      <c r="S273" s="2">
        <f t="shared" ref="S273" si="2017">R98*S98</f>
        <v>1940.9410000000003</v>
      </c>
      <c r="U273" s="2">
        <f t="shared" ref="U273" si="2018">T98*U98</f>
        <v>19.399249999999999</v>
      </c>
      <c r="W273" s="2">
        <f t="shared" ref="W273" si="2019">V98*W98</f>
        <v>23762.716000000004</v>
      </c>
      <c r="Y273" s="2">
        <f t="shared" ref="Y273" si="2020">X98*Y98</f>
        <v>4123.4868000000006</v>
      </c>
      <c r="AA273" s="2">
        <f t="shared" ref="AA273" si="2021">Z98*AA98</f>
        <v>222.82149999999999</v>
      </c>
      <c r="AC273" s="2">
        <f t="shared" ref="AC273" si="2022">AB98*AC98</f>
        <v>0</v>
      </c>
      <c r="AE273" s="2">
        <f t="shared" ref="AE273" si="2023">AD98*AE98</f>
        <v>0</v>
      </c>
      <c r="AG273" s="2">
        <f t="shared" ref="AG273" si="2024">AF98*AG98</f>
        <v>2275.84</v>
      </c>
      <c r="AI273" s="2">
        <f t="shared" ref="AI273" si="2025">AH98*AI98</f>
        <v>0</v>
      </c>
      <c r="AK273" s="2">
        <f t="shared" ref="AK273" si="2026">AJ98*AK98</f>
        <v>11829.796</v>
      </c>
      <c r="AM273" s="2">
        <f t="shared" ref="AM273" si="2027">AL98*AM98</f>
        <v>5115.3060000000005</v>
      </c>
      <c r="AO273" s="2">
        <f t="shared" ref="AO273" si="2028">AN98*AO98</f>
        <v>3572.51</v>
      </c>
      <c r="AQ273" s="2">
        <f t="shared" ref="AQ273" si="2029">AP98*AQ98</f>
        <v>0</v>
      </c>
      <c r="AS273" s="2">
        <f t="shared" ref="AS273" si="2030">AR98*AS98</f>
        <v>0</v>
      </c>
      <c r="AU273" s="2">
        <f t="shared" ref="AU273" si="2031">AT98*AU98</f>
        <v>485.39400000000001</v>
      </c>
      <c r="AW273" s="2">
        <f t="shared" ref="AW273" si="2032">AV98*AW98</f>
        <v>78243.893549999993</v>
      </c>
      <c r="BA273" s="2">
        <f t="shared" si="1457"/>
        <v>2773.68</v>
      </c>
      <c r="CJ273" s="2">
        <f t="shared" ref="CJ273" si="2033">CI98*CJ98</f>
        <v>760.98400000000004</v>
      </c>
      <c r="CO273" s="2">
        <f t="shared" si="1459"/>
        <v>768.80719999999997</v>
      </c>
      <c r="CT273" s="2">
        <f t="shared" si="1460"/>
        <v>0</v>
      </c>
      <c r="CX273" s="2">
        <f t="shared" si="1461"/>
        <v>1529.7912000000001</v>
      </c>
    </row>
    <row r="274" spans="1:102" x14ac:dyDescent="0.25">
      <c r="A274" s="2">
        <v>1946</v>
      </c>
      <c r="C274" s="2">
        <f t="shared" si="1435"/>
        <v>16215.36</v>
      </c>
      <c r="E274" s="2">
        <f t="shared" si="1435"/>
        <v>0</v>
      </c>
      <c r="G274" s="2">
        <f t="shared" ref="G274:I274" si="2034">F99*G99</f>
        <v>0</v>
      </c>
      <c r="I274" s="2">
        <f t="shared" si="2034"/>
        <v>0</v>
      </c>
      <c r="K274" s="2">
        <f t="shared" ref="K274" si="2035">J99*K99</f>
        <v>0</v>
      </c>
      <c r="M274" s="2">
        <f t="shared" ref="M274" si="2036">L99*M99</f>
        <v>0</v>
      </c>
      <c r="O274" s="2">
        <f t="shared" ref="O274" si="2037">N99*O99</f>
        <v>0</v>
      </c>
      <c r="Q274" s="2">
        <f t="shared" ref="Q274" si="2038">P99*Q99</f>
        <v>11.049000000000001</v>
      </c>
      <c r="S274" s="2">
        <f t="shared" ref="S274" si="2039">R99*S99</f>
        <v>1664.7160000000001</v>
      </c>
      <c r="U274" s="2">
        <f t="shared" ref="U274" si="2040">T99*U99</f>
        <v>0</v>
      </c>
      <c r="W274" s="2">
        <f t="shared" ref="W274" si="2041">V99*W99</f>
        <v>22436.836000000003</v>
      </c>
      <c r="Y274" s="2">
        <f t="shared" ref="Y274" si="2042">X99*Y99</f>
        <v>3036.6334999999999</v>
      </c>
      <c r="AA274" s="2">
        <f t="shared" ref="AA274" si="2043">Z99*AA99</f>
        <v>624.26850000000002</v>
      </c>
      <c r="AC274" s="2">
        <f t="shared" ref="AC274" si="2044">AB99*AC99</f>
        <v>0</v>
      </c>
      <c r="AE274" s="2">
        <f t="shared" ref="AE274" si="2045">AD99*AE99</f>
        <v>0</v>
      </c>
      <c r="AG274" s="2">
        <f t="shared" ref="AG274" si="2046">AF99*AG99</f>
        <v>2773.6800000000003</v>
      </c>
      <c r="AI274" s="2">
        <f t="shared" ref="AI274" si="2047">AH99*AI99</f>
        <v>0</v>
      </c>
      <c r="AK274" s="2">
        <f t="shared" ref="AK274" si="2048">AJ99*AK99</f>
        <v>8008.6834999999992</v>
      </c>
      <c r="AM274" s="2">
        <f t="shared" ref="AM274" si="2049">AL99*AM99</f>
        <v>5465.5720000000001</v>
      </c>
      <c r="AO274" s="2">
        <f t="shared" ref="AO274" si="2050">AN99*AO99</f>
        <v>3798.09375</v>
      </c>
      <c r="AQ274" s="2">
        <f t="shared" ref="AQ274" si="2051">AP99*AQ99</f>
        <v>0</v>
      </c>
      <c r="AS274" s="2">
        <f t="shared" ref="AS274" si="2052">AR99*AS99</f>
        <v>0</v>
      </c>
      <c r="AU274" s="2">
        <f t="shared" ref="AU274" si="2053">AT99*AU99</f>
        <v>1122.6799999999998</v>
      </c>
      <c r="AW274" s="2">
        <f t="shared" ref="AW274" si="2054">AV99*AW99</f>
        <v>65157.572250000005</v>
      </c>
      <c r="BA274" s="2">
        <f t="shared" si="1457"/>
        <v>4226.5600000000004</v>
      </c>
      <c r="CJ274" s="2">
        <f t="shared" ref="CJ274" si="2055">CI99*CJ99</f>
        <v>1033.3735999999999</v>
      </c>
      <c r="CO274" s="2">
        <f t="shared" si="1459"/>
        <v>994.9688000000001</v>
      </c>
      <c r="CT274" s="2">
        <f t="shared" si="1460"/>
        <v>0</v>
      </c>
      <c r="CX274" s="2">
        <f t="shared" si="1461"/>
        <v>2028.3424</v>
      </c>
    </row>
    <row r="275" spans="1:102" x14ac:dyDescent="0.25">
      <c r="A275" s="2">
        <v>1947</v>
      </c>
      <c r="C275" s="2">
        <f t="shared" si="1435"/>
        <v>10596.880000000001</v>
      </c>
      <c r="E275" s="2">
        <f t="shared" si="1435"/>
        <v>0</v>
      </c>
      <c r="G275" s="2">
        <f t="shared" ref="G275:I275" si="2056">F100*G100</f>
        <v>0</v>
      </c>
      <c r="I275" s="2">
        <f t="shared" si="2056"/>
        <v>0</v>
      </c>
      <c r="K275" s="2">
        <f t="shared" ref="K275" si="2057">J100*K100</f>
        <v>0</v>
      </c>
      <c r="M275" s="2">
        <f t="shared" ref="M275" si="2058">L100*M100</f>
        <v>0</v>
      </c>
      <c r="O275" s="2">
        <f t="shared" ref="O275" si="2059">N100*O100</f>
        <v>0</v>
      </c>
      <c r="Q275" s="2">
        <f t="shared" ref="Q275" si="2060">P100*Q100</f>
        <v>13.811249999999999</v>
      </c>
      <c r="S275" s="2">
        <f t="shared" ref="S275" si="2061">R100*S100</f>
        <v>1252.2199999999998</v>
      </c>
      <c r="U275" s="2">
        <f t="shared" ref="U275" si="2062">T100*U100</f>
        <v>9.2095293434049967</v>
      </c>
      <c r="W275" s="2">
        <f t="shared" ref="W275" si="2063">V100*W100</f>
        <v>19755.612000000001</v>
      </c>
      <c r="Y275" s="2">
        <f t="shared" ref="Y275" si="2064">X100*Y100</f>
        <v>2983.23</v>
      </c>
      <c r="AA275" s="2">
        <f t="shared" ref="AA275" si="2065">Z100*AA100</f>
        <v>239.39500000000001</v>
      </c>
      <c r="AC275" s="2">
        <f t="shared" ref="AC275" si="2066">AB100*AC100</f>
        <v>0</v>
      </c>
      <c r="AE275" s="2">
        <f t="shared" ref="AE275" si="2067">AD100*AE100</f>
        <v>0</v>
      </c>
      <c r="AG275" s="2">
        <f t="shared" ref="AG275" si="2068">AF100*AG100</f>
        <v>2844.8</v>
      </c>
      <c r="AI275" s="2">
        <f t="shared" ref="AI275" si="2069">AH100*AI100</f>
        <v>0</v>
      </c>
      <c r="AK275" s="2">
        <f t="shared" ref="AK275" si="2070">AJ100*AK100</f>
        <v>10142.982</v>
      </c>
      <c r="AM275" s="2">
        <f t="shared" ref="AM275" si="2071">AL100*AM100</f>
        <v>6080.7599999999993</v>
      </c>
      <c r="AO275" s="2">
        <f t="shared" ref="AO275" si="2072">AN100*AO100</f>
        <v>1977.7710000000002</v>
      </c>
      <c r="AQ275" s="2">
        <f t="shared" ref="AQ275" si="2073">AP100*AQ100</f>
        <v>0</v>
      </c>
      <c r="AS275" s="2">
        <f t="shared" ref="AS275" si="2074">AR100*AS100</f>
        <v>0</v>
      </c>
      <c r="AU275" s="2">
        <f t="shared" ref="AU275" si="2075">AT100*AU100</f>
        <v>1584.96</v>
      </c>
      <c r="AW275" s="2">
        <f t="shared" ref="AW275" si="2076">AV100*AW100</f>
        <v>57481.630779343417</v>
      </c>
      <c r="BA275" s="2">
        <f t="shared" si="1457"/>
        <v>5745.48</v>
      </c>
      <c r="CJ275" s="2">
        <f t="shared" ref="CJ275" si="2077">CI100*CJ100</f>
        <v>407.51760000000002</v>
      </c>
      <c r="CO275" s="2">
        <f t="shared" si="1459"/>
        <v>1273.048</v>
      </c>
      <c r="CT275" s="2">
        <f t="shared" si="1460"/>
        <v>0</v>
      </c>
      <c r="CX275" s="2">
        <f t="shared" si="1461"/>
        <v>1680.5655999999999</v>
      </c>
    </row>
    <row r="276" spans="1:102" x14ac:dyDescent="0.25">
      <c r="A276" s="2">
        <v>1948</v>
      </c>
      <c r="C276" s="2">
        <f t="shared" si="1435"/>
        <v>8651.7479999999996</v>
      </c>
      <c r="E276" s="2">
        <f t="shared" si="1435"/>
        <v>0</v>
      </c>
      <c r="G276" s="2">
        <f t="shared" ref="G276:I276" si="2078">F101*G101</f>
        <v>0</v>
      </c>
      <c r="I276" s="2">
        <f t="shared" si="2078"/>
        <v>0</v>
      </c>
      <c r="K276" s="2">
        <f t="shared" ref="K276" si="2079">J101*K101</f>
        <v>0</v>
      </c>
      <c r="M276" s="2">
        <f t="shared" ref="M276" si="2080">L101*M101</f>
        <v>0</v>
      </c>
      <c r="O276" s="2">
        <f t="shared" ref="O276" si="2081">N101*O101</f>
        <v>0</v>
      </c>
      <c r="Q276" s="2">
        <f t="shared" ref="Q276" si="2082">P101*Q101</f>
        <v>58.928000000000004</v>
      </c>
      <c r="S276" s="2">
        <f t="shared" ref="S276" si="2083">R101*S101</f>
        <v>606.77425000000005</v>
      </c>
      <c r="U276" s="2">
        <f t="shared" ref="U276" si="2084">T101*U101</f>
        <v>12.284710297912268</v>
      </c>
      <c r="W276" s="2">
        <f t="shared" ref="W276" si="2085">V101*W101</f>
        <v>18944.431250000001</v>
      </c>
      <c r="Y276" s="2">
        <f t="shared" ref="Y276" si="2086">X101*Y101</f>
        <v>2147.1889999999999</v>
      </c>
      <c r="AA276" s="2">
        <f t="shared" ref="AA276" si="2087">Z101*AA101</f>
        <v>213.614</v>
      </c>
      <c r="AC276" s="2">
        <f t="shared" ref="AC276" si="2088">AB101*AC101</f>
        <v>0</v>
      </c>
      <c r="AE276" s="2">
        <f t="shared" ref="AE276" si="2089">AD101*AE101</f>
        <v>0</v>
      </c>
      <c r="AG276" s="2">
        <f t="shared" ref="AG276" si="2090">AF101*AG101</f>
        <v>2773.6800000000003</v>
      </c>
      <c r="AI276" s="2">
        <f t="shared" ref="AI276" si="2091">AH101*AI101</f>
        <v>0</v>
      </c>
      <c r="AK276" s="2">
        <f t="shared" ref="AK276" si="2092">AJ101*AK101</f>
        <v>6776.72</v>
      </c>
      <c r="AM276" s="2">
        <f t="shared" ref="AM276" si="2093">AL101*AM101</f>
        <v>6525.26</v>
      </c>
      <c r="AO276" s="2">
        <f t="shared" ref="AO276" si="2094">AN101*AO101</f>
        <v>2449.1950000000002</v>
      </c>
      <c r="AQ276" s="2">
        <f t="shared" ref="AQ276" si="2095">AP101*AQ101</f>
        <v>0</v>
      </c>
      <c r="AS276" s="2">
        <f t="shared" ref="AS276" si="2096">AR101*AS101</f>
        <v>0</v>
      </c>
      <c r="AU276" s="2">
        <f t="shared" ref="AU276" si="2097">AT101*AU101</f>
        <v>858.52</v>
      </c>
      <c r="AW276" s="2">
        <f t="shared" ref="AW276" si="2098">AV101*AW101</f>
        <v>50018.34421029791</v>
      </c>
      <c r="BA276" s="2">
        <f t="shared" si="1457"/>
        <v>3566.1600000000003</v>
      </c>
      <c r="CJ276" s="2">
        <f t="shared" ref="CJ276" si="2099">CI101*CJ101</f>
        <v>142.24</v>
      </c>
      <c r="CO276" s="2">
        <f t="shared" si="1459"/>
        <v>2488.4888000000001</v>
      </c>
      <c r="CT276" s="2">
        <f t="shared" si="1460"/>
        <v>0</v>
      </c>
      <c r="CX276" s="2">
        <f t="shared" si="1461"/>
        <v>2630.7287999999999</v>
      </c>
    </row>
    <row r="277" spans="1:102" x14ac:dyDescent="0.25">
      <c r="A277" s="2">
        <v>1949</v>
      </c>
      <c r="C277" s="2">
        <f t="shared" si="1435"/>
        <v>6564.3759999999993</v>
      </c>
      <c r="E277" s="2">
        <f t="shared" si="1435"/>
        <v>0</v>
      </c>
      <c r="G277" s="2">
        <f t="shared" ref="G277:I277" si="2100">F102*G102</f>
        <v>0</v>
      </c>
      <c r="I277" s="2">
        <f t="shared" si="2100"/>
        <v>0</v>
      </c>
      <c r="K277" s="2">
        <f t="shared" ref="K277" si="2101">J102*K102</f>
        <v>0</v>
      </c>
      <c r="M277" s="2">
        <f t="shared" ref="M277" si="2102">L102*M102</f>
        <v>59.436</v>
      </c>
      <c r="O277" s="2">
        <f t="shared" ref="O277" si="2103">N102*O102</f>
        <v>0</v>
      </c>
      <c r="Q277" s="2">
        <f t="shared" ref="Q277" si="2104">P102*Q102</f>
        <v>430.911</v>
      </c>
      <c r="S277" s="2">
        <f t="shared" ref="S277" si="2105">R102*S102</f>
        <v>430.911</v>
      </c>
      <c r="U277" s="2">
        <f t="shared" ref="U277" si="2106">T102*U102</f>
        <v>0</v>
      </c>
      <c r="W277" s="2">
        <f t="shared" ref="W277" si="2107">V102*W102</f>
        <v>14356.334000000001</v>
      </c>
      <c r="Y277" s="2">
        <f t="shared" ref="Y277" si="2108">X102*Y102</f>
        <v>4073.3979999999997</v>
      </c>
      <c r="AA277" s="2">
        <f t="shared" ref="AA277" si="2109">Z102*AA102</f>
        <v>570.86500000000001</v>
      </c>
      <c r="AC277" s="2">
        <f t="shared" ref="AC277" si="2110">AB102*AC102</f>
        <v>0</v>
      </c>
      <c r="AE277" s="2">
        <f t="shared" ref="AE277" si="2111">AD102*AE102</f>
        <v>0</v>
      </c>
      <c r="AG277" s="2">
        <f t="shared" ref="AG277" si="2112">AF102*AG102</f>
        <v>2208.2760000000003</v>
      </c>
      <c r="AI277" s="2">
        <f t="shared" ref="AI277" si="2113">AH102*AI102</f>
        <v>0</v>
      </c>
      <c r="AK277" s="2">
        <f t="shared" ref="AK277" si="2114">AJ102*AK102</f>
        <v>5565.0129999999999</v>
      </c>
      <c r="AM277" s="2">
        <f t="shared" ref="AM277" si="2115">AL102*AM102</f>
        <v>6873.7480000000005</v>
      </c>
      <c r="AO277" s="2">
        <f t="shared" ref="AO277" si="2116">AN102*AO102</f>
        <v>998.09300000000007</v>
      </c>
      <c r="AQ277" s="2">
        <f t="shared" ref="AQ277" si="2117">AP102*AQ102</f>
        <v>0</v>
      </c>
      <c r="AS277" s="2">
        <f t="shared" ref="AS277" si="2118">AR102*AS102</f>
        <v>2.2225000000000001</v>
      </c>
      <c r="AU277" s="2">
        <f t="shared" ref="AU277" si="2119">AT102*AU102</f>
        <v>845.31200000000013</v>
      </c>
      <c r="AW277" s="2">
        <f t="shared" ref="AW277" si="2120">AV102*AW102</f>
        <v>42978.895500000006</v>
      </c>
      <c r="BA277" s="2">
        <f t="shared" si="1457"/>
        <v>3235.96</v>
      </c>
      <c r="CJ277" s="2">
        <f t="shared" ref="CJ277" si="2121">CI102*CJ102</f>
        <v>213.36</v>
      </c>
      <c r="CO277" s="2">
        <f t="shared" si="1459"/>
        <v>2241.7024000000001</v>
      </c>
      <c r="CT277" s="2">
        <f t="shared" si="1460"/>
        <v>0</v>
      </c>
      <c r="CX277" s="2">
        <f t="shared" si="1461"/>
        <v>2455.0624000000003</v>
      </c>
    </row>
    <row r="278" spans="1:102" x14ac:dyDescent="0.25">
      <c r="A278" s="2">
        <v>1950</v>
      </c>
      <c r="C278" s="2">
        <f t="shared" si="1435"/>
        <v>7508.2400000000007</v>
      </c>
      <c r="E278" s="2">
        <f t="shared" si="1435"/>
        <v>0</v>
      </c>
      <c r="G278" s="2">
        <f t="shared" ref="G278:I278" si="2122">F103*G103</f>
        <v>0</v>
      </c>
      <c r="I278" s="2">
        <f t="shared" si="2122"/>
        <v>3.5560000000000005</v>
      </c>
      <c r="K278" s="2">
        <f t="shared" ref="K278" si="2123">J103*K103</f>
        <v>0</v>
      </c>
      <c r="M278" s="2">
        <f t="shared" ref="M278" si="2124">L103*M103</f>
        <v>50.800000000000004</v>
      </c>
      <c r="O278" s="2">
        <f t="shared" ref="O278" si="2125">N103*O103</f>
        <v>0</v>
      </c>
      <c r="Q278" s="2">
        <f t="shared" ref="Q278" si="2126">P103*Q103</f>
        <v>350.52</v>
      </c>
      <c r="S278" s="2">
        <f t="shared" ref="S278" si="2127">R103*S103</f>
        <v>335.28</v>
      </c>
      <c r="U278" s="2">
        <f t="shared" ref="U278" si="2128">T103*U103</f>
        <v>0</v>
      </c>
      <c r="W278" s="2">
        <f t="shared" ref="W278" si="2129">V103*W103</f>
        <v>21031.200000000001</v>
      </c>
      <c r="Y278" s="2">
        <f t="shared" ref="Y278" si="2130">X103*Y103</f>
        <v>3048</v>
      </c>
      <c r="AA278" s="2">
        <f t="shared" ref="AA278" si="2131">Z103*AA103</f>
        <v>193.04</v>
      </c>
      <c r="AC278" s="2">
        <f t="shared" ref="AC278" si="2132">AB103*AC103</f>
        <v>0</v>
      </c>
      <c r="AE278" s="2">
        <f t="shared" ref="AE278" si="2133">AD103*AE103</f>
        <v>0</v>
      </c>
      <c r="AG278" s="2">
        <f t="shared" ref="AG278" si="2134">AF103*AG103</f>
        <v>2580.64</v>
      </c>
      <c r="AI278" s="2">
        <f t="shared" ref="AI278" si="2135">AH103*AI103</f>
        <v>0</v>
      </c>
      <c r="AK278" s="2">
        <f t="shared" ref="AK278" si="2136">AJ103*AK103</f>
        <v>6029.9599999999991</v>
      </c>
      <c r="AM278" s="2">
        <f t="shared" ref="AM278" si="2137">AL103*AM103</f>
        <v>6055.3600000000006</v>
      </c>
      <c r="AO278" s="2">
        <f t="shared" ref="AO278" si="2138">AN103*AO103</f>
        <v>1097.28</v>
      </c>
      <c r="AQ278" s="2">
        <f t="shared" ref="AQ278" si="2139">AP103*AQ103</f>
        <v>0</v>
      </c>
      <c r="AS278" s="2">
        <f t="shared" ref="AS278" si="2140">AR103*AS103</f>
        <v>3.8100000000000005</v>
      </c>
      <c r="AU278" s="2">
        <f t="shared" ref="AU278" si="2141">AT103*AU103</f>
        <v>690.88</v>
      </c>
      <c r="AW278" s="2">
        <f t="shared" ref="AW278" si="2142">AV103*AW103</f>
        <v>48978.565999999999</v>
      </c>
      <c r="BA278" s="2">
        <f t="shared" si="1457"/>
        <v>2641.6</v>
      </c>
      <c r="CJ278" s="2">
        <f t="shared" ref="CJ278" si="2143">CI103*CJ103</f>
        <v>2157.7808</v>
      </c>
      <c r="CO278" s="2">
        <f t="shared" si="1459"/>
        <v>1498.4983999999999</v>
      </c>
      <c r="CT278" s="2">
        <f t="shared" si="1460"/>
        <v>0</v>
      </c>
      <c r="CX278" s="2">
        <f t="shared" si="1461"/>
        <v>3656.2791999999999</v>
      </c>
    </row>
    <row r="279" spans="1:102" x14ac:dyDescent="0.25">
      <c r="A279" s="2">
        <v>1951</v>
      </c>
      <c r="C279" s="2">
        <f t="shared" si="1435"/>
        <v>5943.6</v>
      </c>
      <c r="E279" s="2">
        <f t="shared" si="1435"/>
        <v>0</v>
      </c>
      <c r="G279" s="2">
        <f t="shared" ref="G279:I279" si="2144">F104*G104</f>
        <v>0</v>
      </c>
      <c r="I279" s="2">
        <f t="shared" si="2144"/>
        <v>0</v>
      </c>
      <c r="K279" s="2">
        <f t="shared" ref="K279" si="2145">J104*K104</f>
        <v>0</v>
      </c>
      <c r="M279" s="2">
        <f t="shared" ref="M279" si="2146">L104*M104</f>
        <v>0</v>
      </c>
      <c r="O279" s="2">
        <f t="shared" ref="O279" si="2147">N104*O104</f>
        <v>0</v>
      </c>
      <c r="Q279" s="2">
        <f t="shared" ref="Q279" si="2148">P104*Q104</f>
        <v>71.11999999999999</v>
      </c>
      <c r="S279" s="2">
        <f t="shared" ref="S279" si="2149">R104*S104</f>
        <v>274.32</v>
      </c>
      <c r="U279" s="2">
        <f t="shared" ref="U279" si="2150">T104*U104</f>
        <v>3.3020000000000005</v>
      </c>
      <c r="W279" s="2">
        <f t="shared" ref="W279" si="2151">V104*W104</f>
        <v>21000.720000000005</v>
      </c>
      <c r="Y279" s="2">
        <f t="shared" ref="Y279" si="2152">X104*Y104</f>
        <v>2011.6800000000003</v>
      </c>
      <c r="AA279" s="2">
        <f t="shared" ref="AA279" si="2153">Z104*AA104</f>
        <v>182.88</v>
      </c>
      <c r="AC279" s="2">
        <f t="shared" ref="AC279" si="2154">AB104*AC104</f>
        <v>0</v>
      </c>
      <c r="AE279" s="2">
        <f t="shared" ref="AE279" si="2155">AD104*AE104</f>
        <v>0</v>
      </c>
      <c r="AG279" s="2">
        <f t="shared" ref="AG279" si="2156">AF104*AG104</f>
        <v>1635.7600000000002</v>
      </c>
      <c r="AI279" s="2">
        <f t="shared" ref="AI279" si="2157">AH104*AI104</f>
        <v>0</v>
      </c>
      <c r="AK279" s="2">
        <f t="shared" ref="AK279" si="2158">AJ104*AK104</f>
        <v>6705.6</v>
      </c>
      <c r="AM279" s="2">
        <f t="shared" ref="AM279" si="2159">AL104*AM104</f>
        <v>2194.56</v>
      </c>
      <c r="AO279" s="2">
        <f t="shared" ref="AO279" si="2160">AN104*AO104</f>
        <v>1391.92</v>
      </c>
      <c r="AQ279" s="2">
        <f t="shared" ref="AQ279" si="2161">AP104*AQ104</f>
        <v>0</v>
      </c>
      <c r="AS279" s="2">
        <f t="shared" ref="AS279" si="2162">AR104*AS104</f>
        <v>3.5560000000000005</v>
      </c>
      <c r="AU279" s="2">
        <f t="shared" ref="AU279" si="2163">AT104*AU104</f>
        <v>487.68</v>
      </c>
      <c r="AW279" s="2">
        <f t="shared" ref="AW279" si="2164">AV104*AW104</f>
        <v>41906.697999999997</v>
      </c>
      <c r="BA279" s="2">
        <f t="shared" si="1457"/>
        <v>3302</v>
      </c>
      <c r="CJ279" s="2">
        <f t="shared" ref="CJ279" si="2165">CI104*CJ104</f>
        <v>1595.9328</v>
      </c>
      <c r="CO279" s="2">
        <f t="shared" si="1459"/>
        <v>2726.7408</v>
      </c>
      <c r="CT279" s="2">
        <f t="shared" si="1460"/>
        <v>8.8651796889599996</v>
      </c>
      <c r="CX279" s="2">
        <f t="shared" si="1461"/>
        <v>4331.5387796889599</v>
      </c>
    </row>
    <row r="280" spans="1:102" x14ac:dyDescent="0.25">
      <c r="A280" s="2">
        <v>1952</v>
      </c>
      <c r="C280" s="2">
        <f t="shared" si="1435"/>
        <v>4500.8799999999992</v>
      </c>
      <c r="E280" s="2">
        <f t="shared" si="1435"/>
        <v>0</v>
      </c>
      <c r="G280" s="2">
        <f t="shared" ref="G280:I280" si="2166">F105*G105</f>
        <v>0</v>
      </c>
      <c r="I280" s="2">
        <f t="shared" si="2166"/>
        <v>0</v>
      </c>
      <c r="K280" s="2">
        <f t="shared" ref="K280" si="2167">J105*K105</f>
        <v>0</v>
      </c>
      <c r="M280" s="2">
        <f t="shared" ref="M280" si="2168">L105*M105</f>
        <v>0</v>
      </c>
      <c r="O280" s="2">
        <f t="shared" ref="O280" si="2169">N105*O105</f>
        <v>0</v>
      </c>
      <c r="Q280" s="2">
        <f t="shared" ref="Q280" si="2170">P105*Q105</f>
        <v>0</v>
      </c>
      <c r="S280" s="2">
        <f t="shared" ref="S280" si="2171">R105*S105</f>
        <v>167.64</v>
      </c>
      <c r="U280" s="2">
        <f t="shared" ref="U280" si="2172">T105*U105</f>
        <v>45.72</v>
      </c>
      <c r="W280" s="2">
        <f t="shared" ref="W280" si="2173">V105*W105</f>
        <v>20360.640000000003</v>
      </c>
      <c r="Y280" s="2">
        <f t="shared" ref="Y280" si="2174">X105*Y105</f>
        <v>3037.8399999999997</v>
      </c>
      <c r="AA280" s="2">
        <f t="shared" ref="AA280" si="2175">Z105*AA105</f>
        <v>14.732000000000001</v>
      </c>
      <c r="AC280" s="2">
        <f t="shared" ref="AC280" si="2176">AB105*AC105</f>
        <v>0</v>
      </c>
      <c r="AE280" s="2">
        <f t="shared" ref="AE280" si="2177">AD105*AE105</f>
        <v>0</v>
      </c>
      <c r="AG280" s="2">
        <f t="shared" ref="AG280" si="2178">AF105*AG105</f>
        <v>1259.8399999999999</v>
      </c>
      <c r="AI280" s="2">
        <f t="shared" ref="AI280" si="2179">AH105*AI105</f>
        <v>0</v>
      </c>
      <c r="AK280" s="2">
        <f t="shared" ref="AK280" si="2180">AJ105*AK105</f>
        <v>5862.3200000000006</v>
      </c>
      <c r="AM280" s="2">
        <f t="shared" ref="AM280" si="2181">AL105*AM105</f>
        <v>3322.3199999999997</v>
      </c>
      <c r="AO280" s="2">
        <f t="shared" ref="AO280" si="2182">AN105*AO105</f>
        <v>447.04000000000008</v>
      </c>
      <c r="AQ280" s="2">
        <f t="shared" ref="AQ280" si="2183">AP105*AQ105</f>
        <v>0</v>
      </c>
      <c r="AS280" s="2">
        <f t="shared" ref="AS280" si="2184">AR105*AS105</f>
        <v>7.112000000000001</v>
      </c>
      <c r="AU280" s="2">
        <f t="shared" ref="AU280" si="2185">AT105*AU105</f>
        <v>660.4</v>
      </c>
      <c r="AW280" s="2">
        <f t="shared" ref="AW280" si="2186">AV105*AW105</f>
        <v>39686.484000000011</v>
      </c>
      <c r="BA280" s="2">
        <f t="shared" si="1457"/>
        <v>3434.08</v>
      </c>
      <c r="CJ280" s="2">
        <f t="shared" ref="CJ280" si="2187">CI105*CJ105</f>
        <v>2321.56</v>
      </c>
      <c r="CO280" s="2">
        <f t="shared" si="1459"/>
        <v>4308.8559999999998</v>
      </c>
      <c r="CT280" s="2">
        <f t="shared" si="1460"/>
        <v>15.24</v>
      </c>
      <c r="CX280" s="2">
        <f t="shared" si="1461"/>
        <v>6645.6559999999999</v>
      </c>
    </row>
    <row r="281" spans="1:102" x14ac:dyDescent="0.25">
      <c r="A281" s="2">
        <v>1953</v>
      </c>
      <c r="C281" s="2">
        <f t="shared" si="1435"/>
        <v>5648.9600000000009</v>
      </c>
      <c r="E281" s="2">
        <f t="shared" si="1435"/>
        <v>0</v>
      </c>
      <c r="G281" s="2">
        <f t="shared" ref="G281:I281" si="2188">F106*G106</f>
        <v>0</v>
      </c>
      <c r="I281" s="2">
        <f t="shared" si="2188"/>
        <v>0</v>
      </c>
      <c r="K281" s="2">
        <f t="shared" ref="K281" si="2189">J106*K106</f>
        <v>0</v>
      </c>
      <c r="M281" s="2">
        <f t="shared" ref="M281" si="2190">L106*M106</f>
        <v>0</v>
      </c>
      <c r="O281" s="2">
        <f t="shared" ref="O281" si="2191">N106*O106</f>
        <v>0</v>
      </c>
      <c r="Q281" s="2">
        <f t="shared" ref="Q281" si="2192">P106*Q106</f>
        <v>81.02600000000001</v>
      </c>
      <c r="S281" s="2">
        <f t="shared" ref="S281" si="2193">R106*S106</f>
        <v>579.12</v>
      </c>
      <c r="U281" s="2">
        <f t="shared" ref="U281" si="2194">T106*U106</f>
        <v>81.280000000000015</v>
      </c>
      <c r="W281" s="2">
        <f t="shared" ref="W281" si="2195">V106*W106</f>
        <v>17515.84</v>
      </c>
      <c r="Y281" s="2">
        <f t="shared" ref="Y281" si="2196">X106*Y106</f>
        <v>1046.48</v>
      </c>
      <c r="AA281" s="2">
        <f t="shared" ref="AA281" si="2197">Z106*AA106</f>
        <v>0</v>
      </c>
      <c r="AC281" s="2">
        <f t="shared" ref="AC281" si="2198">AB106*AC106</f>
        <v>0</v>
      </c>
      <c r="AE281" s="2">
        <f t="shared" ref="AE281" si="2199">AD106*AE106</f>
        <v>0</v>
      </c>
      <c r="AG281" s="2">
        <f t="shared" ref="AG281" si="2200">AF106*AG106</f>
        <v>731.52</v>
      </c>
      <c r="AI281" s="2">
        <f t="shared" ref="AI281" si="2201">AH106*AI106</f>
        <v>0</v>
      </c>
      <c r="AK281" s="2">
        <f t="shared" ref="AK281" si="2202">AJ106*AK106</f>
        <v>3505.2</v>
      </c>
      <c r="AM281" s="2">
        <f t="shared" ref="AM281" si="2203">AL106*AM106</f>
        <v>2733.04</v>
      </c>
      <c r="AO281" s="2">
        <f t="shared" ref="AO281" si="2204">AN106*AO106</f>
        <v>1158.24</v>
      </c>
      <c r="AQ281" s="2">
        <f t="shared" ref="AQ281" si="2205">AP106*AQ106</f>
        <v>0</v>
      </c>
      <c r="AS281" s="2">
        <f t="shared" ref="AS281" si="2206">AR106*AS106</f>
        <v>0</v>
      </c>
      <c r="AU281" s="2">
        <f t="shared" ref="AU281" si="2207">AT106*AU106</f>
        <v>1381.76</v>
      </c>
      <c r="AW281" s="2">
        <f t="shared" ref="AW281" si="2208">AV106*AW106</f>
        <v>34462.466000000008</v>
      </c>
      <c r="BA281" s="2">
        <f t="shared" si="1457"/>
        <v>2905.76</v>
      </c>
      <c r="CJ281" s="2">
        <f t="shared" ref="CJ281" si="2209">CI106*CJ106</f>
        <v>2764.5360000000001</v>
      </c>
      <c r="CO281" s="2">
        <f t="shared" si="1459"/>
        <v>4970.2719999999999</v>
      </c>
      <c r="CT281" s="2">
        <f t="shared" si="1460"/>
        <v>19.304000000000002</v>
      </c>
      <c r="CX281" s="2">
        <f t="shared" si="1461"/>
        <v>7754.1120000000001</v>
      </c>
    </row>
    <row r="282" spans="1:102" x14ac:dyDescent="0.25">
      <c r="A282" s="2">
        <v>1954</v>
      </c>
      <c r="C282" s="2">
        <f t="shared" si="1435"/>
        <v>6949.4400000000014</v>
      </c>
      <c r="E282" s="2">
        <f t="shared" si="1435"/>
        <v>0</v>
      </c>
      <c r="G282" s="2">
        <f t="shared" ref="G282:I282" si="2210">F107*G107</f>
        <v>0</v>
      </c>
      <c r="I282" s="2">
        <f t="shared" si="2210"/>
        <v>0</v>
      </c>
      <c r="K282" s="2">
        <f t="shared" ref="K282" si="2211">J107*K107</f>
        <v>0</v>
      </c>
      <c r="M282" s="2">
        <f t="shared" ref="M282" si="2212">L107*M107</f>
        <v>0</v>
      </c>
      <c r="O282" s="2">
        <f t="shared" ref="O282" si="2213">N107*O107</f>
        <v>0</v>
      </c>
      <c r="Q282" s="2">
        <f t="shared" ref="Q282" si="2214">P107*Q107</f>
        <v>0</v>
      </c>
      <c r="S282" s="2">
        <f t="shared" ref="S282" si="2215">R107*S107</f>
        <v>833.11999999999989</v>
      </c>
      <c r="U282" s="2">
        <f t="shared" ref="U282" si="2216">T107*U107</f>
        <v>0</v>
      </c>
      <c r="W282" s="2">
        <f t="shared" ref="W282" si="2217">V107*W107</f>
        <v>11115.039999999999</v>
      </c>
      <c r="Y282" s="2">
        <f t="shared" ref="Y282" si="2218">X107*Y107</f>
        <v>162.56</v>
      </c>
      <c r="AA282" s="2">
        <f t="shared" ref="AA282" si="2219">Z107*AA107</f>
        <v>0</v>
      </c>
      <c r="AC282" s="2">
        <f t="shared" ref="AC282" si="2220">AB107*AC107</f>
        <v>0</v>
      </c>
      <c r="AE282" s="2">
        <f t="shared" ref="AE282" si="2221">AD107*AE107</f>
        <v>0</v>
      </c>
      <c r="AG282" s="2">
        <f t="shared" ref="AG282" si="2222">AF107*AG107</f>
        <v>203.2</v>
      </c>
      <c r="AI282" s="2">
        <f t="shared" ref="AI282" si="2223">AH107*AI107</f>
        <v>0</v>
      </c>
      <c r="AK282" s="2">
        <f t="shared" ref="AK282" si="2224">AJ107*AK107</f>
        <v>1869.4399999999996</v>
      </c>
      <c r="AM282" s="2">
        <f t="shared" ref="AM282" si="2225">AL107*AM107</f>
        <v>2082.7999999999997</v>
      </c>
      <c r="AO282" s="2">
        <f t="shared" ref="AO282" si="2226">AN107*AO107</f>
        <v>11115.039999999999</v>
      </c>
      <c r="AQ282" s="2">
        <f t="shared" ref="AQ282" si="2227">AP107*AQ107</f>
        <v>0</v>
      </c>
      <c r="AS282" s="2">
        <f t="shared" ref="AS282" si="2228">AR107*AS107</f>
        <v>0</v>
      </c>
      <c r="AU282" s="2">
        <f t="shared" ref="AU282" si="2229">AT107*AU107</f>
        <v>3606.8</v>
      </c>
      <c r="AW282" s="2">
        <f t="shared" ref="AW282" si="2230">AV107*AW107</f>
        <v>37937.440000000002</v>
      </c>
      <c r="BA282" s="2">
        <f t="shared" si="1457"/>
        <v>2311.4</v>
      </c>
      <c r="CJ282" s="2">
        <f t="shared" ref="CJ282" si="2231">CI107*CJ107</f>
        <v>2882.3919999999998</v>
      </c>
      <c r="CO282" s="2">
        <f t="shared" si="1459"/>
        <v>5210.0479999999998</v>
      </c>
      <c r="CT282" s="2">
        <f t="shared" si="1460"/>
        <v>0</v>
      </c>
      <c r="CX282" s="2">
        <f t="shared" si="1461"/>
        <v>8092.44</v>
      </c>
    </row>
    <row r="283" spans="1:102" x14ac:dyDescent="0.25">
      <c r="A283" s="2">
        <v>1955</v>
      </c>
      <c r="C283" s="2">
        <f t="shared" si="1435"/>
        <v>5415.28</v>
      </c>
      <c r="E283" s="2">
        <f t="shared" si="1435"/>
        <v>0</v>
      </c>
      <c r="G283" s="2">
        <f t="shared" ref="G283:I283" si="2232">F108*G108</f>
        <v>0</v>
      </c>
      <c r="I283" s="2">
        <f t="shared" si="2232"/>
        <v>0</v>
      </c>
      <c r="K283" s="2">
        <f t="shared" ref="K283" si="2233">J108*K108</f>
        <v>0</v>
      </c>
      <c r="M283" s="2">
        <f t="shared" ref="M283" si="2234">L108*M108</f>
        <v>0</v>
      </c>
      <c r="O283" s="2">
        <f t="shared" ref="O283" si="2235">N108*O108</f>
        <v>0</v>
      </c>
      <c r="Q283" s="2">
        <f t="shared" ref="Q283" si="2236">P108*Q108</f>
        <v>0</v>
      </c>
      <c r="S283" s="2">
        <f t="shared" ref="S283" si="2237">R108*S108</f>
        <v>144.78</v>
      </c>
      <c r="U283" s="2">
        <f t="shared" ref="U283" si="2238">T108*U108</f>
        <v>0.63500000000000001</v>
      </c>
      <c r="W283" s="2">
        <f t="shared" ref="W283" si="2239">V108*W108</f>
        <v>12862.56</v>
      </c>
      <c r="Y283" s="2">
        <f t="shared" ref="Y283" si="2240">X108*Y108</f>
        <v>304.8</v>
      </c>
      <c r="AA283" s="2">
        <f t="shared" ref="AA283" si="2241">Z108*AA108</f>
        <v>0</v>
      </c>
      <c r="AC283" s="2">
        <f t="shared" ref="AC283" si="2242">AB108*AC108</f>
        <v>0</v>
      </c>
      <c r="AE283" s="2">
        <f t="shared" ref="AE283" si="2243">AD108*AE108</f>
        <v>0</v>
      </c>
      <c r="AG283" s="2">
        <f t="shared" ref="AG283" si="2244">AF108*AG108</f>
        <v>81.279999999999987</v>
      </c>
      <c r="AI283" s="2">
        <f t="shared" ref="AI283" si="2245">AH108*AI108</f>
        <v>0</v>
      </c>
      <c r="AK283" s="2">
        <f t="shared" ref="AK283" si="2246">AJ108*AK108</f>
        <v>4033.5200000000004</v>
      </c>
      <c r="AM283" s="2">
        <f t="shared" ref="AM283" si="2247">AL108*AM108</f>
        <v>1239.52</v>
      </c>
      <c r="AO283" s="2">
        <f t="shared" ref="AO283" si="2248">AN108*AO108</f>
        <v>20.320000000000004</v>
      </c>
      <c r="AQ283" s="2">
        <f t="shared" ref="AQ283" si="2249">AP108*AQ108</f>
        <v>0</v>
      </c>
      <c r="AS283" s="2">
        <f t="shared" ref="AS283" si="2250">AR108*AS108</f>
        <v>0</v>
      </c>
      <c r="AU283" s="2">
        <f t="shared" ref="AU283" si="2251">AT108*AU108</f>
        <v>3190.2400000000002</v>
      </c>
      <c r="AW283" s="2">
        <f t="shared" ref="AW283" si="2252">AV108*AW108</f>
        <v>27292.935000000001</v>
      </c>
      <c r="BA283" s="2">
        <f t="shared" si="1457"/>
        <v>195</v>
      </c>
      <c r="CJ283" s="2">
        <f t="shared" ref="CJ283" si="2253">CI108*CJ108</f>
        <v>7890.2559999999994</v>
      </c>
      <c r="CO283" s="2">
        <f t="shared" si="1459"/>
        <v>4233.6719999999996</v>
      </c>
      <c r="CT283" s="2">
        <f t="shared" si="1460"/>
        <v>9.1440000000000001</v>
      </c>
      <c r="CX283" s="2">
        <f t="shared" si="1461"/>
        <v>12133.072000000002</v>
      </c>
    </row>
    <row r="284" spans="1:102" x14ac:dyDescent="0.25">
      <c r="A284" s="2">
        <v>1956</v>
      </c>
      <c r="C284" s="2">
        <f t="shared" si="1435"/>
        <v>3298.9519999999998</v>
      </c>
      <c r="E284" s="2">
        <f t="shared" si="1435"/>
        <v>0</v>
      </c>
      <c r="G284" s="2">
        <f t="shared" ref="G284:I284" si="2254">F109*G109</f>
        <v>0</v>
      </c>
      <c r="I284" s="2">
        <f t="shared" si="2254"/>
        <v>0</v>
      </c>
      <c r="K284" s="2">
        <f t="shared" ref="K284" si="2255">J109*K109</f>
        <v>0</v>
      </c>
      <c r="M284" s="2">
        <f t="shared" ref="M284" si="2256">L109*M109</f>
        <v>1.016</v>
      </c>
      <c r="O284" s="2">
        <f t="shared" ref="O284" si="2257">N109*O109</f>
        <v>0</v>
      </c>
      <c r="Q284" s="2">
        <f t="shared" ref="Q284" si="2258">P109*Q109</f>
        <v>7.3660000000000003E-2</v>
      </c>
      <c r="S284" s="2">
        <f t="shared" ref="S284" si="2259">R109*S109</f>
        <v>82.296000000000006</v>
      </c>
      <c r="U284" s="2">
        <f t="shared" ref="U284" si="2260">T109*U109</f>
        <v>61.975999999999992</v>
      </c>
      <c r="W284" s="2">
        <f t="shared" ref="W284" si="2261">V109*W109</f>
        <v>13384.783999999998</v>
      </c>
      <c r="Y284" s="2">
        <f t="shared" ref="Y284" si="2262">X109*Y109</f>
        <v>267.20800000000003</v>
      </c>
      <c r="AA284" s="2">
        <f t="shared" ref="AA284" si="2263">Z109*AA109</f>
        <v>0</v>
      </c>
      <c r="AC284" s="2">
        <f t="shared" ref="AC284" si="2264">AB109*AC109</f>
        <v>0</v>
      </c>
      <c r="AE284" s="2">
        <f t="shared" ref="AE284" si="2265">AD109*AE109</f>
        <v>0</v>
      </c>
      <c r="AG284" s="2">
        <f t="shared" ref="AG284" si="2266">AF109*AG109</f>
        <v>277.36799999999994</v>
      </c>
      <c r="AI284" s="2">
        <f t="shared" ref="AI284" si="2267">AH109*AI109</f>
        <v>0</v>
      </c>
      <c r="AK284" s="2">
        <f t="shared" ref="AK284" si="2268">AJ109*AK109</f>
        <v>4691.8879999999999</v>
      </c>
      <c r="AM284" s="2">
        <f t="shared" ref="AM284" si="2269">AL109*AM109</f>
        <v>913.3839999999999</v>
      </c>
      <c r="AO284" s="2">
        <f t="shared" ref="AO284" si="2270">AN109*AO109</f>
        <v>0</v>
      </c>
      <c r="AQ284" s="2">
        <f t="shared" ref="AQ284" si="2271">AP109*AQ109</f>
        <v>0</v>
      </c>
      <c r="AS284" s="2">
        <f t="shared" ref="AS284" si="2272">AR109*AS109</f>
        <v>0</v>
      </c>
      <c r="AU284" s="2">
        <f t="shared" ref="AU284" si="2273">AT109*AU109</f>
        <v>4333.24</v>
      </c>
      <c r="AW284" s="2">
        <f t="shared" ref="AW284" si="2274">AV109*AW109</f>
        <v>27312.185659999996</v>
      </c>
      <c r="BA284" s="2">
        <f t="shared" si="1457"/>
        <v>0</v>
      </c>
      <c r="CJ284" s="2">
        <f t="shared" ref="CJ284" si="2275">CI109*CJ109</f>
        <v>8509</v>
      </c>
      <c r="CO284" s="2">
        <f t="shared" si="1459"/>
        <v>15919.704</v>
      </c>
      <c r="CT284" s="2">
        <f t="shared" si="1460"/>
        <v>5.08</v>
      </c>
      <c r="CX284" s="2">
        <f t="shared" si="1461"/>
        <v>24433.784</v>
      </c>
    </row>
    <row r="285" spans="1:102" x14ac:dyDescent="0.25">
      <c r="A285" s="2">
        <v>1957</v>
      </c>
      <c r="C285" s="2">
        <f t="shared" si="1435"/>
        <v>2242.0072</v>
      </c>
      <c r="E285" s="2">
        <f t="shared" si="1435"/>
        <v>0</v>
      </c>
      <c r="G285" s="2">
        <f t="shared" ref="G285:I285" si="2276">F110*G110</f>
        <v>0</v>
      </c>
      <c r="I285" s="2">
        <f t="shared" si="2276"/>
        <v>0</v>
      </c>
      <c r="K285" s="2">
        <f t="shared" ref="K285" si="2277">J110*K110</f>
        <v>0</v>
      </c>
      <c r="M285" s="2">
        <f t="shared" ref="M285" si="2278">L110*M110</f>
        <v>0</v>
      </c>
      <c r="O285" s="2">
        <f t="shared" ref="O285" si="2279">N110*O110</f>
        <v>0</v>
      </c>
      <c r="Q285" s="2">
        <f t="shared" ref="Q285" si="2280">P110*Q110</f>
        <v>0</v>
      </c>
      <c r="S285" s="2">
        <f t="shared" ref="S285" si="2281">R110*S110</f>
        <v>10.871200000000002</v>
      </c>
      <c r="U285" s="2">
        <f t="shared" ref="U285" si="2282">T110*U110</f>
        <v>34.239200000000004</v>
      </c>
      <c r="W285" s="2">
        <f t="shared" ref="W285" si="2283">V110*W110</f>
        <v>10415.422399999999</v>
      </c>
      <c r="Y285" s="2">
        <f t="shared" ref="Y285" si="2284">X110*Y110</f>
        <v>425.39920000000012</v>
      </c>
      <c r="AA285" s="2">
        <f t="shared" ref="AA285" si="2285">Z110*AA110</f>
        <v>0</v>
      </c>
      <c r="AC285" s="2">
        <f t="shared" ref="AC285" si="2286">AB110*AC110</f>
        <v>0</v>
      </c>
      <c r="AE285" s="2">
        <f t="shared" ref="AE285" si="2287">AD110*AE110</f>
        <v>0</v>
      </c>
      <c r="AG285" s="2">
        <f t="shared" ref="AG285" si="2288">AF110*AG110</f>
        <v>119.88799999999999</v>
      </c>
      <c r="AI285" s="2">
        <f t="shared" ref="AI285" si="2289">AH110*AI110</f>
        <v>0</v>
      </c>
      <c r="AK285" s="2">
        <f t="shared" ref="AK285" si="2290">AJ110*AK110</f>
        <v>2580.9447999999998</v>
      </c>
      <c r="AM285" s="2">
        <f t="shared" ref="AM285" si="2291">AL110*AM110</f>
        <v>906.88160000000005</v>
      </c>
      <c r="AO285" s="2">
        <f t="shared" ref="AO285" si="2292">AN110*AO110</f>
        <v>1168.1967999999999</v>
      </c>
      <c r="AQ285" s="2">
        <f t="shared" ref="AQ285" si="2293">AP110*AQ110</f>
        <v>0</v>
      </c>
      <c r="AS285" s="2">
        <f t="shared" ref="AS285" si="2294">AR110*AS110</f>
        <v>0</v>
      </c>
      <c r="AU285" s="2">
        <f t="shared" ref="AU285" si="2295">AT110*AU110</f>
        <v>3539.0327999999995</v>
      </c>
      <c r="AW285" s="2">
        <f t="shared" ref="AW285" si="2296">AV110*AW110</f>
        <v>21442.8832</v>
      </c>
      <c r="BA285" s="2">
        <f t="shared" si="1457"/>
        <v>33.020000000000003</v>
      </c>
      <c r="CJ285" s="2">
        <f t="shared" ref="CJ285" si="2297">CI110*CJ110</f>
        <v>3450.3360000000007</v>
      </c>
      <c r="CO285" s="2">
        <f t="shared" si="1459"/>
        <v>15060.167999999998</v>
      </c>
      <c r="CT285" s="2">
        <f t="shared" si="1460"/>
        <v>0</v>
      </c>
      <c r="CX285" s="2">
        <f t="shared" si="1461"/>
        <v>18510.503999999997</v>
      </c>
    </row>
    <row r="286" spans="1:102" x14ac:dyDescent="0.25">
      <c r="A286" s="2">
        <v>1958</v>
      </c>
      <c r="C286" s="2">
        <f t="shared" si="1435"/>
        <v>2116.328</v>
      </c>
      <c r="E286" s="2">
        <f t="shared" si="1435"/>
        <v>0</v>
      </c>
      <c r="G286" s="2">
        <f t="shared" ref="G286:I286" si="2298">F111*G111</f>
        <v>0</v>
      </c>
      <c r="I286" s="2">
        <f t="shared" si="2298"/>
        <v>0</v>
      </c>
      <c r="K286" s="2">
        <f t="shared" ref="K286" si="2299">J111*K111</f>
        <v>0</v>
      </c>
      <c r="M286" s="2">
        <f t="shared" ref="M286" si="2300">L111*M111</f>
        <v>0</v>
      </c>
      <c r="O286" s="2">
        <f t="shared" ref="O286" si="2301">N111*O111</f>
        <v>0</v>
      </c>
      <c r="Q286" s="2">
        <f t="shared" ref="Q286" si="2302">P111*Q111</f>
        <v>0</v>
      </c>
      <c r="S286" s="2">
        <f t="shared" ref="S286" si="2303">R111*S111</f>
        <v>73.152000000000015</v>
      </c>
      <c r="U286" s="2">
        <f t="shared" ref="U286" si="2304">T111*U111</f>
        <v>94.488000000000014</v>
      </c>
      <c r="W286" s="2">
        <f t="shared" ref="W286" si="2305">V111*W111</f>
        <v>13038.328000000001</v>
      </c>
      <c r="Y286" s="2">
        <f t="shared" ref="Y286" si="2306">X111*Y111</f>
        <v>344.42400000000004</v>
      </c>
      <c r="AA286" s="2">
        <f t="shared" ref="AA286" si="2307">Z111*AA111</f>
        <v>0</v>
      </c>
      <c r="AC286" s="2">
        <f t="shared" ref="AC286" si="2308">AB111*AC111</f>
        <v>0</v>
      </c>
      <c r="AE286" s="2">
        <f t="shared" ref="AE286" si="2309">AD111*AE111</f>
        <v>0</v>
      </c>
      <c r="AG286" s="2">
        <f t="shared" ref="AG286" si="2310">AF111*AG111</f>
        <v>132.08000000000001</v>
      </c>
      <c r="AI286" s="2">
        <f t="shared" ref="AI286" si="2311">AH111*AI111</f>
        <v>0</v>
      </c>
      <c r="AK286" s="2">
        <f t="shared" ref="AK286" si="2312">AJ111*AK111</f>
        <v>2228.0880000000002</v>
      </c>
      <c r="AM286" s="2">
        <f t="shared" ref="AM286" si="2313">AL111*AM111</f>
        <v>1818.6399999999999</v>
      </c>
      <c r="AO286" s="2">
        <f t="shared" ref="AO286" si="2314">AN111*AO111</f>
        <v>624.83999999999992</v>
      </c>
      <c r="AQ286" s="2">
        <f t="shared" ref="AQ286" si="2315">AP111*AQ111</f>
        <v>0</v>
      </c>
      <c r="AS286" s="2">
        <f t="shared" ref="AS286" si="2316">AR111*AS111</f>
        <v>14.224000000000002</v>
      </c>
      <c r="AU286" s="2">
        <f t="shared" ref="AU286" si="2317">AT111*AU111</f>
        <v>3835.3999999999996</v>
      </c>
      <c r="AW286" s="2">
        <f t="shared" ref="AW286" si="2318">AV111*AW111</f>
        <v>24319.991999999998</v>
      </c>
      <c r="BA286" s="2">
        <f t="shared" si="1457"/>
        <v>0</v>
      </c>
      <c r="CJ286" s="2">
        <f t="shared" ref="CJ286" si="2319">CI111*CJ111</f>
        <v>821.94400000000007</v>
      </c>
      <c r="CO286" s="2">
        <f t="shared" si="1459"/>
        <v>8680.7039999999997</v>
      </c>
      <c r="CT286" s="2">
        <f t="shared" si="1460"/>
        <v>0</v>
      </c>
      <c r="CX286" s="2">
        <f t="shared" si="1461"/>
        <v>9502.6479999999992</v>
      </c>
    </row>
    <row r="287" spans="1:102" x14ac:dyDescent="0.25">
      <c r="A287" s="2">
        <v>1959</v>
      </c>
      <c r="C287" s="2">
        <f t="shared" si="1435"/>
        <v>708.86320000000001</v>
      </c>
      <c r="E287" s="2">
        <f t="shared" si="1435"/>
        <v>0</v>
      </c>
      <c r="G287" s="2">
        <f t="shared" ref="G287:I287" si="2320">F112*G112</f>
        <v>0</v>
      </c>
      <c r="I287" s="2">
        <f t="shared" si="2320"/>
        <v>0</v>
      </c>
      <c r="K287" s="2">
        <f t="shared" ref="K287" si="2321">J112*K112</f>
        <v>0</v>
      </c>
      <c r="M287" s="2">
        <f t="shared" ref="M287" si="2322">L112*M112</f>
        <v>0</v>
      </c>
      <c r="O287" s="2">
        <f t="shared" ref="O287" si="2323">N112*O112</f>
        <v>0</v>
      </c>
      <c r="Q287" s="2">
        <f t="shared" ref="Q287" si="2324">P112*Q112</f>
        <v>36.982400000000005</v>
      </c>
      <c r="S287" s="2">
        <f t="shared" ref="S287" si="2325">R112*S112</f>
        <v>176.78399999999999</v>
      </c>
      <c r="U287" s="2">
        <f t="shared" ref="U287" si="2326">T112*U112</f>
        <v>0</v>
      </c>
      <c r="W287" s="2">
        <f t="shared" ref="W287" si="2327">V112*W112</f>
        <v>12065.8128</v>
      </c>
      <c r="Y287" s="2">
        <f t="shared" ref="Y287" si="2328">X112*Y112</f>
        <v>336.80400000000003</v>
      </c>
      <c r="AA287" s="2">
        <f t="shared" ref="AA287" si="2329">Z112*AA112</f>
        <v>0</v>
      </c>
      <c r="AC287" s="2">
        <f t="shared" ref="AC287" si="2330">AB112*AC112</f>
        <v>0</v>
      </c>
      <c r="AE287" s="2">
        <f t="shared" ref="AE287" si="2331">AD112*AE112</f>
        <v>0</v>
      </c>
      <c r="AG287" s="2">
        <f t="shared" ref="AG287" si="2332">AF112*AG112</f>
        <v>122.1232</v>
      </c>
      <c r="AI287" s="2">
        <f t="shared" ref="AI287" si="2333">AH112*AI112</f>
        <v>0</v>
      </c>
      <c r="AK287" s="2">
        <f t="shared" ref="AK287" si="2334">AJ112*AK112</f>
        <v>1470.2536</v>
      </c>
      <c r="AM287" s="2">
        <f t="shared" ref="AM287" si="2335">AL112*AM112</f>
        <v>412.90239999999994</v>
      </c>
      <c r="AO287" s="2">
        <f t="shared" ref="AO287" si="2336">AN112*AO112</f>
        <v>1446.3776000000003</v>
      </c>
      <c r="AQ287" s="2">
        <f t="shared" ref="AQ287" si="2337">AP112*AQ112</f>
        <v>0</v>
      </c>
      <c r="AS287" s="2">
        <f t="shared" ref="AS287" si="2338">AR112*AS112</f>
        <v>5.3847999999999994</v>
      </c>
      <c r="AU287" s="2">
        <f t="shared" ref="AU287" si="2339">AT112*AU112</f>
        <v>853.8463999999999</v>
      </c>
      <c r="AW287" s="2">
        <f t="shared" ref="AW287" si="2340">AV112*AW112</f>
        <v>17636.134399999999</v>
      </c>
      <c r="BA287" s="2">
        <f t="shared" si="1457"/>
        <v>0</v>
      </c>
      <c r="CJ287" s="2">
        <f t="shared" ref="CJ287" si="2341">CI112*CJ112</f>
        <v>1529.08</v>
      </c>
      <c r="CO287" s="2">
        <f t="shared" si="1459"/>
        <v>16166.592000000001</v>
      </c>
      <c r="CT287" s="2">
        <f t="shared" si="1460"/>
        <v>0</v>
      </c>
      <c r="CX287" s="2">
        <f t="shared" si="1461"/>
        <v>17695.671999999999</v>
      </c>
    </row>
    <row r="288" spans="1:102" x14ac:dyDescent="0.25">
      <c r="A288" s="2">
        <v>1960</v>
      </c>
      <c r="C288" s="2">
        <f t="shared" si="1435"/>
        <v>890.82880000000011</v>
      </c>
      <c r="E288" s="2">
        <f t="shared" si="1435"/>
        <v>0</v>
      </c>
      <c r="G288" s="2">
        <f t="shared" ref="G288:I288" si="2342">F113*G113</f>
        <v>0</v>
      </c>
      <c r="I288" s="2">
        <f t="shared" si="2342"/>
        <v>0</v>
      </c>
      <c r="K288" s="2">
        <f t="shared" ref="K288" si="2343">J113*K113</f>
        <v>0</v>
      </c>
      <c r="M288" s="2">
        <f t="shared" ref="M288" si="2344">L113*M113</f>
        <v>0</v>
      </c>
      <c r="O288" s="2">
        <f t="shared" ref="O288" si="2345">N113*O113</f>
        <v>0</v>
      </c>
      <c r="Q288" s="2">
        <f t="shared" ref="Q288" si="2346">P113*Q113</f>
        <v>0</v>
      </c>
      <c r="S288" s="2">
        <f t="shared" ref="S288" si="2347">R113*S113</f>
        <v>5.1816000000000004</v>
      </c>
      <c r="U288" s="2">
        <f t="shared" ref="U288" si="2348">T113*U113</f>
        <v>2.9464000000000006</v>
      </c>
      <c r="W288" s="2">
        <f t="shared" ref="W288" si="2349">V113*W113</f>
        <v>9561.5760000000009</v>
      </c>
      <c r="Y288" s="2">
        <f t="shared" ref="Y288" si="2350">X113*Y113</f>
        <v>643.12800000000004</v>
      </c>
      <c r="AA288" s="2">
        <f t="shared" ref="AA288" si="2351">Z113*AA113</f>
        <v>0</v>
      </c>
      <c r="AC288" s="2">
        <f t="shared" ref="AC288" si="2352">AB113*AC113</f>
        <v>0</v>
      </c>
      <c r="AE288" s="2">
        <f t="shared" ref="AE288" si="2353">AD113*AE113</f>
        <v>0</v>
      </c>
      <c r="AG288" s="2">
        <f t="shared" ref="AG288" si="2354">AF113*AG113</f>
        <v>34.239200000000004</v>
      </c>
      <c r="AI288" s="2">
        <f t="shared" ref="AI288" si="2355">AH113*AI113</f>
        <v>0</v>
      </c>
      <c r="AK288" s="2">
        <f t="shared" ref="AK288" si="2356">AJ113*AK113</f>
        <v>2417.1655999999998</v>
      </c>
      <c r="AM288" s="2">
        <f t="shared" ref="AM288" si="2357">AL113*AM113</f>
        <v>2488.9968000000003</v>
      </c>
      <c r="AO288" s="2">
        <f t="shared" ref="AO288" si="2358">AN113*AO113</f>
        <v>1859.7880000000002</v>
      </c>
      <c r="AQ288" s="2">
        <f t="shared" ref="AQ288" si="2359">AP113*AQ113</f>
        <v>0</v>
      </c>
      <c r="AS288" s="2">
        <f t="shared" ref="AS288" si="2360">AR113*AS113</f>
        <v>0</v>
      </c>
      <c r="AU288" s="2">
        <f t="shared" ref="AU288" si="2361">AT113*AU113</f>
        <v>4730.6992</v>
      </c>
      <c r="AW288" s="2">
        <f t="shared" ref="AW288" si="2362">AV113*AW113</f>
        <v>22634.549600000002</v>
      </c>
      <c r="BA288" s="2">
        <f t="shared" si="1457"/>
        <v>0</v>
      </c>
      <c r="CJ288" s="2">
        <f t="shared" ref="CJ288" si="2363">CI113*CJ113</f>
        <v>1275.0800000000002</v>
      </c>
      <c r="CO288" s="2">
        <f t="shared" si="1459"/>
        <v>17981.167999999998</v>
      </c>
      <c r="CT288" s="2">
        <f t="shared" si="1460"/>
        <v>0</v>
      </c>
      <c r="CX288" s="2">
        <f t="shared" si="1461"/>
        <v>19256.248</v>
      </c>
    </row>
    <row r="289" spans="1:102" x14ac:dyDescent="0.25">
      <c r="A289" s="2">
        <v>1961</v>
      </c>
      <c r="C289" s="2">
        <f t="shared" si="1435"/>
        <v>1175.8168000000001</v>
      </c>
      <c r="E289" s="2">
        <f t="shared" si="1435"/>
        <v>0</v>
      </c>
      <c r="G289" s="2">
        <f t="shared" ref="G289:I289" si="2364">F114*G114</f>
        <v>0</v>
      </c>
      <c r="I289" s="2">
        <f t="shared" si="2364"/>
        <v>0</v>
      </c>
      <c r="K289" s="2">
        <f t="shared" ref="K289" si="2365">J114*K114</f>
        <v>0</v>
      </c>
      <c r="M289" s="2">
        <f t="shared" ref="M289" si="2366">L114*M114</f>
        <v>0</v>
      </c>
      <c r="O289" s="2">
        <f t="shared" ref="O289" si="2367">N114*O114</f>
        <v>0</v>
      </c>
      <c r="Q289" s="2">
        <f t="shared" ref="Q289" si="2368">P114*Q114</f>
        <v>0</v>
      </c>
      <c r="S289" s="2">
        <f t="shared" ref="S289" si="2369">R114*S114</f>
        <v>9.4488000000000021</v>
      </c>
      <c r="U289" s="2">
        <f t="shared" ref="U289" si="2370">T114*U114</f>
        <v>25.704800000000002</v>
      </c>
      <c r="W289" s="2">
        <f t="shared" ref="W289" si="2371">V114*W114</f>
        <v>8155.9400000000014</v>
      </c>
      <c r="Y289" s="2">
        <f t="shared" ref="Y289" si="2372">X114*Y114</f>
        <v>769.82320000000004</v>
      </c>
      <c r="AA289" s="2">
        <f t="shared" ref="AA289" si="2373">Z114*AA114</f>
        <v>0</v>
      </c>
      <c r="AC289" s="2">
        <f t="shared" ref="AC289" si="2374">AB114*AC114</f>
        <v>0</v>
      </c>
      <c r="AE289" s="2">
        <f t="shared" ref="AE289" si="2375">AD114*AE114</f>
        <v>0</v>
      </c>
      <c r="AG289" s="2">
        <f t="shared" ref="AG289" si="2376">AF114*AG114</f>
        <v>35.255199999999995</v>
      </c>
      <c r="AI289" s="2">
        <f t="shared" ref="AI289" si="2377">AH114*AI114</f>
        <v>0</v>
      </c>
      <c r="AK289" s="2">
        <f t="shared" ref="AK289" si="2378">AJ114*AK114</f>
        <v>1419.7583999999999</v>
      </c>
      <c r="AM289" s="2">
        <f t="shared" ref="AM289" si="2379">AL114*AM114</f>
        <v>2619.9592000000002</v>
      </c>
      <c r="AO289" s="2">
        <f t="shared" ref="AO289" si="2380">AN114*AO114</f>
        <v>1136.4975999999999</v>
      </c>
      <c r="AQ289" s="2">
        <f t="shared" ref="AQ289" si="2381">AP114*AQ114</f>
        <v>0</v>
      </c>
      <c r="AS289" s="2">
        <f t="shared" ref="AS289" si="2382">AR114*AS114</f>
        <v>2.032</v>
      </c>
      <c r="AU289" s="2">
        <f t="shared" ref="AU289" si="2383">AT114*AU114</f>
        <v>2235.3015999999998</v>
      </c>
      <c r="AW289" s="2">
        <f t="shared" ref="AW289" si="2384">AV114*AW114</f>
        <v>17585.537600000003</v>
      </c>
      <c r="BA289" s="2">
        <f t="shared" si="1457"/>
        <v>0</v>
      </c>
      <c r="CJ289" s="2">
        <f t="shared" ref="CJ289" si="2385">CI114*CJ114</f>
        <v>1194.8160000000003</v>
      </c>
      <c r="CO289" s="2">
        <f t="shared" si="1459"/>
        <v>22274.784000000003</v>
      </c>
      <c r="CT289" s="2">
        <f t="shared" si="1460"/>
        <v>0</v>
      </c>
      <c r="CX289" s="2">
        <f t="shared" si="1461"/>
        <v>23469.600000000002</v>
      </c>
    </row>
    <row r="290" spans="1:102" x14ac:dyDescent="0.25">
      <c r="A290" s="2">
        <v>1962</v>
      </c>
      <c r="C290" s="2">
        <f t="shared" si="1435"/>
        <v>852.83040000000005</v>
      </c>
      <c r="E290" s="2">
        <f t="shared" si="1435"/>
        <v>0</v>
      </c>
      <c r="G290" s="2">
        <f t="shared" ref="G290:I290" si="2386">F115*G115</f>
        <v>0</v>
      </c>
      <c r="I290" s="2">
        <f t="shared" si="2386"/>
        <v>0</v>
      </c>
      <c r="K290" s="2">
        <f t="shared" ref="K290" si="2387">J115*K115</f>
        <v>0</v>
      </c>
      <c r="M290" s="2">
        <f t="shared" ref="M290" si="2388">L115*M115</f>
        <v>0</v>
      </c>
      <c r="O290" s="2">
        <f t="shared" ref="O290" si="2389">N115*O115</f>
        <v>0</v>
      </c>
      <c r="Q290" s="2">
        <f t="shared" ref="Q290" si="2390">P115*Q115</f>
        <v>0</v>
      </c>
      <c r="S290" s="2">
        <f t="shared" ref="S290" si="2391">R115*S115</f>
        <v>0</v>
      </c>
      <c r="U290" s="2">
        <f t="shared" ref="U290" si="2392">T115*U115</f>
        <v>0</v>
      </c>
      <c r="W290" s="2">
        <f t="shared" ref="W290" si="2393">V115*W115</f>
        <v>9909.5560000000005</v>
      </c>
      <c r="Y290" s="2">
        <f t="shared" ref="Y290" si="2394">X115*Y115</f>
        <v>1046.3784000000001</v>
      </c>
      <c r="AA290" s="2">
        <f t="shared" ref="AA290" si="2395">Z115*AA115</f>
        <v>0</v>
      </c>
      <c r="AC290" s="2">
        <f t="shared" ref="AC290" si="2396">AB115*AC115</f>
        <v>0</v>
      </c>
      <c r="AE290" s="2">
        <f t="shared" ref="AE290" si="2397">AD115*AE115</f>
        <v>0</v>
      </c>
      <c r="AG290" s="2">
        <f t="shared" ref="AG290" si="2398">AF115*AG115</f>
        <v>52.730399999999996</v>
      </c>
      <c r="AI290" s="2">
        <f t="shared" ref="AI290" si="2399">AH115*AI115</f>
        <v>0</v>
      </c>
      <c r="AK290" s="2">
        <f t="shared" ref="AK290" si="2400">AJ115*AK115</f>
        <v>1027.5824</v>
      </c>
      <c r="AM290" s="2">
        <f t="shared" ref="AM290" si="2401">AL115*AM115</f>
        <v>2369.4136000000003</v>
      </c>
      <c r="AO290" s="2">
        <f t="shared" ref="AO290" si="2402">AN115*AO115</f>
        <v>2692.2983999999997</v>
      </c>
      <c r="AQ290" s="2">
        <f t="shared" ref="AQ290" si="2403">AP115*AQ115</f>
        <v>0</v>
      </c>
      <c r="AS290" s="2">
        <f t="shared" ref="AS290" si="2404">AR115*AS115</f>
        <v>0</v>
      </c>
      <c r="AU290" s="2">
        <f t="shared" ref="AU290" si="2405">AT115*AU115</f>
        <v>3589.3248000000003</v>
      </c>
      <c r="AW290" s="2">
        <f t="shared" ref="AW290" si="2406">AV115*AW115</f>
        <v>21540.114399999999</v>
      </c>
      <c r="BA290" s="2">
        <f t="shared" si="1457"/>
        <v>726.44</v>
      </c>
      <c r="CJ290" s="2">
        <f t="shared" ref="CJ290" si="2407">CI115*CJ115</f>
        <v>1383.7919999999999</v>
      </c>
      <c r="CO290" s="2">
        <f t="shared" si="1459"/>
        <v>31480.760000000006</v>
      </c>
      <c r="CT290" s="2">
        <f t="shared" si="1460"/>
        <v>0</v>
      </c>
      <c r="CX290" s="2">
        <f t="shared" si="1461"/>
        <v>32864.552000000003</v>
      </c>
    </row>
    <row r="291" spans="1:102" x14ac:dyDescent="0.25">
      <c r="A291" s="2">
        <v>1963</v>
      </c>
      <c r="C291" s="2">
        <f t="shared" si="1435"/>
        <v>1798.7264</v>
      </c>
      <c r="E291" s="2">
        <f t="shared" si="1435"/>
        <v>0</v>
      </c>
      <c r="G291" s="2">
        <f t="shared" ref="G291:I291" si="2408">F116*G116</f>
        <v>0</v>
      </c>
      <c r="I291" s="2">
        <f t="shared" si="2408"/>
        <v>0</v>
      </c>
      <c r="K291" s="2">
        <f t="shared" ref="K291" si="2409">J116*K116</f>
        <v>0</v>
      </c>
      <c r="M291" s="2">
        <f t="shared" ref="M291" si="2410">L116*M116</f>
        <v>1.4224000000000003</v>
      </c>
      <c r="O291" s="2">
        <f t="shared" ref="O291" si="2411">N116*O116</f>
        <v>0</v>
      </c>
      <c r="Q291" s="2">
        <f t="shared" ref="Q291" si="2412">P116*Q116</f>
        <v>0</v>
      </c>
      <c r="S291" s="2">
        <f t="shared" ref="S291" si="2413">R116*S116</f>
        <v>3153.1559999999995</v>
      </c>
      <c r="U291" s="2">
        <f t="shared" ref="U291" si="2414">T116*U116</f>
        <v>0</v>
      </c>
      <c r="W291" s="2">
        <f t="shared" ref="W291" si="2415">V116*W116</f>
        <v>9950.7039999999997</v>
      </c>
      <c r="Y291" s="2">
        <f t="shared" ref="Y291" si="2416">X116*Y116</f>
        <v>1862.9376000000002</v>
      </c>
      <c r="AA291" s="2">
        <f t="shared" ref="AA291" si="2417">Z116*AA116</f>
        <v>0</v>
      </c>
      <c r="AC291" s="2">
        <f t="shared" ref="AC291" si="2418">AB116*AC116</f>
        <v>0</v>
      </c>
      <c r="AE291" s="2">
        <f t="shared" ref="AE291" si="2419">AD116*AE116</f>
        <v>0</v>
      </c>
      <c r="AG291" s="2">
        <f t="shared" ref="AG291" si="2420">AF116*AG116</f>
        <v>269.84960000000007</v>
      </c>
      <c r="AI291" s="2">
        <f t="shared" ref="AI291" si="2421">AH116*AI116</f>
        <v>0</v>
      </c>
      <c r="AK291" s="2">
        <f t="shared" ref="AK291" si="2422">AJ116*AK116</f>
        <v>948.94399999999996</v>
      </c>
      <c r="AM291" s="2">
        <f t="shared" ref="AM291" si="2423">AL116*AM116</f>
        <v>1925.9295999999999</v>
      </c>
      <c r="AO291" s="2">
        <f t="shared" ref="AO291" si="2424">AN116*AO116</f>
        <v>1666.0368000000001</v>
      </c>
      <c r="AQ291" s="2">
        <f t="shared" ref="AQ291" si="2425">AP116*AQ116</f>
        <v>0</v>
      </c>
      <c r="AS291" s="2">
        <f t="shared" ref="AS291" si="2426">AR116*AS116</f>
        <v>9.9568000000000012</v>
      </c>
      <c r="AU291" s="2">
        <f t="shared" ref="AU291" si="2427">AT116*AU116</f>
        <v>3778.6055999999999</v>
      </c>
      <c r="AW291" s="2">
        <f t="shared" ref="AW291" si="2428">AV116*AW116</f>
        <v>25366.268800000002</v>
      </c>
      <c r="BA291" s="2">
        <f t="shared" si="1457"/>
        <v>990.6</v>
      </c>
      <c r="CJ291" s="2">
        <f t="shared" ref="CJ291" si="2429">CI116*CJ116</f>
        <v>2907.7920000000004</v>
      </c>
      <c r="CO291" s="2">
        <f t="shared" si="1459"/>
        <v>36851.335999999996</v>
      </c>
      <c r="CT291" s="2">
        <f t="shared" si="1460"/>
        <v>9.1440000000000001</v>
      </c>
      <c r="CX291" s="2">
        <f t="shared" si="1461"/>
        <v>39768.271999999997</v>
      </c>
    </row>
    <row r="292" spans="1:102" x14ac:dyDescent="0.25">
      <c r="A292" s="2">
        <v>1964</v>
      </c>
      <c r="C292" s="2">
        <f t="shared" si="1435"/>
        <v>2622.2959999999998</v>
      </c>
      <c r="E292" s="2">
        <f t="shared" si="1435"/>
        <v>0</v>
      </c>
      <c r="G292" s="2">
        <f t="shared" ref="G292:I292" si="2430">F117*G117</f>
        <v>0</v>
      </c>
      <c r="I292" s="2">
        <f t="shared" si="2430"/>
        <v>0</v>
      </c>
      <c r="K292" s="2">
        <f t="shared" ref="K292" si="2431">J117*K117</f>
        <v>0</v>
      </c>
      <c r="M292" s="2">
        <f t="shared" ref="M292" si="2432">L117*M117</f>
        <v>2.54</v>
      </c>
      <c r="O292" s="2">
        <f t="shared" ref="O292" si="2433">N117*O117</f>
        <v>0</v>
      </c>
      <c r="Q292" s="2">
        <f t="shared" ref="Q292" si="2434">P117*Q117</f>
        <v>0</v>
      </c>
      <c r="S292" s="2">
        <f t="shared" ref="S292" si="2435">R117*S117</f>
        <v>23338.028000000002</v>
      </c>
      <c r="U292" s="2">
        <f t="shared" ref="U292" si="2436">T117*U117</f>
        <v>2.3367999999999998</v>
      </c>
      <c r="W292" s="2">
        <f t="shared" ref="W292" si="2437">V117*W117</f>
        <v>15684.7032</v>
      </c>
      <c r="Y292" s="2">
        <f t="shared" ref="Y292" si="2438">X117*Y117</f>
        <v>1014.3743999999999</v>
      </c>
      <c r="AA292" s="2">
        <f t="shared" ref="AA292" si="2439">Z117*AA117</f>
        <v>0</v>
      </c>
      <c r="AC292" s="2">
        <f t="shared" ref="AC292" si="2440">AB117*AC117</f>
        <v>0</v>
      </c>
      <c r="AE292" s="2">
        <f t="shared" ref="AE292" si="2441">AD117*AE117</f>
        <v>0</v>
      </c>
      <c r="AG292" s="2">
        <f t="shared" ref="AG292" si="2442">AF117*AG117</f>
        <v>213.15679999999998</v>
      </c>
      <c r="AI292" s="2">
        <f t="shared" ref="AI292" si="2443">AH117*AI117</f>
        <v>0</v>
      </c>
      <c r="AK292" s="2">
        <f t="shared" ref="AK292" si="2444">AJ117*AK117</f>
        <v>3398.3168000000001</v>
      </c>
      <c r="AM292" s="2">
        <f t="shared" ref="AM292" si="2445">AL117*AM117</f>
        <v>1445.26</v>
      </c>
      <c r="AO292" s="2">
        <f t="shared" ref="AO292" si="2446">AN117*AO117</f>
        <v>228.1936</v>
      </c>
      <c r="AQ292" s="2">
        <f t="shared" ref="AQ292" si="2447">AP117*AQ117</f>
        <v>0</v>
      </c>
      <c r="AS292" s="2">
        <f t="shared" ref="AS292" si="2448">AR117*AS117</f>
        <v>0</v>
      </c>
      <c r="AU292" s="2">
        <f t="shared" ref="AU292" si="2449">AT117*AU117</f>
        <v>20188.6312</v>
      </c>
      <c r="AW292" s="2">
        <f t="shared" ref="AW292" si="2450">AV117*AW117</f>
        <v>68137.836800000005</v>
      </c>
      <c r="BA292" s="2">
        <f t="shared" si="1457"/>
        <v>133532.88</v>
      </c>
      <c r="CJ292" s="2">
        <f t="shared" ref="CJ292" si="2451">CI117*CJ117</f>
        <v>3850.6399999999994</v>
      </c>
      <c r="CO292" s="2">
        <f t="shared" si="1459"/>
        <v>41437.560000000005</v>
      </c>
      <c r="CT292" s="2">
        <f t="shared" si="1460"/>
        <v>67.056000000000012</v>
      </c>
      <c r="CX292" s="2">
        <f t="shared" si="1461"/>
        <v>45355.256000000001</v>
      </c>
    </row>
    <row r="293" spans="1:102" x14ac:dyDescent="0.25">
      <c r="A293" s="2">
        <v>1965</v>
      </c>
      <c r="C293" s="2">
        <f t="shared" si="1435"/>
        <v>1121.664</v>
      </c>
      <c r="E293" s="2">
        <f t="shared" si="1435"/>
        <v>0</v>
      </c>
      <c r="G293" s="2">
        <f t="shared" ref="G293:I293" si="2452">F118*G118</f>
        <v>0</v>
      </c>
      <c r="I293" s="2">
        <f t="shared" si="2452"/>
        <v>0</v>
      </c>
      <c r="K293" s="2">
        <f t="shared" ref="K293" si="2453">J118*K118</f>
        <v>0</v>
      </c>
      <c r="M293" s="2">
        <f t="shared" ref="M293" si="2454">L118*M118</f>
        <v>0</v>
      </c>
      <c r="O293" s="2">
        <f t="shared" ref="O293" si="2455">N118*O118</f>
        <v>0</v>
      </c>
      <c r="Q293" s="2">
        <f t="shared" ref="Q293" si="2456">P118*Q118</f>
        <v>0</v>
      </c>
      <c r="S293" s="2">
        <f t="shared" ref="S293" si="2457">R118*S118</f>
        <v>31172.810399999998</v>
      </c>
      <c r="U293" s="2">
        <f t="shared" ref="U293" si="2458">T118*U118</f>
        <v>0.60960000000000003</v>
      </c>
      <c r="W293" s="2">
        <f t="shared" ref="W293" si="2459">V118*W118</f>
        <v>16642.1816</v>
      </c>
      <c r="Y293" s="2">
        <f t="shared" ref="Y293" si="2460">X118*Y118</f>
        <v>760.7808</v>
      </c>
      <c r="AA293" s="2">
        <f t="shared" ref="AA293" si="2461">Z118*AA118</f>
        <v>0</v>
      </c>
      <c r="AC293" s="2">
        <f t="shared" ref="AC293" si="2462">AB118*AC118</f>
        <v>0</v>
      </c>
      <c r="AE293" s="2">
        <f t="shared" ref="AE293" si="2463">AD118*AE118</f>
        <v>0</v>
      </c>
      <c r="AG293" s="2">
        <f t="shared" ref="AG293" si="2464">AF118*AG118</f>
        <v>132.08000000000001</v>
      </c>
      <c r="AI293" s="2">
        <f t="shared" ref="AI293" si="2465">AH118*AI118</f>
        <v>0</v>
      </c>
      <c r="AK293" s="2">
        <f t="shared" ref="AK293" si="2466">AJ118*AK118</f>
        <v>3514.6487999999999</v>
      </c>
      <c r="AM293" s="2">
        <f t="shared" ref="AM293" si="2467">AL118*AM118</f>
        <v>212.2424</v>
      </c>
      <c r="AO293" s="2">
        <f t="shared" ref="AO293" si="2468">AN118*AO118</f>
        <v>84.734399999999994</v>
      </c>
      <c r="AQ293" s="2">
        <f t="shared" ref="AQ293" si="2469">AP118*AQ118</f>
        <v>0</v>
      </c>
      <c r="AS293" s="2">
        <f t="shared" ref="AS293" si="2470">AR118*AS118</f>
        <v>8.7375999999999987</v>
      </c>
      <c r="AU293" s="2">
        <f t="shared" ref="AU293" si="2471">AT118*AU118</f>
        <v>60516.414400000001</v>
      </c>
      <c r="AW293" s="2">
        <f t="shared" ref="AW293" si="2472">AV118*AW118</f>
        <v>114166.90400000001</v>
      </c>
      <c r="BA293" s="2">
        <f t="shared" si="1457"/>
        <v>733.04399999999998</v>
      </c>
      <c r="CJ293" s="2">
        <f t="shared" ref="CJ293" si="2473">CI118*CJ118</f>
        <v>2180.3360000000002</v>
      </c>
      <c r="CO293" s="2">
        <f t="shared" si="1459"/>
        <v>45383.704000000005</v>
      </c>
      <c r="CT293" s="2">
        <f t="shared" si="1460"/>
        <v>12.192</v>
      </c>
      <c r="CX293" s="2">
        <f t="shared" si="1461"/>
        <v>47576.232000000018</v>
      </c>
    </row>
    <row r="294" spans="1:102" x14ac:dyDescent="0.25">
      <c r="A294" s="2">
        <v>1966</v>
      </c>
      <c r="C294" s="2">
        <f t="shared" si="1435"/>
        <v>2417.775200000001</v>
      </c>
      <c r="E294" s="2">
        <f t="shared" si="1435"/>
        <v>0</v>
      </c>
      <c r="G294" s="2">
        <f t="shared" ref="G294:I294" si="2474">F119*G119</f>
        <v>0</v>
      </c>
      <c r="I294" s="2">
        <f t="shared" si="2474"/>
        <v>0</v>
      </c>
      <c r="K294" s="2">
        <f t="shared" ref="K294" si="2475">J119*K119</f>
        <v>0</v>
      </c>
      <c r="M294" s="2">
        <f t="shared" ref="M294" si="2476">L119*M119</f>
        <v>0</v>
      </c>
      <c r="O294" s="2">
        <f t="shared" ref="O294" si="2477">N119*O119</f>
        <v>0</v>
      </c>
      <c r="Q294" s="2">
        <f t="shared" ref="Q294" si="2478">P119*Q119</f>
        <v>0</v>
      </c>
      <c r="S294" s="2">
        <f t="shared" ref="S294" si="2479">R119*S119</f>
        <v>29690.974399999999</v>
      </c>
      <c r="U294" s="2">
        <f t="shared" ref="U294" si="2480">T119*U119</f>
        <v>0</v>
      </c>
      <c r="W294" s="2">
        <f t="shared" ref="W294" si="2481">V119*W119</f>
        <v>29267.403999999999</v>
      </c>
      <c r="Y294" s="2">
        <f t="shared" ref="Y294" si="2482">X119*Y119</f>
        <v>0</v>
      </c>
      <c r="AA294" s="2">
        <f t="shared" ref="AA294" si="2483">Z119*AA119</f>
        <v>0</v>
      </c>
      <c r="AC294" s="2">
        <f t="shared" ref="AC294" si="2484">AB119*AC119</f>
        <v>0</v>
      </c>
      <c r="AE294" s="2">
        <f t="shared" ref="AE294" si="2485">AD119*AE119</f>
        <v>0</v>
      </c>
      <c r="AG294" s="2">
        <f t="shared" ref="AG294" si="2486">AF119*AG119</f>
        <v>256.94639999999998</v>
      </c>
      <c r="AI294" s="2">
        <f t="shared" ref="AI294" si="2487">AH119*AI119</f>
        <v>0</v>
      </c>
      <c r="AK294" s="2">
        <f t="shared" ref="AK294" si="2488">AJ119*AK119</f>
        <v>4574.4384000000009</v>
      </c>
      <c r="AM294" s="2">
        <f t="shared" ref="AM294" si="2489">AL119*AM119</f>
        <v>8953.6016</v>
      </c>
      <c r="AO294" s="2">
        <f t="shared" ref="AO294" si="2490">AN119*AO119</f>
        <v>920.08959999999979</v>
      </c>
      <c r="AQ294" s="2">
        <f t="shared" ref="AQ294" si="2491">AP119*AQ119</f>
        <v>0</v>
      </c>
      <c r="AS294" s="2">
        <f t="shared" ref="AS294" si="2492">AR119*AS119</f>
        <v>0</v>
      </c>
      <c r="AU294" s="2">
        <f t="shared" ref="AU294" si="2493">AT119*AU119</f>
        <v>64105.637599999995</v>
      </c>
      <c r="AW294" s="2">
        <f t="shared" ref="AW294" si="2494">AV119*AW119</f>
        <v>140186.86720000001</v>
      </c>
      <c r="BA294" s="2">
        <f t="shared" si="1457"/>
        <v>1749.2742447609546</v>
      </c>
      <c r="CJ294" s="2">
        <f t="shared" ref="CJ294" si="2495">CI119*CJ119</f>
        <v>1549.3999999999999</v>
      </c>
      <c r="CO294" s="2">
        <f t="shared" si="1459"/>
        <v>39230.808000000005</v>
      </c>
      <c r="CT294" s="2">
        <f t="shared" si="1460"/>
        <v>242.82400000000001</v>
      </c>
      <c r="CX294" s="2">
        <f t="shared" si="1461"/>
        <v>41023.032000000007</v>
      </c>
    </row>
    <row r="295" spans="1:102" x14ac:dyDescent="0.25">
      <c r="A295" s="2">
        <v>1967</v>
      </c>
      <c r="C295" s="2">
        <f t="shared" si="1435"/>
        <v>1980.3872000000001</v>
      </c>
      <c r="E295" s="2">
        <f t="shared" si="1435"/>
        <v>0</v>
      </c>
      <c r="G295" s="2">
        <f t="shared" ref="G295:I295" si="2496">F120*G120</f>
        <v>0</v>
      </c>
      <c r="I295" s="2">
        <f t="shared" si="2496"/>
        <v>0</v>
      </c>
      <c r="K295" s="2">
        <f t="shared" ref="K295" si="2497">J120*K120</f>
        <v>0</v>
      </c>
      <c r="M295" s="2">
        <f t="shared" ref="M295" si="2498">L120*M120</f>
        <v>0</v>
      </c>
      <c r="O295" s="2">
        <f t="shared" ref="O295" si="2499">N120*O120</f>
        <v>0</v>
      </c>
      <c r="Q295" s="2">
        <f t="shared" ref="Q295" si="2500">P120*Q120</f>
        <v>40.53840000000001</v>
      </c>
      <c r="S295" s="2">
        <f t="shared" ref="S295" si="2501">R120*S120</f>
        <v>32793.025600000008</v>
      </c>
      <c r="U295" s="2">
        <f t="shared" ref="U295" si="2502">T120*U120</f>
        <v>2.4383999999999997</v>
      </c>
      <c r="W295" s="2">
        <f t="shared" ref="W295" si="2503">V120*W120</f>
        <v>31561.938399999999</v>
      </c>
      <c r="Y295" s="2">
        <f t="shared" ref="Y295" si="2504">X120*Y120</f>
        <v>612.54639999999995</v>
      </c>
      <c r="AA295" s="2">
        <f t="shared" ref="AA295" si="2505">Z120*AA120</f>
        <v>0</v>
      </c>
      <c r="AC295" s="2">
        <f t="shared" ref="AC295" si="2506">AB120*AC120</f>
        <v>0</v>
      </c>
      <c r="AE295" s="2">
        <f t="shared" ref="AE295" si="2507">AD120*AE120</f>
        <v>11.074400000000001</v>
      </c>
      <c r="AG295" s="2">
        <f t="shared" ref="AG295" si="2508">AF120*AG120</f>
        <v>51.003200000000007</v>
      </c>
      <c r="AI295" s="2">
        <f t="shared" ref="AI295" si="2509">AH120*AI120</f>
        <v>0</v>
      </c>
      <c r="AK295" s="2">
        <f t="shared" ref="AK295" si="2510">AJ120*AK120</f>
        <v>4699.5079999999998</v>
      </c>
      <c r="AM295" s="2">
        <f t="shared" ref="AM295" si="2511">AL120*AM120</f>
        <v>14895.982399999999</v>
      </c>
      <c r="AO295" s="2">
        <f t="shared" ref="AO295" si="2512">AN120*AO120</f>
        <v>2072.0304000000001</v>
      </c>
      <c r="AQ295" s="2">
        <f t="shared" ref="AQ295" si="2513">AP120*AQ120</f>
        <v>0</v>
      </c>
      <c r="AS295" s="2">
        <f t="shared" ref="AS295" si="2514">AR120*AS120</f>
        <v>0</v>
      </c>
      <c r="AU295" s="2">
        <f t="shared" ref="AU295" si="2515">AT120*AU120</f>
        <v>70702.22080000001</v>
      </c>
      <c r="AW295" s="2">
        <f t="shared" ref="AW295" si="2516">AV120*AW120</f>
        <v>159422.69360000003</v>
      </c>
      <c r="BA295" s="2">
        <f t="shared" si="1457"/>
        <v>3139.1703710423658</v>
      </c>
      <c r="CJ295" s="2">
        <f t="shared" ref="CJ295" si="2517">CI120*CJ120</f>
        <v>7772.4000000000005</v>
      </c>
      <c r="CO295" s="2">
        <f t="shared" si="1459"/>
        <v>79857.600000000006</v>
      </c>
      <c r="CT295" s="2">
        <f t="shared" si="1460"/>
        <v>208.28</v>
      </c>
      <c r="CX295" s="2">
        <f t="shared" si="1461"/>
        <v>87838.280000000013</v>
      </c>
    </row>
    <row r="296" spans="1:102" x14ac:dyDescent="0.25">
      <c r="A296" s="2">
        <v>1968</v>
      </c>
      <c r="C296" s="2">
        <f t="shared" si="1435"/>
        <v>20914.156800000001</v>
      </c>
      <c r="E296" s="2">
        <f t="shared" si="1435"/>
        <v>0</v>
      </c>
      <c r="G296" s="2">
        <f t="shared" ref="G296:I296" si="2518">F121*G121</f>
        <v>0</v>
      </c>
      <c r="I296" s="2">
        <f t="shared" si="2518"/>
        <v>0</v>
      </c>
      <c r="K296" s="2">
        <f t="shared" ref="K296" si="2519">J121*K121</f>
        <v>0</v>
      </c>
      <c r="M296" s="2">
        <f t="shared" ref="M296" si="2520">L121*M121</f>
        <v>166.01439999999997</v>
      </c>
      <c r="O296" s="2">
        <f t="shared" ref="O296" si="2521">N121*O121</f>
        <v>0</v>
      </c>
      <c r="Q296" s="2">
        <f t="shared" ref="Q296" si="2522">P121*Q121</f>
        <v>0</v>
      </c>
      <c r="S296" s="2">
        <f t="shared" ref="S296" si="2523">R121*S121</f>
        <v>27596.896800000002</v>
      </c>
      <c r="U296" s="2">
        <f t="shared" ref="U296" si="2524">T121*U121</f>
        <v>0.91439999999999988</v>
      </c>
      <c r="W296" s="2">
        <f t="shared" ref="W296" si="2525">V121*W121</f>
        <v>20558.658399999997</v>
      </c>
      <c r="Y296" s="2">
        <f t="shared" ref="Y296" si="2526">X121*Y121</f>
        <v>6900.3671999999997</v>
      </c>
      <c r="AA296" s="2">
        <f t="shared" ref="AA296" si="2527">Z121*AA121</f>
        <v>0</v>
      </c>
      <c r="AC296" s="2">
        <f t="shared" ref="AC296" si="2528">AB121*AC121</f>
        <v>0</v>
      </c>
      <c r="AE296" s="2">
        <f t="shared" ref="AE296" si="2529">AD121*AE121</f>
        <v>0</v>
      </c>
      <c r="AG296" s="2">
        <f t="shared" ref="AG296" si="2530">AF121*AG121</f>
        <v>160.83279999999999</v>
      </c>
      <c r="AI296" s="2">
        <f t="shared" ref="AI296" si="2531">AH121*AI121</f>
        <v>0</v>
      </c>
      <c r="AK296" s="2">
        <f t="shared" ref="AK296" si="2532">AJ121*AK121</f>
        <v>3482.1368000000002</v>
      </c>
      <c r="AM296" s="2">
        <f t="shared" ref="AM296" si="2533">AL121*AM121</f>
        <v>0</v>
      </c>
      <c r="AO296" s="2">
        <f t="shared" ref="AO296" si="2534">AN121*AO121</f>
        <v>1332.3824</v>
      </c>
      <c r="AQ296" s="2">
        <f t="shared" ref="AQ296" si="2535">AP121*AQ121</f>
        <v>0</v>
      </c>
      <c r="AS296" s="2">
        <f t="shared" ref="AS296" si="2536">AR121*AS121</f>
        <v>0</v>
      </c>
      <c r="AU296" s="2">
        <f t="shared" ref="AU296" si="2537">AT121*AU121</f>
        <v>65991.943200000009</v>
      </c>
      <c r="AW296" s="2">
        <f t="shared" ref="AW296" si="2538">AV121*AW121</f>
        <v>147104.30319999999</v>
      </c>
      <c r="BA296" s="2">
        <f t="shared" si="1457"/>
        <v>6075.68</v>
      </c>
      <c r="CJ296" s="2">
        <f t="shared" ref="CJ296" si="2539">CI121*CJ121</f>
        <v>22778.720000000001</v>
      </c>
      <c r="CO296" s="2">
        <f t="shared" si="1459"/>
        <v>61407.040000000001</v>
      </c>
      <c r="CT296" s="2">
        <f t="shared" si="1460"/>
        <v>18.287999999999997</v>
      </c>
      <c r="CX296" s="2">
        <f t="shared" si="1461"/>
        <v>84204.04800000001</v>
      </c>
    </row>
    <row r="297" spans="1:102" x14ac:dyDescent="0.25">
      <c r="A297" s="2">
        <v>1969</v>
      </c>
      <c r="C297" s="2">
        <f t="shared" si="1435"/>
        <v>0</v>
      </c>
      <c r="E297" s="2">
        <f t="shared" si="1435"/>
        <v>0</v>
      </c>
      <c r="G297" s="2">
        <f t="shared" ref="G297:I297" si="2540">F122*G122</f>
        <v>0</v>
      </c>
      <c r="I297" s="2">
        <f t="shared" si="2540"/>
        <v>0</v>
      </c>
      <c r="K297" s="2">
        <f t="shared" ref="K297" si="2541">J122*K122</f>
        <v>0</v>
      </c>
      <c r="M297" s="2">
        <f t="shared" ref="M297" si="2542">L122*M122</f>
        <v>0</v>
      </c>
      <c r="O297" s="2">
        <f t="shared" ref="O297" si="2543">N122*O122</f>
        <v>0</v>
      </c>
      <c r="Q297" s="2">
        <f t="shared" ref="Q297" si="2544">P122*Q122</f>
        <v>0</v>
      </c>
      <c r="S297" s="2">
        <f t="shared" ref="S297" si="2545">R122*S122</f>
        <v>0</v>
      </c>
      <c r="U297" s="2">
        <f t="shared" ref="U297" si="2546">T122*U122</f>
        <v>0</v>
      </c>
      <c r="W297" s="2">
        <f t="shared" ref="W297" si="2547">V122*W122</f>
        <v>0</v>
      </c>
      <c r="Y297" s="2">
        <f t="shared" ref="Y297" si="2548">X122*Y122</f>
        <v>0</v>
      </c>
      <c r="AA297" s="2">
        <f t="shared" ref="AA297" si="2549">Z122*AA122</f>
        <v>0</v>
      </c>
      <c r="AC297" s="2">
        <f t="shared" ref="AC297" si="2550">AB122*AC122</f>
        <v>0</v>
      </c>
      <c r="AE297" s="2">
        <f t="shared" ref="AE297" si="2551">AD122*AE122</f>
        <v>0</v>
      </c>
      <c r="AG297" s="2">
        <f t="shared" ref="AG297" si="2552">AF122*AG122</f>
        <v>0</v>
      </c>
      <c r="AI297" s="2">
        <f t="shared" ref="AI297" si="2553">AH122*AI122</f>
        <v>0</v>
      </c>
      <c r="AK297" s="2">
        <f t="shared" ref="AK297" si="2554">AJ122*AK122</f>
        <v>0</v>
      </c>
      <c r="AM297" s="2">
        <f t="shared" ref="AM297" si="2555">AL122*AM122</f>
        <v>0</v>
      </c>
      <c r="AO297" s="2">
        <f t="shared" ref="AO297" si="2556">AN122*AO122</f>
        <v>0</v>
      </c>
      <c r="AQ297" s="2">
        <f t="shared" ref="AQ297" si="2557">AP122*AQ122</f>
        <v>0</v>
      </c>
      <c r="AS297" s="2">
        <f t="shared" ref="AS297" si="2558">AR122*AS122</f>
        <v>0</v>
      </c>
      <c r="AU297" s="2">
        <f t="shared" ref="AU297" si="2559">AT122*AU122</f>
        <v>68790</v>
      </c>
      <c r="AW297" s="2">
        <f t="shared" ref="AW297" si="2560">AV122*AW122</f>
        <v>72200</v>
      </c>
      <c r="BA297" s="2">
        <f t="shared" si="1457"/>
        <v>1043.1849999999999</v>
      </c>
      <c r="CJ297" s="2">
        <f t="shared" ref="CJ297" si="2561">CI122*CJ122</f>
        <v>23738.840000000004</v>
      </c>
      <c r="CO297" s="2">
        <f t="shared" si="1459"/>
        <v>23414.736000000001</v>
      </c>
      <c r="CT297" s="2">
        <f t="shared" si="1460"/>
        <v>16.256</v>
      </c>
      <c r="CX297" s="2">
        <f t="shared" si="1461"/>
        <v>47169.832000000002</v>
      </c>
    </row>
    <row r="298" spans="1:102" x14ac:dyDescent="0.25">
      <c r="A298" s="2">
        <v>1970</v>
      </c>
      <c r="C298" s="2">
        <f t="shared" si="1435"/>
        <v>0</v>
      </c>
      <c r="E298" s="2">
        <f t="shared" si="1435"/>
        <v>0</v>
      </c>
      <c r="G298" s="2">
        <f t="shared" ref="G298:I298" si="2562">F123*G123</f>
        <v>0</v>
      </c>
      <c r="I298" s="2">
        <f t="shared" si="2562"/>
        <v>0</v>
      </c>
      <c r="K298" s="2">
        <f t="shared" ref="K298" si="2563">J123*K123</f>
        <v>0</v>
      </c>
      <c r="M298" s="2">
        <f t="shared" ref="M298" si="2564">L123*M123</f>
        <v>0</v>
      </c>
      <c r="O298" s="2">
        <f t="shared" ref="O298" si="2565">N123*O123</f>
        <v>0</v>
      </c>
      <c r="Q298" s="2">
        <f t="shared" ref="Q298" si="2566">P123*Q123</f>
        <v>0</v>
      </c>
      <c r="S298" s="2">
        <f t="shared" ref="S298" si="2567">R123*S123</f>
        <v>0</v>
      </c>
      <c r="U298" s="2">
        <f t="shared" ref="U298" si="2568">T123*U123</f>
        <v>0</v>
      </c>
      <c r="W298" s="2">
        <f t="shared" ref="W298" si="2569">V123*W123</f>
        <v>0</v>
      </c>
      <c r="Y298" s="2">
        <f t="shared" ref="Y298" si="2570">X123*Y123</f>
        <v>0</v>
      </c>
      <c r="AA298" s="2">
        <f t="shared" ref="AA298" si="2571">Z123*AA123</f>
        <v>0</v>
      </c>
      <c r="AC298" s="2">
        <f t="shared" ref="AC298" si="2572">AB123*AC123</f>
        <v>0</v>
      </c>
      <c r="AE298" s="2">
        <f t="shared" ref="AE298" si="2573">AD123*AE123</f>
        <v>0</v>
      </c>
      <c r="AG298" s="2">
        <f t="shared" ref="AG298" si="2574">AF123*AG123</f>
        <v>0</v>
      </c>
      <c r="AI298" s="2">
        <f t="shared" ref="AI298" si="2575">AH123*AI123</f>
        <v>0</v>
      </c>
      <c r="AK298" s="2">
        <f t="shared" ref="AK298" si="2576">AJ123*AK123</f>
        <v>0</v>
      </c>
      <c r="AM298" s="2">
        <f t="shared" ref="AM298" si="2577">AL123*AM123</f>
        <v>0</v>
      </c>
      <c r="AO298" s="2">
        <f t="shared" ref="AO298" si="2578">AN123*AO123</f>
        <v>0</v>
      </c>
      <c r="AQ298" s="2">
        <f t="shared" ref="AQ298" si="2579">AP123*AQ123</f>
        <v>0</v>
      </c>
      <c r="AS298" s="2">
        <f t="shared" ref="AS298" si="2580">AR123*AS123</f>
        <v>0</v>
      </c>
      <c r="AU298" s="2">
        <f t="shared" ref="AU298" si="2581">AT123*AU123</f>
        <v>81787.671781199999</v>
      </c>
      <c r="AW298" s="2">
        <f t="shared" ref="AW298" si="2582">AV123*AW123</f>
        <v>171400</v>
      </c>
      <c r="BA298" s="2">
        <f t="shared" si="1457"/>
        <v>388.31</v>
      </c>
      <c r="CJ298" s="2">
        <f t="shared" ref="CJ298" si="2583">CI123*CJ123</f>
        <v>28214.320000000003</v>
      </c>
      <c r="CO298" s="2">
        <f t="shared" si="1459"/>
        <v>24700.992000000002</v>
      </c>
      <c r="CT298" s="2">
        <f t="shared" si="1460"/>
        <v>0</v>
      </c>
      <c r="CX298" s="2">
        <f t="shared" si="1461"/>
        <v>52915.312000000013</v>
      </c>
    </row>
    <row r="299" spans="1:102" x14ac:dyDescent="0.25">
      <c r="A299" s="2">
        <v>1971</v>
      </c>
      <c r="C299" s="2">
        <f t="shared" si="1435"/>
        <v>0</v>
      </c>
      <c r="E299" s="2">
        <f t="shared" si="1435"/>
        <v>0</v>
      </c>
      <c r="G299" s="2">
        <f t="shared" ref="G299:I299" si="2584">F124*G124</f>
        <v>0</v>
      </c>
      <c r="I299" s="2">
        <f t="shared" si="2584"/>
        <v>0</v>
      </c>
      <c r="K299" s="2">
        <f t="shared" ref="K299" si="2585">J124*K124</f>
        <v>0</v>
      </c>
      <c r="M299" s="2">
        <f t="shared" ref="M299" si="2586">L124*M124</f>
        <v>0</v>
      </c>
      <c r="O299" s="2">
        <f t="shared" ref="O299" si="2587">N124*O124</f>
        <v>0</v>
      </c>
      <c r="Q299" s="2">
        <f t="shared" ref="Q299" si="2588">P124*Q124</f>
        <v>0</v>
      </c>
      <c r="S299" s="2">
        <f t="shared" ref="S299" si="2589">R124*S124</f>
        <v>0</v>
      </c>
      <c r="U299" s="2">
        <f t="shared" ref="U299" si="2590">T124*U124</f>
        <v>0</v>
      </c>
      <c r="W299" s="2">
        <f t="shared" ref="W299" si="2591">V124*W124</f>
        <v>0</v>
      </c>
      <c r="Y299" s="2">
        <f t="shared" ref="Y299" si="2592">X124*Y124</f>
        <v>0</v>
      </c>
      <c r="AA299" s="2">
        <f t="shared" ref="AA299" si="2593">Z124*AA124</f>
        <v>0</v>
      </c>
      <c r="AC299" s="2">
        <f t="shared" ref="AC299" si="2594">AB124*AC124</f>
        <v>0</v>
      </c>
      <c r="AE299" s="2">
        <f t="shared" ref="AE299" si="2595">AD124*AE124</f>
        <v>0</v>
      </c>
      <c r="AG299" s="2">
        <f t="shared" ref="AG299" si="2596">AF124*AG124</f>
        <v>0</v>
      </c>
      <c r="AI299" s="2">
        <f t="shared" ref="AI299" si="2597">AH124*AI124</f>
        <v>0</v>
      </c>
      <c r="AK299" s="2">
        <f t="shared" ref="AK299" si="2598">AJ124*AK124</f>
        <v>0</v>
      </c>
      <c r="AM299" s="2">
        <f t="shared" ref="AM299" si="2599">AL124*AM124</f>
        <v>0</v>
      </c>
      <c r="AO299" s="2">
        <f t="shared" ref="AO299" si="2600">AN124*AO124</f>
        <v>0</v>
      </c>
      <c r="AQ299" s="2">
        <f t="shared" ref="AQ299" si="2601">AP124*AQ124</f>
        <v>0</v>
      </c>
      <c r="AS299" s="2">
        <f t="shared" ref="AS299" si="2602">AR124*AS124</f>
        <v>0</v>
      </c>
      <c r="AU299" s="2">
        <f t="shared" ref="AU299" si="2603">AT124*AU124</f>
        <v>81790</v>
      </c>
      <c r="AW299" s="2">
        <f t="shared" ref="AW299" si="2604">AV124*AW124</f>
        <v>185000</v>
      </c>
      <c r="BA299" s="2">
        <f t="shared" si="1457"/>
        <v>340.86</v>
      </c>
      <c r="CJ299" s="2">
        <f t="shared" ref="CJ299" si="2605">CI124*CJ124</f>
        <v>23032.720000000001</v>
      </c>
      <c r="CO299" s="2">
        <f t="shared" si="1459"/>
        <v>37364.415999999997</v>
      </c>
      <c r="CT299" s="2">
        <f t="shared" si="1460"/>
        <v>0</v>
      </c>
      <c r="CX299" s="2">
        <f t="shared" si="1461"/>
        <v>60397.135999999991</v>
      </c>
    </row>
    <row r="300" spans="1:102" x14ac:dyDescent="0.25">
      <c r="A300" s="2">
        <v>1972</v>
      </c>
      <c r="C300" s="2">
        <f t="shared" si="1435"/>
        <v>0</v>
      </c>
      <c r="E300" s="2">
        <f t="shared" si="1435"/>
        <v>0</v>
      </c>
      <c r="G300" s="2">
        <f t="shared" ref="G300:I300" si="2606">F125*G125</f>
        <v>0</v>
      </c>
      <c r="I300" s="2">
        <f t="shared" si="2606"/>
        <v>0</v>
      </c>
      <c r="K300" s="2">
        <f t="shared" ref="K300" si="2607">J125*K125</f>
        <v>0</v>
      </c>
      <c r="M300" s="2">
        <f t="shared" ref="M300" si="2608">L125*M125</f>
        <v>0</v>
      </c>
      <c r="O300" s="2">
        <f t="shared" ref="O300" si="2609">N125*O125</f>
        <v>0</v>
      </c>
      <c r="Q300" s="2">
        <f t="shared" ref="Q300" si="2610">P125*Q125</f>
        <v>0</v>
      </c>
      <c r="S300" s="2">
        <f t="shared" ref="S300" si="2611">R125*S125</f>
        <v>0</v>
      </c>
      <c r="U300" s="2">
        <f t="shared" ref="U300" si="2612">T125*U125</f>
        <v>0</v>
      </c>
      <c r="W300" s="2">
        <f t="shared" ref="W300" si="2613">V125*W125</f>
        <v>0</v>
      </c>
      <c r="Y300" s="2">
        <f t="shared" ref="Y300" si="2614">X125*Y125</f>
        <v>0</v>
      </c>
      <c r="AA300" s="2">
        <f t="shared" ref="AA300" si="2615">Z125*AA125</f>
        <v>0</v>
      </c>
      <c r="AC300" s="2">
        <f t="shared" ref="AC300" si="2616">AB125*AC125</f>
        <v>0</v>
      </c>
      <c r="AE300" s="2">
        <f t="shared" ref="AE300" si="2617">AD125*AE125</f>
        <v>0</v>
      </c>
      <c r="AG300" s="2">
        <f t="shared" ref="AG300" si="2618">AF125*AG125</f>
        <v>0</v>
      </c>
      <c r="AI300" s="2">
        <f t="shared" ref="AI300" si="2619">AH125*AI125</f>
        <v>0</v>
      </c>
      <c r="AK300" s="2">
        <f t="shared" ref="AK300" si="2620">AJ125*AK125</f>
        <v>0</v>
      </c>
      <c r="AM300" s="2">
        <f t="shared" ref="AM300" si="2621">AL125*AM125</f>
        <v>0</v>
      </c>
      <c r="AO300" s="2">
        <f t="shared" ref="AO300" si="2622">AN125*AO125</f>
        <v>0</v>
      </c>
      <c r="AQ300" s="2">
        <f t="shared" ref="AQ300" si="2623">AP125*AQ125</f>
        <v>0</v>
      </c>
      <c r="AS300" s="2">
        <f t="shared" ref="AS300" si="2624">AR125*AS125</f>
        <v>0</v>
      </c>
      <c r="AU300" s="2">
        <f t="shared" ref="AU300" si="2625">AT125*AU125</f>
        <v>106600.60976000001</v>
      </c>
      <c r="AW300" s="2">
        <f t="shared" ref="AW300" si="2626">AV125*AW125</f>
        <v>246000</v>
      </c>
      <c r="BA300" s="2">
        <f t="shared" si="1457"/>
        <v>10.335000000000001</v>
      </c>
      <c r="CJ300" s="2">
        <f t="shared" ref="CJ300" si="2627">CI125*CJ125</f>
        <v>105775.76</v>
      </c>
      <c r="CO300" s="2">
        <f t="shared" si="1459"/>
        <v>37496.495999999999</v>
      </c>
      <c r="CT300" s="2">
        <f t="shared" si="1460"/>
        <v>0</v>
      </c>
      <c r="CX300" s="2">
        <f t="shared" si="1461"/>
        <v>143272.25599999999</v>
      </c>
    </row>
    <row r="301" spans="1:102" x14ac:dyDescent="0.25">
      <c r="A301" s="2">
        <v>1973</v>
      </c>
      <c r="C301" s="2">
        <f t="shared" si="1435"/>
        <v>0</v>
      </c>
      <c r="E301" s="2">
        <f t="shared" si="1435"/>
        <v>0</v>
      </c>
      <c r="G301" s="2">
        <f t="shared" ref="G301:I301" si="2628">F126*G126</f>
        <v>0</v>
      </c>
      <c r="I301" s="2">
        <f t="shared" si="2628"/>
        <v>0</v>
      </c>
      <c r="K301" s="2">
        <f t="shared" ref="K301" si="2629">J126*K126</f>
        <v>0</v>
      </c>
      <c r="M301" s="2">
        <f t="shared" ref="M301" si="2630">L126*M126</f>
        <v>0</v>
      </c>
      <c r="O301" s="2">
        <f t="shared" ref="O301" si="2631">N126*O126</f>
        <v>0</v>
      </c>
      <c r="Q301" s="2">
        <f t="shared" ref="Q301" si="2632">P126*Q126</f>
        <v>0</v>
      </c>
      <c r="S301" s="2">
        <f t="shared" ref="S301" si="2633">R126*S126</f>
        <v>0</v>
      </c>
      <c r="U301" s="2">
        <f t="shared" ref="U301" si="2634">T126*U126</f>
        <v>0</v>
      </c>
      <c r="W301" s="2">
        <f t="shared" ref="W301" si="2635">V126*W126</f>
        <v>0</v>
      </c>
      <c r="Y301" s="2">
        <f t="shared" ref="Y301" si="2636">X126*Y126</f>
        <v>0</v>
      </c>
      <c r="AA301" s="2">
        <f t="shared" ref="AA301" si="2637">Z126*AA126</f>
        <v>0</v>
      </c>
      <c r="AC301" s="2">
        <f t="shared" ref="AC301" si="2638">AB126*AC126</f>
        <v>0</v>
      </c>
      <c r="AE301" s="2">
        <f t="shared" ref="AE301" si="2639">AD126*AE126</f>
        <v>0</v>
      </c>
      <c r="AG301" s="2">
        <f t="shared" ref="AG301" si="2640">AF126*AG126</f>
        <v>0</v>
      </c>
      <c r="AI301" s="2">
        <f t="shared" ref="AI301" si="2641">AH126*AI126</f>
        <v>0</v>
      </c>
      <c r="AK301" s="2">
        <f t="shared" ref="AK301" si="2642">AJ126*AK126</f>
        <v>0</v>
      </c>
      <c r="AM301" s="2">
        <f t="shared" ref="AM301" si="2643">AL126*AM126</f>
        <v>0</v>
      </c>
      <c r="AO301" s="2">
        <f t="shared" ref="AO301" si="2644">AN126*AO126</f>
        <v>0</v>
      </c>
      <c r="AQ301" s="2">
        <f t="shared" ref="AQ301" si="2645">AP126*AQ126</f>
        <v>0</v>
      </c>
      <c r="AS301" s="2">
        <f t="shared" ref="AS301" si="2646">AR126*AS126</f>
        <v>0</v>
      </c>
      <c r="AU301" s="2">
        <f t="shared" ref="AU301" si="2647">AT126*AU126</f>
        <v>165300</v>
      </c>
      <c r="AW301" s="2">
        <f t="shared" ref="AW301" si="2648">AV126*AW126</f>
        <v>299800</v>
      </c>
      <c r="BA301" s="2">
        <f t="shared" si="1457"/>
        <v>6.4350000000000005</v>
      </c>
      <c r="CJ301" s="2">
        <f t="shared" ref="CJ301" si="2649">CI126*CJ126</f>
        <v>62982.000000000007</v>
      </c>
      <c r="CO301" s="2">
        <f t="shared" si="1459"/>
        <v>23769.000000000004</v>
      </c>
      <c r="CT301" s="2">
        <f t="shared" si="1460"/>
        <v>0</v>
      </c>
      <c r="CX301" s="2">
        <f t="shared" si="1461"/>
        <v>86751.000000000015</v>
      </c>
    </row>
    <row r="302" spans="1:102" x14ac:dyDescent="0.25">
      <c r="A302" s="2">
        <v>1974</v>
      </c>
      <c r="C302" s="2">
        <f t="shared" si="1435"/>
        <v>0</v>
      </c>
      <c r="E302" s="2">
        <f t="shared" si="1435"/>
        <v>0</v>
      </c>
      <c r="G302" s="2">
        <f t="shared" ref="G302:I302" si="2650">F127*G127</f>
        <v>0</v>
      </c>
      <c r="I302" s="2">
        <f t="shared" si="2650"/>
        <v>0</v>
      </c>
      <c r="K302" s="2">
        <f t="shared" ref="K302" si="2651">J127*K127</f>
        <v>0</v>
      </c>
      <c r="M302" s="2">
        <f t="shared" ref="M302" si="2652">L127*M127</f>
        <v>0</v>
      </c>
      <c r="O302" s="2">
        <f t="shared" ref="O302" si="2653">N127*O127</f>
        <v>0</v>
      </c>
      <c r="Q302" s="2">
        <f t="shared" ref="Q302" si="2654">P127*Q127</f>
        <v>0</v>
      </c>
      <c r="S302" s="2">
        <f t="shared" ref="S302" si="2655">R127*S127</f>
        <v>0</v>
      </c>
      <c r="U302" s="2">
        <f t="shared" ref="U302" si="2656">T127*U127</f>
        <v>0</v>
      </c>
      <c r="W302" s="2">
        <f t="shared" ref="W302" si="2657">V127*W127</f>
        <v>0</v>
      </c>
      <c r="Y302" s="2">
        <f t="shared" ref="Y302" si="2658">X127*Y127</f>
        <v>0</v>
      </c>
      <c r="AA302" s="2">
        <f t="shared" ref="AA302" si="2659">Z127*AA127</f>
        <v>0</v>
      </c>
      <c r="AC302" s="2">
        <f t="shared" ref="AC302" si="2660">AB127*AC127</f>
        <v>0</v>
      </c>
      <c r="AE302" s="2">
        <f t="shared" ref="AE302" si="2661">AD127*AE127</f>
        <v>0</v>
      </c>
      <c r="AG302" s="2">
        <f t="shared" ref="AG302" si="2662">AF127*AG127</f>
        <v>0</v>
      </c>
      <c r="AI302" s="2">
        <f t="shared" ref="AI302" si="2663">AH127*AI127</f>
        <v>0</v>
      </c>
      <c r="AK302" s="2">
        <f t="shared" ref="AK302" si="2664">AJ127*AK127</f>
        <v>0</v>
      </c>
      <c r="AM302" s="2">
        <f t="shared" ref="AM302" si="2665">AL127*AM127</f>
        <v>0</v>
      </c>
      <c r="AO302" s="2">
        <f t="shared" ref="AO302" si="2666">AN127*AO127</f>
        <v>0</v>
      </c>
      <c r="AQ302" s="2">
        <f t="shared" ref="AQ302" si="2667">AP127*AQ127</f>
        <v>0</v>
      </c>
      <c r="AS302" s="2">
        <f t="shared" ref="AS302" si="2668">AR127*AS127</f>
        <v>0</v>
      </c>
      <c r="AU302" s="2">
        <f t="shared" ref="AU302" si="2669">AT127*AU127</f>
        <v>143651.03</v>
      </c>
      <c r="AW302" s="2">
        <f t="shared" ref="AW302" si="2670">AV127*AW127</f>
        <v>223400</v>
      </c>
      <c r="BA302" s="2">
        <f t="shared" si="1457"/>
        <v>0</v>
      </c>
      <c r="CJ302" s="2">
        <f t="shared" ref="CJ302" si="2671">CI127*CJ127</f>
        <v>51614</v>
      </c>
      <c r="CO302" s="2">
        <f t="shared" si="1459"/>
        <v>9283</v>
      </c>
      <c r="CT302" s="2">
        <f t="shared" si="1460"/>
        <v>0</v>
      </c>
      <c r="CX302" s="2">
        <f t="shared" si="1461"/>
        <v>60896.999999999993</v>
      </c>
    </row>
    <row r="303" spans="1:102" x14ac:dyDescent="0.25">
      <c r="A303" s="2">
        <v>1975</v>
      </c>
      <c r="C303" s="2">
        <f t="shared" si="1435"/>
        <v>0</v>
      </c>
      <c r="E303" s="2">
        <f t="shared" si="1435"/>
        <v>0</v>
      </c>
      <c r="G303" s="2">
        <f t="shared" ref="G303:I303" si="2672">F128*G128</f>
        <v>0</v>
      </c>
      <c r="I303" s="2">
        <f t="shared" si="2672"/>
        <v>0</v>
      </c>
      <c r="K303" s="2">
        <f t="shared" ref="K303" si="2673">J128*K128</f>
        <v>0</v>
      </c>
      <c r="M303" s="2">
        <f t="shared" ref="M303" si="2674">L128*M128</f>
        <v>0</v>
      </c>
      <c r="O303" s="2">
        <f t="shared" ref="O303" si="2675">N128*O128</f>
        <v>0</v>
      </c>
      <c r="Q303" s="2">
        <f t="shared" ref="Q303" si="2676">P128*Q128</f>
        <v>0</v>
      </c>
      <c r="S303" s="2">
        <f t="shared" ref="S303" si="2677">R128*S128</f>
        <v>0</v>
      </c>
      <c r="U303" s="2">
        <f t="shared" ref="U303" si="2678">T128*U128</f>
        <v>0</v>
      </c>
      <c r="W303" s="2">
        <f t="shared" ref="W303" si="2679">V128*W128</f>
        <v>0</v>
      </c>
      <c r="Y303" s="2">
        <f t="shared" ref="Y303" si="2680">X128*Y128</f>
        <v>0</v>
      </c>
      <c r="AA303" s="2">
        <f t="shared" ref="AA303" si="2681">Z128*AA128</f>
        <v>0</v>
      </c>
      <c r="AC303" s="2">
        <f t="shared" ref="AC303" si="2682">AB128*AC128</f>
        <v>0</v>
      </c>
      <c r="AE303" s="2">
        <f t="shared" ref="AE303" si="2683">AD128*AE128</f>
        <v>0</v>
      </c>
      <c r="AG303" s="2">
        <f t="shared" ref="AG303" si="2684">AF128*AG128</f>
        <v>0</v>
      </c>
      <c r="AI303" s="2">
        <f t="shared" ref="AI303" si="2685">AH128*AI128</f>
        <v>0</v>
      </c>
      <c r="AK303" s="2">
        <f t="shared" ref="AK303" si="2686">AJ128*AK128</f>
        <v>0</v>
      </c>
      <c r="AM303" s="2">
        <f t="shared" ref="AM303" si="2687">AL128*AM128</f>
        <v>0</v>
      </c>
      <c r="AO303" s="2">
        <f t="shared" ref="AO303" si="2688">AN128*AO128</f>
        <v>0</v>
      </c>
      <c r="AQ303" s="2">
        <f t="shared" ref="AQ303" si="2689">AP128*AQ128</f>
        <v>0</v>
      </c>
      <c r="AS303" s="2">
        <f t="shared" ref="AS303" si="2690">AR128*AS128</f>
        <v>0</v>
      </c>
      <c r="AU303" s="2">
        <f t="shared" ref="AU303" si="2691">AT128*AU128</f>
        <v>131100</v>
      </c>
      <c r="AW303" s="2">
        <f t="shared" ref="AW303" si="2692">AV128*AW128</f>
        <v>185400</v>
      </c>
      <c r="BA303" s="2">
        <f t="shared" si="1457"/>
        <v>2.9899999999999998</v>
      </c>
      <c r="CJ303" s="2">
        <f t="shared" ref="CJ303" si="2693">CI128*CJ128</f>
        <v>43060</v>
      </c>
      <c r="CO303" s="2">
        <f t="shared" si="1459"/>
        <v>22648.999999999996</v>
      </c>
      <c r="CT303" s="2">
        <f t="shared" si="1460"/>
        <v>0</v>
      </c>
      <c r="CX303" s="2">
        <f t="shared" si="1461"/>
        <v>65709</v>
      </c>
    </row>
    <row r="304" spans="1:102" x14ac:dyDescent="0.25">
      <c r="A304" s="2">
        <v>1976</v>
      </c>
      <c r="C304" s="2">
        <f t="shared" si="1435"/>
        <v>0</v>
      </c>
      <c r="E304" s="2">
        <f t="shared" si="1435"/>
        <v>0</v>
      </c>
      <c r="G304" s="2">
        <f t="shared" ref="G304:I304" si="2694">F129*G129</f>
        <v>0</v>
      </c>
      <c r="I304" s="2">
        <f t="shared" si="2694"/>
        <v>0</v>
      </c>
      <c r="K304" s="2">
        <f t="shared" ref="K304" si="2695">J129*K129</f>
        <v>0</v>
      </c>
      <c r="M304" s="2">
        <f t="shared" ref="M304" si="2696">L129*M129</f>
        <v>0</v>
      </c>
      <c r="O304" s="2">
        <f t="shared" ref="O304" si="2697">N129*O129</f>
        <v>0</v>
      </c>
      <c r="Q304" s="2">
        <f t="shared" ref="Q304" si="2698">P129*Q129</f>
        <v>0</v>
      </c>
      <c r="S304" s="2">
        <f t="shared" ref="S304" si="2699">R129*S129</f>
        <v>0</v>
      </c>
      <c r="U304" s="2">
        <f t="shared" ref="U304" si="2700">T129*U129</f>
        <v>0</v>
      </c>
      <c r="W304" s="2">
        <f t="shared" ref="W304" si="2701">V129*W129</f>
        <v>0</v>
      </c>
      <c r="Y304" s="2">
        <f t="shared" ref="Y304" si="2702">X129*Y129</f>
        <v>0</v>
      </c>
      <c r="AA304" s="2">
        <f t="shared" ref="AA304" si="2703">Z129*AA129</f>
        <v>0</v>
      </c>
      <c r="AC304" s="2">
        <f t="shared" ref="AC304" si="2704">AB129*AC129</f>
        <v>0</v>
      </c>
      <c r="AE304" s="2">
        <f t="shared" ref="AE304" si="2705">AD129*AE129</f>
        <v>0</v>
      </c>
      <c r="AG304" s="2">
        <f t="shared" ref="AG304" si="2706">AF129*AG129</f>
        <v>0</v>
      </c>
      <c r="AI304" s="2">
        <f t="shared" ref="AI304" si="2707">AH129*AI129</f>
        <v>0</v>
      </c>
      <c r="AK304" s="2">
        <f t="shared" ref="AK304" si="2708">AJ129*AK129</f>
        <v>0</v>
      </c>
      <c r="AM304" s="2">
        <f t="shared" ref="AM304" si="2709">AL129*AM129</f>
        <v>0</v>
      </c>
      <c r="AO304" s="2">
        <f t="shared" ref="AO304" si="2710">AN129*AO129</f>
        <v>0</v>
      </c>
      <c r="AQ304" s="2">
        <f t="shared" ref="AQ304" si="2711">AP129*AQ129</f>
        <v>0</v>
      </c>
      <c r="AS304" s="2">
        <f t="shared" ref="AS304" si="2712">AR129*AS129</f>
        <v>0</v>
      </c>
      <c r="AU304" s="2">
        <f t="shared" ref="AU304" si="2713">AT129*AU129</f>
        <v>101925</v>
      </c>
      <c r="AW304" s="2">
        <f t="shared" ref="AW304" si="2714">AV129*AW129</f>
        <v>146400</v>
      </c>
      <c r="BA304" s="2">
        <f t="shared" si="1457"/>
        <v>205.70400000000001</v>
      </c>
      <c r="CJ304" s="2">
        <f t="shared" ref="CJ304" si="2715">CI129*CJ129</f>
        <v>40700.000000000007</v>
      </c>
      <c r="CO304" s="2">
        <f t="shared" si="1459"/>
        <v>2800</v>
      </c>
      <c r="CT304" s="2">
        <f t="shared" si="1460"/>
        <v>0</v>
      </c>
      <c r="CX304" s="2">
        <f t="shared" si="1461"/>
        <v>43500.000000000007</v>
      </c>
    </row>
    <row r="305" spans="1:102" x14ac:dyDescent="0.25">
      <c r="A305" s="2">
        <v>1977</v>
      </c>
      <c r="C305" s="2">
        <f t="shared" si="1435"/>
        <v>0</v>
      </c>
      <c r="E305" s="2">
        <f t="shared" si="1435"/>
        <v>0</v>
      </c>
      <c r="G305" s="2">
        <f t="shared" ref="G305:I305" si="2716">F130*G130</f>
        <v>0</v>
      </c>
      <c r="I305" s="2">
        <f t="shared" si="2716"/>
        <v>0</v>
      </c>
      <c r="K305" s="2">
        <f t="shared" ref="K305" si="2717">J130*K130</f>
        <v>0</v>
      </c>
      <c r="M305" s="2">
        <f t="shared" ref="M305" si="2718">L130*M130</f>
        <v>0</v>
      </c>
      <c r="O305" s="2">
        <f t="shared" ref="O305" si="2719">N130*O130</f>
        <v>0</v>
      </c>
      <c r="Q305" s="2">
        <f t="shared" ref="Q305" si="2720">P130*Q130</f>
        <v>0</v>
      </c>
      <c r="S305" s="2">
        <f t="shared" ref="S305" si="2721">R130*S130</f>
        <v>0</v>
      </c>
      <c r="U305" s="2">
        <f t="shared" ref="U305" si="2722">T130*U130</f>
        <v>0</v>
      </c>
      <c r="W305" s="2">
        <f t="shared" ref="W305" si="2723">V130*W130</f>
        <v>0</v>
      </c>
      <c r="Y305" s="2">
        <f t="shared" ref="Y305" si="2724">X130*Y130</f>
        <v>0</v>
      </c>
      <c r="AA305" s="2">
        <f t="shared" ref="AA305" si="2725">Z130*AA130</f>
        <v>0</v>
      </c>
      <c r="AC305" s="2">
        <f t="shared" ref="AC305" si="2726">AB130*AC130</f>
        <v>0</v>
      </c>
      <c r="AE305" s="2">
        <f t="shared" ref="AE305" si="2727">AD130*AE130</f>
        <v>0</v>
      </c>
      <c r="AG305" s="2">
        <f t="shared" ref="AG305" si="2728">AF130*AG130</f>
        <v>0</v>
      </c>
      <c r="AI305" s="2">
        <f t="shared" ref="AI305" si="2729">AH130*AI130</f>
        <v>0</v>
      </c>
      <c r="AK305" s="2">
        <f t="shared" ref="AK305" si="2730">AJ130*AK130</f>
        <v>0</v>
      </c>
      <c r="AM305" s="2">
        <f t="shared" ref="AM305" si="2731">AL130*AM130</f>
        <v>0</v>
      </c>
      <c r="AO305" s="2">
        <f t="shared" ref="AO305" si="2732">AN130*AO130</f>
        <v>0</v>
      </c>
      <c r="AQ305" s="2">
        <f t="shared" ref="AQ305" si="2733">AP130*AQ130</f>
        <v>0</v>
      </c>
      <c r="AS305" s="2">
        <f t="shared" ref="AS305" si="2734">AR130*AS130</f>
        <v>0</v>
      </c>
      <c r="AU305" s="2">
        <f t="shared" ref="AU305" si="2735">AT130*AU130</f>
        <v>111000.00000000001</v>
      </c>
      <c r="AW305" s="2">
        <f t="shared" ref="AW305" si="2736">AV130*AW130</f>
        <v>141300</v>
      </c>
      <c r="BA305" s="2">
        <f t="shared" si="1457"/>
        <v>137.41</v>
      </c>
      <c r="CJ305" s="2">
        <f t="shared" ref="CJ305" si="2737">CI130*CJ130</f>
        <v>34800</v>
      </c>
      <c r="CO305" s="2">
        <f t="shared" si="1459"/>
        <v>11230</v>
      </c>
      <c r="CT305" s="2">
        <f t="shared" si="1460"/>
        <v>0</v>
      </c>
      <c r="CX305" s="2">
        <f t="shared" si="1461"/>
        <v>46030</v>
      </c>
    </row>
    <row r="306" spans="1:102" x14ac:dyDescent="0.25">
      <c r="A306" s="2">
        <v>1978</v>
      </c>
      <c r="C306" s="2">
        <f t="shared" si="1435"/>
        <v>0</v>
      </c>
      <c r="E306" s="2">
        <f t="shared" si="1435"/>
        <v>0</v>
      </c>
      <c r="G306" s="2">
        <f t="shared" ref="G306:I306" si="2738">F131*G131</f>
        <v>0</v>
      </c>
      <c r="I306" s="2">
        <f t="shared" si="2738"/>
        <v>0</v>
      </c>
      <c r="K306" s="2">
        <f t="shared" ref="K306" si="2739">J131*K131</f>
        <v>0</v>
      </c>
      <c r="M306" s="2">
        <f t="shared" ref="M306" si="2740">L131*M131</f>
        <v>0</v>
      </c>
      <c r="O306" s="2">
        <f t="shared" ref="O306" si="2741">N131*O131</f>
        <v>0</v>
      </c>
      <c r="Q306" s="2">
        <f t="shared" ref="Q306" si="2742">P131*Q131</f>
        <v>0</v>
      </c>
      <c r="S306" s="2">
        <f t="shared" ref="S306" si="2743">R131*S131</f>
        <v>0</v>
      </c>
      <c r="U306" s="2">
        <f t="shared" ref="U306" si="2744">T131*U131</f>
        <v>0</v>
      </c>
      <c r="W306" s="2">
        <f t="shared" ref="W306" si="2745">V131*W131</f>
        <v>0</v>
      </c>
      <c r="Y306" s="2">
        <f t="shared" ref="Y306" si="2746">X131*Y131</f>
        <v>0</v>
      </c>
      <c r="AA306" s="2">
        <f t="shared" ref="AA306" si="2747">Z131*AA131</f>
        <v>0</v>
      </c>
      <c r="AC306" s="2">
        <f t="shared" ref="AC306" si="2748">AB131*AC131</f>
        <v>0</v>
      </c>
      <c r="AE306" s="2">
        <f t="shared" ref="AE306" si="2749">AD131*AE131</f>
        <v>0</v>
      </c>
      <c r="AG306" s="2">
        <f t="shared" ref="AG306" si="2750">AF131*AG131</f>
        <v>0</v>
      </c>
      <c r="AI306" s="2">
        <f t="shared" ref="AI306" si="2751">AH131*AI131</f>
        <v>0</v>
      </c>
      <c r="AK306" s="2">
        <f t="shared" ref="AK306" si="2752">AJ131*AK131</f>
        <v>0</v>
      </c>
      <c r="AM306" s="2">
        <f t="shared" ref="AM306" si="2753">AL131*AM131</f>
        <v>0</v>
      </c>
      <c r="AO306" s="2">
        <f t="shared" ref="AO306" si="2754">AN131*AO131</f>
        <v>0</v>
      </c>
      <c r="AQ306" s="2">
        <f t="shared" ref="AQ306" si="2755">AP131*AQ131</f>
        <v>0</v>
      </c>
      <c r="AS306" s="2">
        <f t="shared" ref="AS306" si="2756">AR131*AS131</f>
        <v>0</v>
      </c>
      <c r="AU306" s="2">
        <f t="shared" ref="AU306" si="2757">AT131*AU131</f>
        <v>171490</v>
      </c>
      <c r="AW306" s="2">
        <f t="shared" ref="AW306" si="2758">AV131*AW131</f>
        <v>220900</v>
      </c>
      <c r="BA306" s="2">
        <f t="shared" si="1457"/>
        <v>115.31</v>
      </c>
      <c r="CJ306" s="2">
        <f t="shared" ref="CJ306" si="2759">CI131*CJ131</f>
        <v>40856</v>
      </c>
      <c r="CO306" s="2">
        <f t="shared" si="1459"/>
        <v>8863.6</v>
      </c>
      <c r="CT306" s="2">
        <f t="shared" si="1460"/>
        <v>0</v>
      </c>
      <c r="CX306" s="2">
        <f t="shared" si="1461"/>
        <v>49719.6</v>
      </c>
    </row>
    <row r="307" spans="1:102" x14ac:dyDescent="0.25">
      <c r="A307" s="2">
        <v>1979</v>
      </c>
      <c r="C307" s="2">
        <f t="shared" si="1435"/>
        <v>0</v>
      </c>
      <c r="E307" s="2">
        <f t="shared" si="1435"/>
        <v>0</v>
      </c>
      <c r="G307" s="2">
        <f t="shared" ref="G307:I307" si="2760">F132*G132</f>
        <v>0</v>
      </c>
      <c r="I307" s="2">
        <f t="shared" si="2760"/>
        <v>0</v>
      </c>
      <c r="K307" s="2">
        <f t="shared" ref="K307" si="2761">J132*K132</f>
        <v>0</v>
      </c>
      <c r="M307" s="2">
        <f t="shared" ref="M307" si="2762">L132*M132</f>
        <v>0</v>
      </c>
      <c r="O307" s="2">
        <f t="shared" ref="O307" si="2763">N132*O132</f>
        <v>0</v>
      </c>
      <c r="Q307" s="2">
        <f t="shared" ref="Q307" si="2764">P132*Q132</f>
        <v>0</v>
      </c>
      <c r="S307" s="2">
        <f t="shared" ref="S307" si="2765">R132*S132</f>
        <v>0</v>
      </c>
      <c r="U307" s="2">
        <f t="shared" ref="U307" si="2766">T132*U132</f>
        <v>0</v>
      </c>
      <c r="W307" s="2">
        <f t="shared" ref="W307" si="2767">V132*W132</f>
        <v>0</v>
      </c>
      <c r="Y307" s="2">
        <f t="shared" ref="Y307" si="2768">X132*Y132</f>
        <v>0</v>
      </c>
      <c r="AA307" s="2">
        <f t="shared" ref="AA307" si="2769">Z132*AA132</f>
        <v>0</v>
      </c>
      <c r="AC307" s="2">
        <f t="shared" ref="AC307" si="2770">AB132*AC132</f>
        <v>0</v>
      </c>
      <c r="AE307" s="2">
        <f t="shared" ref="AE307" si="2771">AD132*AE132</f>
        <v>0</v>
      </c>
      <c r="AG307" s="2">
        <f t="shared" ref="AG307" si="2772">AF132*AG132</f>
        <v>0</v>
      </c>
      <c r="AI307" s="2">
        <f t="shared" ref="AI307" si="2773">AH132*AI132</f>
        <v>0</v>
      </c>
      <c r="AK307" s="2">
        <f t="shared" ref="AK307" si="2774">AJ132*AK132</f>
        <v>0</v>
      </c>
      <c r="AM307" s="2">
        <f t="shared" ref="AM307" si="2775">AL132*AM132</f>
        <v>0</v>
      </c>
      <c r="AO307" s="2">
        <f t="shared" ref="AO307" si="2776">AN132*AO132</f>
        <v>0</v>
      </c>
      <c r="AQ307" s="2">
        <f t="shared" ref="AQ307" si="2777">AP132*AQ132</f>
        <v>0</v>
      </c>
      <c r="AS307" s="2">
        <f t="shared" ref="AS307" si="2778">AR132*AS132</f>
        <v>0</v>
      </c>
      <c r="AU307" s="2">
        <f t="shared" ref="AU307" si="2779">AT132*AU132</f>
        <v>196601.25</v>
      </c>
      <c r="AW307" s="2">
        <f t="shared" ref="AW307" si="2780">AV132*AW132</f>
        <v>258800</v>
      </c>
      <c r="BA307" s="2">
        <f t="shared" si="1457"/>
        <v>32.24</v>
      </c>
      <c r="CJ307" s="2">
        <f t="shared" ref="CJ307" si="2781">CI132*CJ132</f>
        <v>38613</v>
      </c>
      <c r="CO307" s="2">
        <f t="shared" si="1459"/>
        <v>10304</v>
      </c>
      <c r="CT307" s="2">
        <f t="shared" si="1460"/>
        <v>0</v>
      </c>
      <c r="CX307" s="2">
        <f t="shared" si="1461"/>
        <v>48917</v>
      </c>
    </row>
    <row r="308" spans="1:102" x14ac:dyDescent="0.25">
      <c r="A308" s="2">
        <v>1980</v>
      </c>
      <c r="C308" s="2">
        <f t="shared" si="1435"/>
        <v>0</v>
      </c>
      <c r="E308" s="2">
        <f t="shared" si="1435"/>
        <v>0</v>
      </c>
      <c r="G308" s="2">
        <f t="shared" ref="G308:I308" si="2782">F133*G133</f>
        <v>0</v>
      </c>
      <c r="I308" s="2">
        <f t="shared" si="2782"/>
        <v>0</v>
      </c>
      <c r="K308" s="2">
        <f t="shared" ref="K308" si="2783">J133*K133</f>
        <v>0</v>
      </c>
      <c r="M308" s="2">
        <f t="shared" ref="M308" si="2784">L133*M133</f>
        <v>0</v>
      </c>
      <c r="O308" s="2">
        <f t="shared" ref="O308" si="2785">N133*O133</f>
        <v>0</v>
      </c>
      <c r="Q308" s="2">
        <f t="shared" ref="Q308" si="2786">P133*Q133</f>
        <v>0</v>
      </c>
      <c r="S308" s="2">
        <f t="shared" ref="S308" si="2787">R133*S133</f>
        <v>0</v>
      </c>
      <c r="U308" s="2">
        <f t="shared" ref="U308" si="2788">T133*U133</f>
        <v>0</v>
      </c>
      <c r="W308" s="2">
        <f t="shared" ref="W308" si="2789">V133*W133</f>
        <v>0</v>
      </c>
      <c r="Y308" s="2">
        <f t="shared" ref="Y308" si="2790">X133*Y133</f>
        <v>0</v>
      </c>
      <c r="AA308" s="2">
        <f t="shared" ref="AA308" si="2791">Z133*AA133</f>
        <v>0</v>
      </c>
      <c r="AC308" s="2">
        <f t="shared" ref="AC308" si="2792">AB133*AC133</f>
        <v>0</v>
      </c>
      <c r="AE308" s="2">
        <f t="shared" ref="AE308" si="2793">AD133*AE133</f>
        <v>0</v>
      </c>
      <c r="AG308" s="2">
        <f t="shared" ref="AG308" si="2794">AF133*AG133</f>
        <v>0</v>
      </c>
      <c r="AI308" s="2">
        <f t="shared" ref="AI308" si="2795">AH133*AI133</f>
        <v>0</v>
      </c>
      <c r="AK308" s="2">
        <f t="shared" ref="AK308" si="2796">AJ133*AK133</f>
        <v>0</v>
      </c>
      <c r="AM308" s="2">
        <f t="shared" ref="AM308" si="2797">AL133*AM133</f>
        <v>0</v>
      </c>
      <c r="AO308" s="2">
        <f t="shared" ref="AO308" si="2798">AN133*AO133</f>
        <v>0</v>
      </c>
      <c r="AQ308" s="2">
        <f t="shared" ref="AQ308" si="2799">AP133*AQ133</f>
        <v>0</v>
      </c>
      <c r="AS308" s="2">
        <f t="shared" ref="AS308" si="2800">AR133*AS133</f>
        <v>0</v>
      </c>
      <c r="AU308" s="2">
        <f t="shared" ref="AU308" si="2801">AT133*AU133</f>
        <v>171459.99999999997</v>
      </c>
      <c r="AW308" s="2">
        <f t="shared" ref="AW308" si="2802">AV133*AW133</f>
        <v>240200</v>
      </c>
      <c r="BA308" s="2">
        <f t="shared" si="1457"/>
        <v>0</v>
      </c>
      <c r="CJ308" s="2">
        <f t="shared" ref="CJ308" si="2803">CI133*CJ133</f>
        <v>30000</v>
      </c>
      <c r="CO308" s="2">
        <f t="shared" si="1459"/>
        <v>9574.9000000000015</v>
      </c>
      <c r="CT308" s="2">
        <f t="shared" si="1460"/>
        <v>0</v>
      </c>
      <c r="CX308" s="2">
        <f t="shared" si="1461"/>
        <v>39574.9</v>
      </c>
    </row>
    <row r="309" spans="1:102" x14ac:dyDescent="0.25">
      <c r="A309" s="2">
        <v>1981</v>
      </c>
      <c r="C309" s="2">
        <f t="shared" si="1435"/>
        <v>0</v>
      </c>
      <c r="E309" s="2">
        <f t="shared" si="1435"/>
        <v>0</v>
      </c>
      <c r="G309" s="2">
        <f t="shared" ref="G309:I309" si="2804">F134*G134</f>
        <v>0</v>
      </c>
      <c r="I309" s="2">
        <f t="shared" si="2804"/>
        <v>0</v>
      </c>
      <c r="K309" s="2">
        <f t="shared" ref="K309" si="2805">J134*K134</f>
        <v>0</v>
      </c>
      <c r="M309" s="2">
        <f t="shared" ref="M309" si="2806">L134*M134</f>
        <v>0</v>
      </c>
      <c r="O309" s="2">
        <f t="shared" ref="O309" si="2807">N134*O134</f>
        <v>0</v>
      </c>
      <c r="Q309" s="2">
        <f t="shared" ref="Q309" si="2808">P134*Q134</f>
        <v>0</v>
      </c>
      <c r="S309" s="2">
        <f t="shared" ref="S309" si="2809">R134*S134</f>
        <v>0</v>
      </c>
      <c r="U309" s="2">
        <f t="shared" ref="U309" si="2810">T134*U134</f>
        <v>0</v>
      </c>
      <c r="W309" s="2">
        <f t="shared" ref="W309" si="2811">V134*W134</f>
        <v>0</v>
      </c>
      <c r="Y309" s="2">
        <f t="shared" ref="Y309" si="2812">X134*Y134</f>
        <v>0</v>
      </c>
      <c r="AA309" s="2">
        <f t="shared" ref="AA309" si="2813">Z134*AA134</f>
        <v>0</v>
      </c>
      <c r="AC309" s="2">
        <f t="shared" ref="AC309" si="2814">AB134*AC134</f>
        <v>0</v>
      </c>
      <c r="AE309" s="2">
        <f t="shared" ref="AE309" si="2815">AD134*AE134</f>
        <v>0</v>
      </c>
      <c r="AG309" s="2">
        <f t="shared" ref="AG309" si="2816">AF134*AG134</f>
        <v>0</v>
      </c>
      <c r="AI309" s="2">
        <f t="shared" ref="AI309" si="2817">AH134*AI134</f>
        <v>0</v>
      </c>
      <c r="AK309" s="2">
        <f t="shared" ref="AK309" si="2818">AJ134*AK134</f>
        <v>0</v>
      </c>
      <c r="AM309" s="2">
        <f t="shared" ref="AM309" si="2819">AL134*AM134</f>
        <v>0</v>
      </c>
      <c r="AO309" s="2">
        <f t="shared" ref="AO309" si="2820">AN134*AO134</f>
        <v>0</v>
      </c>
      <c r="AQ309" s="2">
        <f t="shared" ref="AQ309" si="2821">AP134*AQ134</f>
        <v>0</v>
      </c>
      <c r="AS309" s="2">
        <f t="shared" ref="AS309" si="2822">AR134*AS134</f>
        <v>0</v>
      </c>
      <c r="AU309" s="2">
        <f t="shared" ref="AU309" si="2823">AT134*AU134</f>
        <v>143050</v>
      </c>
      <c r="AW309" s="2">
        <f t="shared" ref="AW309" si="2824">AV134*AW134</f>
        <v>205300</v>
      </c>
      <c r="BA309" s="2">
        <f t="shared" si="1457"/>
        <v>0</v>
      </c>
      <c r="CJ309" s="2">
        <f t="shared" ref="CJ309" si="2825">CI134*CJ134</f>
        <v>43234</v>
      </c>
      <c r="CO309" s="2">
        <f t="shared" si="1459"/>
        <v>20520.999999999996</v>
      </c>
      <c r="CT309" s="2">
        <f t="shared" si="1460"/>
        <v>0</v>
      </c>
      <c r="CX309" s="2">
        <f t="shared" si="1461"/>
        <v>63754.999999999993</v>
      </c>
    </row>
    <row r="310" spans="1:102" x14ac:dyDescent="0.25">
      <c r="A310" s="2">
        <v>1982</v>
      </c>
      <c r="C310" s="2">
        <f t="shared" si="1435"/>
        <v>0</v>
      </c>
      <c r="E310" s="2">
        <f t="shared" si="1435"/>
        <v>0</v>
      </c>
      <c r="G310" s="2">
        <f t="shared" ref="G310:I310" si="2826">F135*G135</f>
        <v>0</v>
      </c>
      <c r="I310" s="2">
        <f t="shared" si="2826"/>
        <v>0</v>
      </c>
      <c r="K310" s="2">
        <f t="shared" ref="K310" si="2827">J135*K135</f>
        <v>0</v>
      </c>
      <c r="M310" s="2">
        <f t="shared" ref="M310" si="2828">L135*M135</f>
        <v>0</v>
      </c>
      <c r="O310" s="2">
        <f t="shared" ref="O310" si="2829">N135*O135</f>
        <v>0</v>
      </c>
      <c r="Q310" s="2">
        <f t="shared" ref="Q310" si="2830">P135*Q135</f>
        <v>0</v>
      </c>
      <c r="S310" s="2">
        <f t="shared" ref="S310" si="2831">R135*S135</f>
        <v>0</v>
      </c>
      <c r="U310" s="2">
        <f t="shared" ref="U310" si="2832">T135*U135</f>
        <v>0</v>
      </c>
      <c r="W310" s="2">
        <f t="shared" ref="W310" si="2833">V135*W135</f>
        <v>0</v>
      </c>
      <c r="Y310" s="2">
        <f t="shared" ref="Y310" si="2834">X135*Y135</f>
        <v>0</v>
      </c>
      <c r="AA310" s="2">
        <f t="shared" ref="AA310" si="2835">Z135*AA135</f>
        <v>0</v>
      </c>
      <c r="AC310" s="2">
        <f t="shared" ref="AC310" si="2836">AB135*AC135</f>
        <v>0</v>
      </c>
      <c r="AE310" s="2">
        <f t="shared" ref="AE310" si="2837">AD135*AE135</f>
        <v>0</v>
      </c>
      <c r="AG310" s="2">
        <f t="shared" ref="AG310" si="2838">AF135*AG135</f>
        <v>0</v>
      </c>
      <c r="AI310" s="2">
        <f t="shared" ref="AI310" si="2839">AH135*AI135</f>
        <v>0</v>
      </c>
      <c r="AK310" s="2">
        <f t="shared" ref="AK310" si="2840">AJ135*AK135</f>
        <v>0</v>
      </c>
      <c r="AM310" s="2">
        <f t="shared" ref="AM310" si="2841">AL135*AM135</f>
        <v>0</v>
      </c>
      <c r="AO310" s="2">
        <f t="shared" ref="AO310" si="2842">AN135*AO135</f>
        <v>0</v>
      </c>
      <c r="AQ310" s="2">
        <f t="shared" ref="AQ310" si="2843">AP135*AQ135</f>
        <v>0</v>
      </c>
      <c r="AS310" s="2">
        <f t="shared" ref="AS310" si="2844">AR135*AS135</f>
        <v>0</v>
      </c>
      <c r="AU310" s="2">
        <f t="shared" ref="AU310" si="2845">AT135*AU135</f>
        <v>131230</v>
      </c>
      <c r="AW310" s="2">
        <f t="shared" ref="AW310" si="2846">AV135*AW135</f>
        <v>165200</v>
      </c>
      <c r="BA310" s="2">
        <f t="shared" si="1457"/>
        <v>0</v>
      </c>
      <c r="CJ310" s="2">
        <f t="shared" ref="CJ310" si="2847">CI135*CJ135</f>
        <v>38383</v>
      </c>
      <c r="CO310" s="2">
        <f t="shared" si="1459"/>
        <v>12157</v>
      </c>
      <c r="CT310" s="2">
        <f t="shared" si="1460"/>
        <v>0</v>
      </c>
      <c r="CX310" s="2">
        <f t="shared" si="1461"/>
        <v>50540</v>
      </c>
    </row>
    <row r="311" spans="1:102" x14ac:dyDescent="0.25">
      <c r="A311" s="2">
        <v>1983</v>
      </c>
      <c r="C311" s="2">
        <f t="shared" ref="C311:E349" si="2848">B136*C136</f>
        <v>0</v>
      </c>
      <c r="E311" s="2">
        <f t="shared" si="2848"/>
        <v>0</v>
      </c>
      <c r="G311" s="2">
        <f t="shared" ref="G311:I311" si="2849">F136*G136</f>
        <v>0</v>
      </c>
      <c r="I311" s="2">
        <f t="shared" si="2849"/>
        <v>0</v>
      </c>
      <c r="K311" s="2">
        <f t="shared" ref="K311" si="2850">J136*K136</f>
        <v>0</v>
      </c>
      <c r="M311" s="2">
        <f t="shared" ref="M311" si="2851">L136*M136</f>
        <v>0</v>
      </c>
      <c r="O311" s="2">
        <f t="shared" ref="O311" si="2852">N136*O136</f>
        <v>0</v>
      </c>
      <c r="Q311" s="2">
        <f t="shared" ref="Q311" si="2853">P136*Q136</f>
        <v>0</v>
      </c>
      <c r="S311" s="2">
        <f t="shared" ref="S311" si="2854">R136*S136</f>
        <v>0</v>
      </c>
      <c r="U311" s="2">
        <f t="shared" ref="U311" si="2855">T136*U136</f>
        <v>0</v>
      </c>
      <c r="W311" s="2">
        <f t="shared" ref="W311" si="2856">V136*W136</f>
        <v>0</v>
      </c>
      <c r="Y311" s="2">
        <f t="shared" ref="Y311" si="2857">X136*Y136</f>
        <v>0</v>
      </c>
      <c r="AA311" s="2">
        <f t="shared" ref="AA311" si="2858">Z136*AA136</f>
        <v>0</v>
      </c>
      <c r="AC311" s="2">
        <f t="shared" ref="AC311" si="2859">AB136*AC136</f>
        <v>0</v>
      </c>
      <c r="AE311" s="2">
        <f t="shared" ref="AE311" si="2860">AD136*AE136</f>
        <v>0</v>
      </c>
      <c r="AG311" s="2">
        <f t="shared" ref="AG311" si="2861">AF136*AG136</f>
        <v>0</v>
      </c>
      <c r="AI311" s="2">
        <f t="shared" ref="AI311" si="2862">AH136*AI136</f>
        <v>0</v>
      </c>
      <c r="AK311" s="2">
        <f t="shared" ref="AK311" si="2863">AJ136*AK136</f>
        <v>0</v>
      </c>
      <c r="AM311" s="2">
        <f t="shared" ref="AM311" si="2864">AL136*AM136</f>
        <v>0</v>
      </c>
      <c r="AO311" s="2">
        <f t="shared" ref="AO311" si="2865">AN136*AO136</f>
        <v>0</v>
      </c>
      <c r="AQ311" s="2">
        <f t="shared" ref="AQ311" si="2866">AP136*AQ136</f>
        <v>0</v>
      </c>
      <c r="AS311" s="2">
        <f t="shared" ref="AS311" si="2867">AR136*AS136</f>
        <v>0</v>
      </c>
      <c r="AU311" s="2">
        <f t="shared" ref="AU311" si="2868">AT136*AU136</f>
        <v>105850</v>
      </c>
      <c r="AW311" s="2">
        <f t="shared" ref="AW311" si="2869">AV136*AW136</f>
        <v>157600</v>
      </c>
      <c r="BA311" s="2">
        <f t="shared" ref="BA311:BA349" si="2870">AZ136*BA136</f>
        <v>0</v>
      </c>
      <c r="CJ311" s="2">
        <f t="shared" ref="CJ311" si="2871">CI136*CJ136</f>
        <v>34440</v>
      </c>
      <c r="CO311" s="2">
        <f t="shared" ref="CO311:CO349" si="2872">CN136*CO136</f>
        <v>20493</v>
      </c>
      <c r="CT311" s="2">
        <f t="shared" ref="CT311:CT349" si="2873">CS136*CT136</f>
        <v>0</v>
      </c>
      <c r="CX311" s="2">
        <f t="shared" ref="CX311:CX349" si="2874">CW136*CX136</f>
        <v>54933</v>
      </c>
    </row>
    <row r="312" spans="1:102" x14ac:dyDescent="0.25">
      <c r="A312" s="2">
        <v>1984</v>
      </c>
      <c r="C312" s="2">
        <f t="shared" si="2848"/>
        <v>0</v>
      </c>
      <c r="E312" s="2">
        <f t="shared" si="2848"/>
        <v>0</v>
      </c>
      <c r="G312" s="2">
        <f t="shared" ref="G312:I312" si="2875">F137*G137</f>
        <v>0</v>
      </c>
      <c r="I312" s="2">
        <f t="shared" si="2875"/>
        <v>0</v>
      </c>
      <c r="K312" s="2">
        <f t="shared" ref="K312" si="2876">J137*K137</f>
        <v>0</v>
      </c>
      <c r="M312" s="2">
        <f t="shared" ref="M312" si="2877">L137*M137</f>
        <v>0</v>
      </c>
      <c r="O312" s="2">
        <f t="shared" ref="O312" si="2878">N137*O137</f>
        <v>0</v>
      </c>
      <c r="Q312" s="2">
        <f t="shared" ref="Q312" si="2879">P137*Q137</f>
        <v>0</v>
      </c>
      <c r="S312" s="2">
        <f t="shared" ref="S312" si="2880">R137*S137</f>
        <v>0</v>
      </c>
      <c r="U312" s="2">
        <f t="shared" ref="U312" si="2881">T137*U137</f>
        <v>0</v>
      </c>
      <c r="W312" s="2">
        <f t="shared" ref="W312" si="2882">V137*W137</f>
        <v>0</v>
      </c>
      <c r="Y312" s="2">
        <f t="shared" ref="Y312" si="2883">X137*Y137</f>
        <v>0</v>
      </c>
      <c r="AA312" s="2">
        <f t="shared" ref="AA312" si="2884">Z137*AA137</f>
        <v>0</v>
      </c>
      <c r="AC312" s="2">
        <f t="shared" ref="AC312" si="2885">AB137*AC137</f>
        <v>0</v>
      </c>
      <c r="AE312" s="2">
        <f t="shared" ref="AE312" si="2886">AD137*AE137</f>
        <v>0</v>
      </c>
      <c r="AG312" s="2">
        <f t="shared" ref="AG312" si="2887">AF137*AG137</f>
        <v>0</v>
      </c>
      <c r="AI312" s="2">
        <f t="shared" ref="AI312" si="2888">AH137*AI137</f>
        <v>0</v>
      </c>
      <c r="AK312" s="2">
        <f t="shared" ref="AK312" si="2889">AJ137*AK137</f>
        <v>0</v>
      </c>
      <c r="AM312" s="2">
        <f t="shared" ref="AM312" si="2890">AL137*AM137</f>
        <v>0</v>
      </c>
      <c r="AO312" s="2">
        <f t="shared" ref="AO312" si="2891">AN137*AO137</f>
        <v>0</v>
      </c>
      <c r="AQ312" s="2">
        <f t="shared" ref="AQ312" si="2892">AP137*AQ137</f>
        <v>0</v>
      </c>
      <c r="AS312" s="2">
        <f t="shared" ref="AS312" si="2893">AR137*AS137</f>
        <v>0</v>
      </c>
      <c r="AU312" s="2">
        <f t="shared" ref="AU312" si="2894">AT137*AU137</f>
        <v>107279.99999999999</v>
      </c>
      <c r="AW312" s="2">
        <f t="shared" ref="AW312" si="2895">AV137*AW137</f>
        <v>138800</v>
      </c>
      <c r="BA312" s="2">
        <f t="shared" si="2870"/>
        <v>0</v>
      </c>
      <c r="CJ312" s="2">
        <f t="shared" ref="CJ312" si="2896">CI137*CJ137</f>
        <v>39200</v>
      </c>
      <c r="CO312" s="2">
        <f t="shared" si="2872"/>
        <v>11340.900000000001</v>
      </c>
      <c r="CT312" s="2">
        <f t="shared" si="2873"/>
        <v>0</v>
      </c>
      <c r="CX312" s="2">
        <f t="shared" si="2874"/>
        <v>50540.9</v>
      </c>
    </row>
    <row r="313" spans="1:102" x14ac:dyDescent="0.25">
      <c r="A313" s="2">
        <v>1985</v>
      </c>
      <c r="C313" s="2">
        <f t="shared" si="2848"/>
        <v>0</v>
      </c>
      <c r="E313" s="2">
        <f t="shared" si="2848"/>
        <v>0</v>
      </c>
      <c r="G313" s="2">
        <f t="shared" ref="G313:I313" si="2897">F138*G138</f>
        <v>0</v>
      </c>
      <c r="I313" s="2">
        <f t="shared" si="2897"/>
        <v>0</v>
      </c>
      <c r="K313" s="2">
        <f t="shared" ref="K313" si="2898">J138*K138</f>
        <v>0</v>
      </c>
      <c r="M313" s="2">
        <f t="shared" ref="M313" si="2899">L138*M138</f>
        <v>0</v>
      </c>
      <c r="O313" s="2">
        <f t="shared" ref="O313" si="2900">N138*O138</f>
        <v>0</v>
      </c>
      <c r="Q313" s="2">
        <f t="shared" ref="Q313" si="2901">P138*Q138</f>
        <v>0</v>
      </c>
      <c r="S313" s="2">
        <f t="shared" ref="S313" si="2902">R138*S138</f>
        <v>0</v>
      </c>
      <c r="U313" s="2">
        <f t="shared" ref="U313" si="2903">T138*U138</f>
        <v>0</v>
      </c>
      <c r="W313" s="2">
        <f t="shared" ref="W313" si="2904">V138*W138</f>
        <v>0</v>
      </c>
      <c r="Y313" s="2">
        <f t="shared" ref="Y313" si="2905">X138*Y138</f>
        <v>0</v>
      </c>
      <c r="AA313" s="2">
        <f t="shared" ref="AA313" si="2906">Z138*AA138</f>
        <v>0</v>
      </c>
      <c r="AC313" s="2">
        <f t="shared" ref="AC313" si="2907">AB138*AC138</f>
        <v>0</v>
      </c>
      <c r="AE313" s="2">
        <f t="shared" ref="AE313" si="2908">AD138*AE138</f>
        <v>0</v>
      </c>
      <c r="AG313" s="2">
        <f t="shared" ref="AG313" si="2909">AF138*AG138</f>
        <v>0</v>
      </c>
      <c r="AI313" s="2">
        <f t="shared" ref="AI313" si="2910">AH138*AI138</f>
        <v>0</v>
      </c>
      <c r="AK313" s="2">
        <f t="shared" ref="AK313" si="2911">AJ138*AK138</f>
        <v>0</v>
      </c>
      <c r="AM313" s="2">
        <f t="shared" ref="AM313" si="2912">AL138*AM138</f>
        <v>0</v>
      </c>
      <c r="AO313" s="2">
        <f t="shared" ref="AO313" si="2913">AN138*AO138</f>
        <v>0</v>
      </c>
      <c r="AQ313" s="2">
        <f t="shared" ref="AQ313" si="2914">AP138*AQ138</f>
        <v>0</v>
      </c>
      <c r="AS313" s="2">
        <f t="shared" ref="AS313" si="2915">AR138*AS138</f>
        <v>0</v>
      </c>
      <c r="AU313" s="2">
        <f t="shared" ref="AU313" si="2916">AT138*AU138</f>
        <v>74950</v>
      </c>
      <c r="AW313" s="2">
        <f t="shared" ref="AW313" si="2917">AV138*AW138</f>
        <v>130600</v>
      </c>
      <c r="BA313" s="2">
        <f t="shared" si="2870"/>
        <v>0</v>
      </c>
      <c r="CJ313" s="2">
        <f t="shared" ref="CJ313" si="2918">CI138*CJ138</f>
        <v>30526.000000000004</v>
      </c>
      <c r="CO313" s="2">
        <f t="shared" si="2872"/>
        <v>1580</v>
      </c>
      <c r="CT313" s="2">
        <f t="shared" si="2873"/>
        <v>0</v>
      </c>
      <c r="CX313" s="2">
        <f t="shared" si="2874"/>
        <v>32106.000000000007</v>
      </c>
    </row>
    <row r="314" spans="1:102" x14ac:dyDescent="0.25">
      <c r="A314" s="2">
        <v>1986</v>
      </c>
      <c r="C314" s="2">
        <f t="shared" si="2848"/>
        <v>0</v>
      </c>
      <c r="E314" s="2">
        <f t="shared" si="2848"/>
        <v>0</v>
      </c>
      <c r="G314" s="2">
        <f t="shared" ref="G314:I314" si="2919">F139*G139</f>
        <v>0</v>
      </c>
      <c r="I314" s="2">
        <f t="shared" si="2919"/>
        <v>0</v>
      </c>
      <c r="K314" s="2">
        <f t="shared" ref="K314" si="2920">J139*K139</f>
        <v>0</v>
      </c>
      <c r="M314" s="2">
        <f t="shared" ref="M314" si="2921">L139*M139</f>
        <v>0</v>
      </c>
      <c r="O314" s="2">
        <f t="shared" ref="O314" si="2922">N139*O139</f>
        <v>0</v>
      </c>
      <c r="Q314" s="2">
        <f t="shared" ref="Q314" si="2923">P139*Q139</f>
        <v>0</v>
      </c>
      <c r="S314" s="2">
        <f t="shared" ref="S314" si="2924">R139*S139</f>
        <v>0</v>
      </c>
      <c r="U314" s="2">
        <f t="shared" ref="U314" si="2925">T139*U139</f>
        <v>0</v>
      </c>
      <c r="W314" s="2">
        <f t="shared" ref="W314" si="2926">V139*W139</f>
        <v>0</v>
      </c>
      <c r="Y314" s="2">
        <f t="shared" ref="Y314" si="2927">X139*Y139</f>
        <v>0</v>
      </c>
      <c r="AA314" s="2">
        <f t="shared" ref="AA314" si="2928">Z139*AA139</f>
        <v>0</v>
      </c>
      <c r="AC314" s="2">
        <f t="shared" ref="AC314" si="2929">AB139*AC139</f>
        <v>0</v>
      </c>
      <c r="AE314" s="2">
        <f t="shared" ref="AE314" si="2930">AD139*AE139</f>
        <v>0</v>
      </c>
      <c r="AG314" s="2">
        <f t="shared" ref="AG314" si="2931">AF139*AG139</f>
        <v>0</v>
      </c>
      <c r="AI314" s="2">
        <f t="shared" ref="AI314" si="2932">AH139*AI139</f>
        <v>0</v>
      </c>
      <c r="AK314" s="2">
        <f t="shared" ref="AK314" si="2933">AJ139*AK139</f>
        <v>0</v>
      </c>
      <c r="AM314" s="2">
        <f t="shared" ref="AM314" si="2934">AL139*AM139</f>
        <v>0</v>
      </c>
      <c r="AO314" s="2">
        <f t="shared" ref="AO314" si="2935">AN139*AO139</f>
        <v>0</v>
      </c>
      <c r="AQ314" s="2">
        <f t="shared" ref="AQ314" si="2936">AP139*AQ139</f>
        <v>0</v>
      </c>
      <c r="AS314" s="2">
        <f t="shared" ref="AS314" si="2937">AR139*AS139</f>
        <v>0</v>
      </c>
      <c r="AU314" s="2">
        <f t="shared" ref="AU314" si="2938">AT139*AU139</f>
        <v>53600</v>
      </c>
      <c r="AW314" s="2">
        <f t="shared" ref="AW314" si="2939">AV139*AW139</f>
        <v>128000</v>
      </c>
      <c r="BA314" s="2">
        <f t="shared" si="2870"/>
        <v>0</v>
      </c>
      <c r="CJ314" s="2">
        <f t="shared" ref="CJ314" si="2940">CI139*CJ139</f>
        <v>49673</v>
      </c>
      <c r="CO314" s="2">
        <f t="shared" si="2872"/>
        <v>2360</v>
      </c>
      <c r="CT314" s="2">
        <f t="shared" si="2873"/>
        <v>0</v>
      </c>
      <c r="CX314" s="2">
        <f t="shared" si="2874"/>
        <v>52032.999999999993</v>
      </c>
    </row>
    <row r="315" spans="1:102" x14ac:dyDescent="0.25">
      <c r="A315" s="2">
        <v>1987</v>
      </c>
      <c r="C315" s="2">
        <f t="shared" si="2848"/>
        <v>0</v>
      </c>
      <c r="E315" s="2">
        <f t="shared" si="2848"/>
        <v>0</v>
      </c>
      <c r="G315" s="2">
        <f t="shared" ref="G315:I315" si="2941">F140*G140</f>
        <v>0</v>
      </c>
      <c r="I315" s="2">
        <f t="shared" si="2941"/>
        <v>0</v>
      </c>
      <c r="K315" s="2">
        <f t="shared" ref="K315" si="2942">J140*K140</f>
        <v>0</v>
      </c>
      <c r="M315" s="2">
        <f t="shared" ref="M315" si="2943">L140*M140</f>
        <v>0</v>
      </c>
      <c r="O315" s="2">
        <f t="shared" ref="O315" si="2944">N140*O140</f>
        <v>0</v>
      </c>
      <c r="Q315" s="2">
        <f t="shared" ref="Q315" si="2945">P140*Q140</f>
        <v>0</v>
      </c>
      <c r="S315" s="2">
        <f t="shared" ref="S315" si="2946">R140*S140</f>
        <v>0</v>
      </c>
      <c r="U315" s="2">
        <f t="shared" ref="U315" si="2947">T140*U140</f>
        <v>0</v>
      </c>
      <c r="W315" s="2">
        <f t="shared" ref="W315" si="2948">V140*W140</f>
        <v>0</v>
      </c>
      <c r="Y315" s="2">
        <f t="shared" ref="Y315" si="2949">X140*Y140</f>
        <v>0</v>
      </c>
      <c r="AA315" s="2">
        <f t="shared" ref="AA315" si="2950">Z140*AA140</f>
        <v>0</v>
      </c>
      <c r="AC315" s="2">
        <f t="shared" ref="AC315" si="2951">AB140*AC140</f>
        <v>0</v>
      </c>
      <c r="AE315" s="2">
        <f t="shared" ref="AE315" si="2952">AD140*AE140</f>
        <v>0</v>
      </c>
      <c r="AG315" s="2">
        <f t="shared" ref="AG315" si="2953">AF140*AG140</f>
        <v>0</v>
      </c>
      <c r="AI315" s="2">
        <f t="shared" ref="AI315" si="2954">AH140*AI140</f>
        <v>0</v>
      </c>
      <c r="AK315" s="2">
        <f t="shared" ref="AK315" si="2955">AJ140*AK140</f>
        <v>0</v>
      </c>
      <c r="AM315" s="2">
        <f t="shared" ref="AM315" si="2956">AL140*AM140</f>
        <v>0</v>
      </c>
      <c r="AO315" s="2">
        <f t="shared" ref="AO315" si="2957">AN140*AO140</f>
        <v>0</v>
      </c>
      <c r="AQ315" s="2">
        <f t="shared" ref="AQ315" si="2958">AP140*AQ140</f>
        <v>0</v>
      </c>
      <c r="AS315" s="2">
        <f t="shared" ref="AS315" si="2959">AR140*AS140</f>
        <v>0</v>
      </c>
      <c r="AU315" s="2">
        <f t="shared" ref="AU315" si="2960">AT140*AU140</f>
        <v>0</v>
      </c>
      <c r="AW315" s="2">
        <f t="shared" ref="AW315" si="2961">AV140*AW140</f>
        <v>24900</v>
      </c>
      <c r="BA315" s="2">
        <f t="shared" si="2870"/>
        <v>0</v>
      </c>
      <c r="CJ315" s="2">
        <f t="shared" ref="CJ315" si="2962">CI140*CJ140</f>
        <v>42950</v>
      </c>
      <c r="CO315" s="2">
        <f t="shared" si="2872"/>
        <v>2440</v>
      </c>
      <c r="CT315" s="2">
        <f t="shared" si="2873"/>
        <v>0</v>
      </c>
      <c r="CX315" s="2">
        <f t="shared" si="2874"/>
        <v>45390</v>
      </c>
    </row>
    <row r="316" spans="1:102" x14ac:dyDescent="0.25">
      <c r="A316" s="2">
        <v>1988</v>
      </c>
      <c r="C316" s="2">
        <f t="shared" si="2848"/>
        <v>0</v>
      </c>
      <c r="E316" s="2">
        <f t="shared" si="2848"/>
        <v>0</v>
      </c>
      <c r="G316" s="2">
        <f t="shared" ref="G316:I316" si="2963">F141*G141</f>
        <v>0</v>
      </c>
      <c r="I316" s="2">
        <f t="shared" si="2963"/>
        <v>0</v>
      </c>
      <c r="K316" s="2">
        <f t="shared" ref="K316" si="2964">J141*K141</f>
        <v>0</v>
      </c>
      <c r="M316" s="2">
        <f t="shared" ref="M316" si="2965">L141*M141</f>
        <v>0</v>
      </c>
      <c r="O316" s="2">
        <f t="shared" ref="O316" si="2966">N141*O141</f>
        <v>0</v>
      </c>
      <c r="Q316" s="2">
        <f t="shared" ref="Q316" si="2967">P141*Q141</f>
        <v>0</v>
      </c>
      <c r="S316" s="2">
        <f t="shared" ref="S316" si="2968">R141*S141</f>
        <v>0</v>
      </c>
      <c r="U316" s="2">
        <f t="shared" ref="U316" si="2969">T141*U141</f>
        <v>0</v>
      </c>
      <c r="W316" s="2">
        <f t="shared" ref="W316" si="2970">V141*W141</f>
        <v>0</v>
      </c>
      <c r="Y316" s="2">
        <f t="shared" ref="Y316" si="2971">X141*Y141</f>
        <v>0</v>
      </c>
      <c r="AA316" s="2">
        <f t="shared" ref="AA316" si="2972">Z141*AA141</f>
        <v>0</v>
      </c>
      <c r="AC316" s="2">
        <f t="shared" ref="AC316" si="2973">AB141*AC141</f>
        <v>0</v>
      </c>
      <c r="AE316" s="2">
        <f t="shared" ref="AE316" si="2974">AD141*AE141</f>
        <v>0</v>
      </c>
      <c r="AG316" s="2">
        <f t="shared" ref="AG316" si="2975">AF141*AG141</f>
        <v>0</v>
      </c>
      <c r="AI316" s="2">
        <f t="shared" ref="AI316" si="2976">AH141*AI141</f>
        <v>0</v>
      </c>
      <c r="AK316" s="2">
        <f t="shared" ref="AK316" si="2977">AJ141*AK141</f>
        <v>0</v>
      </c>
      <c r="AM316" s="2">
        <f t="shared" ref="AM316" si="2978">AL141*AM141</f>
        <v>0</v>
      </c>
      <c r="AO316" s="2">
        <f t="shared" ref="AO316" si="2979">AN141*AO141</f>
        <v>0</v>
      </c>
      <c r="AQ316" s="2">
        <f t="shared" ref="AQ316" si="2980">AP141*AQ141</f>
        <v>0</v>
      </c>
      <c r="AS316" s="2">
        <f t="shared" ref="AS316" si="2981">AR141*AS141</f>
        <v>0</v>
      </c>
      <c r="AU316" s="2">
        <f t="shared" ref="AU316" si="2982">AT141*AU141</f>
        <v>0</v>
      </c>
      <c r="AW316" s="2">
        <f t="shared" ref="AW316" si="2983">AV141*AW141</f>
        <v>300</v>
      </c>
      <c r="BA316" s="2">
        <f t="shared" si="2870"/>
        <v>0</v>
      </c>
      <c r="CJ316" s="2">
        <f t="shared" ref="CJ316" si="2984">CI141*CJ141</f>
        <v>26220</v>
      </c>
      <c r="CO316" s="2">
        <f t="shared" si="2872"/>
        <v>0</v>
      </c>
      <c r="CT316" s="2">
        <f t="shared" si="2873"/>
        <v>0</v>
      </c>
      <c r="CX316" s="2">
        <f t="shared" si="2874"/>
        <v>26220</v>
      </c>
    </row>
    <row r="317" spans="1:102" x14ac:dyDescent="0.25">
      <c r="A317" s="2">
        <v>1989</v>
      </c>
      <c r="C317" s="2">
        <f t="shared" si="2848"/>
        <v>0</v>
      </c>
      <c r="E317" s="2">
        <f t="shared" si="2848"/>
        <v>0</v>
      </c>
      <c r="G317" s="2">
        <f t="shared" ref="G317:I317" si="2985">F142*G142</f>
        <v>0</v>
      </c>
      <c r="I317" s="2">
        <f t="shared" si="2985"/>
        <v>0</v>
      </c>
      <c r="K317" s="2">
        <f t="shared" ref="K317" si="2986">J142*K142</f>
        <v>0</v>
      </c>
      <c r="M317" s="2">
        <f t="shared" ref="M317" si="2987">L142*M142</f>
        <v>0</v>
      </c>
      <c r="O317" s="2">
        <f t="shared" ref="O317" si="2988">N142*O142</f>
        <v>0</v>
      </c>
      <c r="Q317" s="2">
        <f t="shared" ref="Q317" si="2989">P142*Q142</f>
        <v>0</v>
      </c>
      <c r="S317" s="2">
        <f t="shared" ref="S317" si="2990">R142*S142</f>
        <v>0</v>
      </c>
      <c r="U317" s="2">
        <f t="shared" ref="U317" si="2991">T142*U142</f>
        <v>0</v>
      </c>
      <c r="W317" s="2">
        <f t="shared" ref="W317" si="2992">V142*W142</f>
        <v>0</v>
      </c>
      <c r="Y317" s="2">
        <f t="shared" ref="Y317" si="2993">X142*Y142</f>
        <v>0</v>
      </c>
      <c r="AA317" s="2">
        <f t="shared" ref="AA317" si="2994">Z142*AA142</f>
        <v>0</v>
      </c>
      <c r="AC317" s="2">
        <f t="shared" ref="AC317" si="2995">AB142*AC142</f>
        <v>0</v>
      </c>
      <c r="AE317" s="2">
        <f t="shared" ref="AE317" si="2996">AD142*AE142</f>
        <v>0</v>
      </c>
      <c r="AG317" s="2">
        <f t="shared" ref="AG317" si="2997">AF142*AG142</f>
        <v>0</v>
      </c>
      <c r="AI317" s="2">
        <f t="shared" ref="AI317" si="2998">AH142*AI142</f>
        <v>0</v>
      </c>
      <c r="AK317" s="2">
        <f t="shared" ref="AK317" si="2999">AJ142*AK142</f>
        <v>0</v>
      </c>
      <c r="AM317" s="2">
        <f t="shared" ref="AM317" si="3000">AL142*AM142</f>
        <v>0</v>
      </c>
      <c r="AO317" s="2">
        <f t="shared" ref="AO317" si="3001">AN142*AO142</f>
        <v>0</v>
      </c>
      <c r="AQ317" s="2">
        <f t="shared" ref="AQ317" si="3002">AP142*AQ142</f>
        <v>0</v>
      </c>
      <c r="AS317" s="2">
        <f t="shared" ref="AS317" si="3003">AR142*AS142</f>
        <v>0</v>
      </c>
      <c r="AU317" s="2">
        <f t="shared" ref="AU317" si="3004">AT142*AU142</f>
        <v>0</v>
      </c>
      <c r="AW317" s="2">
        <f t="shared" ref="AW317" si="3005">AV142*AW142</f>
        <v>0</v>
      </c>
      <c r="BA317" s="2">
        <f t="shared" si="2870"/>
        <v>0</v>
      </c>
      <c r="CJ317" s="2">
        <f t="shared" ref="CJ317" si="3006">CI142*CJ142</f>
        <v>22482</v>
      </c>
      <c r="CO317" s="2">
        <f t="shared" si="2872"/>
        <v>499.99999999999994</v>
      </c>
      <c r="CT317" s="2">
        <f t="shared" si="2873"/>
        <v>0</v>
      </c>
      <c r="CX317" s="2">
        <f t="shared" si="2874"/>
        <v>22982</v>
      </c>
    </row>
    <row r="318" spans="1:102" x14ac:dyDescent="0.25">
      <c r="A318" s="2">
        <v>1990</v>
      </c>
      <c r="C318" s="2">
        <f t="shared" si="2848"/>
        <v>0</v>
      </c>
      <c r="E318" s="2">
        <f t="shared" si="2848"/>
        <v>0</v>
      </c>
      <c r="G318" s="2">
        <f t="shared" ref="G318:I318" si="3007">F143*G143</f>
        <v>0</v>
      </c>
      <c r="I318" s="2">
        <f t="shared" si="3007"/>
        <v>0</v>
      </c>
      <c r="K318" s="2">
        <f t="shared" ref="K318" si="3008">J143*K143</f>
        <v>0</v>
      </c>
      <c r="M318" s="2">
        <f t="shared" ref="M318" si="3009">L143*M143</f>
        <v>0</v>
      </c>
      <c r="O318" s="2">
        <f t="shared" ref="O318" si="3010">N143*O143</f>
        <v>0</v>
      </c>
      <c r="Q318" s="2">
        <f t="shared" ref="Q318" si="3011">P143*Q143</f>
        <v>0</v>
      </c>
      <c r="S318" s="2">
        <f t="shared" ref="S318" si="3012">R143*S143</f>
        <v>0</v>
      </c>
      <c r="U318" s="2">
        <f t="shared" ref="U318" si="3013">T143*U143</f>
        <v>0</v>
      </c>
      <c r="W318" s="2">
        <f t="shared" ref="W318" si="3014">V143*W143</f>
        <v>0</v>
      </c>
      <c r="Y318" s="2">
        <f t="shared" ref="Y318" si="3015">X143*Y143</f>
        <v>0</v>
      </c>
      <c r="AA318" s="2">
        <f t="shared" ref="AA318" si="3016">Z143*AA143</f>
        <v>0</v>
      </c>
      <c r="AC318" s="2">
        <f t="shared" ref="AC318" si="3017">AB143*AC143</f>
        <v>0</v>
      </c>
      <c r="AE318" s="2">
        <f t="shared" ref="AE318" si="3018">AD143*AE143</f>
        <v>0</v>
      </c>
      <c r="AG318" s="2">
        <f t="shared" ref="AG318" si="3019">AF143*AG143</f>
        <v>0</v>
      </c>
      <c r="AI318" s="2">
        <f t="shared" ref="AI318" si="3020">AH143*AI143</f>
        <v>0</v>
      </c>
      <c r="AK318" s="2">
        <f t="shared" ref="AK318" si="3021">AJ143*AK143</f>
        <v>0</v>
      </c>
      <c r="AM318" s="2">
        <f t="shared" ref="AM318" si="3022">AL143*AM143</f>
        <v>0</v>
      </c>
      <c r="AO318" s="2">
        <f t="shared" ref="AO318" si="3023">AN143*AO143</f>
        <v>0</v>
      </c>
      <c r="AQ318" s="2">
        <f t="shared" ref="AQ318" si="3024">AP143*AQ143</f>
        <v>0</v>
      </c>
      <c r="AS318" s="2">
        <f t="shared" ref="AS318" si="3025">AR143*AS143</f>
        <v>0</v>
      </c>
      <c r="AU318" s="2">
        <f t="shared" ref="AU318" si="3026">AT143*AU143</f>
        <v>0</v>
      </c>
      <c r="AW318" s="2">
        <f t="shared" ref="AW318" si="3027">AV143*AW143</f>
        <v>0</v>
      </c>
      <c r="BA318" s="2">
        <f t="shared" si="2870"/>
        <v>0</v>
      </c>
      <c r="CJ318" s="2">
        <f t="shared" ref="CJ318" si="3028">CI143*CJ143</f>
        <v>14279.000000000002</v>
      </c>
      <c r="CO318" s="2">
        <f t="shared" si="2872"/>
        <v>241</v>
      </c>
      <c r="CT318" s="2">
        <f t="shared" si="2873"/>
        <v>0</v>
      </c>
      <c r="CX318" s="2">
        <f t="shared" si="2874"/>
        <v>14520.000000000002</v>
      </c>
    </row>
    <row r="319" spans="1:102" x14ac:dyDescent="0.25">
      <c r="A319" s="2">
        <v>1991</v>
      </c>
      <c r="C319" s="2">
        <f t="shared" si="2848"/>
        <v>0</v>
      </c>
      <c r="E319" s="2">
        <f t="shared" si="2848"/>
        <v>0</v>
      </c>
      <c r="G319" s="2">
        <f t="shared" ref="G319:I319" si="3029">F144*G144</f>
        <v>0</v>
      </c>
      <c r="I319" s="2">
        <f t="shared" si="3029"/>
        <v>0</v>
      </c>
      <c r="K319" s="2">
        <f t="shared" ref="K319" si="3030">J144*K144</f>
        <v>0</v>
      </c>
      <c r="M319" s="2">
        <f t="shared" ref="M319" si="3031">L144*M144</f>
        <v>0</v>
      </c>
      <c r="O319" s="2">
        <f t="shared" ref="O319" si="3032">N144*O144</f>
        <v>0</v>
      </c>
      <c r="Q319" s="2">
        <f t="shared" ref="Q319" si="3033">P144*Q144</f>
        <v>0</v>
      </c>
      <c r="S319" s="2">
        <f t="shared" ref="S319" si="3034">R144*S144</f>
        <v>0</v>
      </c>
      <c r="U319" s="2">
        <f t="shared" ref="U319" si="3035">T144*U144</f>
        <v>0</v>
      </c>
      <c r="W319" s="2">
        <f t="shared" ref="W319" si="3036">V144*W144</f>
        <v>0</v>
      </c>
      <c r="Y319" s="2">
        <f t="shared" ref="Y319" si="3037">X144*Y144</f>
        <v>0</v>
      </c>
      <c r="AA319" s="2">
        <f t="shared" ref="AA319" si="3038">Z144*AA144</f>
        <v>0</v>
      </c>
      <c r="AC319" s="2">
        <f t="shared" ref="AC319" si="3039">AB144*AC144</f>
        <v>0</v>
      </c>
      <c r="AE319" s="2">
        <f t="shared" ref="AE319" si="3040">AD144*AE144</f>
        <v>0</v>
      </c>
      <c r="AG319" s="2">
        <f t="shared" ref="AG319" si="3041">AF144*AG144</f>
        <v>0</v>
      </c>
      <c r="AI319" s="2">
        <f t="shared" ref="AI319" si="3042">AH144*AI144</f>
        <v>0</v>
      </c>
      <c r="AK319" s="2">
        <f t="shared" ref="AK319" si="3043">AJ144*AK144</f>
        <v>0</v>
      </c>
      <c r="AM319" s="2">
        <f t="shared" ref="AM319" si="3044">AL144*AM144</f>
        <v>0</v>
      </c>
      <c r="AO319" s="2">
        <f t="shared" ref="AO319" si="3045">AN144*AO144</f>
        <v>0</v>
      </c>
      <c r="AQ319" s="2">
        <f t="shared" ref="AQ319" si="3046">AP144*AQ144</f>
        <v>0</v>
      </c>
      <c r="AS319" s="2">
        <f t="shared" ref="AS319" si="3047">AR144*AS144</f>
        <v>0</v>
      </c>
      <c r="AU319" s="2">
        <f t="shared" ref="AU319" si="3048">AT144*AU144</f>
        <v>0</v>
      </c>
      <c r="AW319" s="2">
        <f t="shared" ref="AW319" si="3049">AV144*AW144</f>
        <v>0</v>
      </c>
      <c r="BA319" s="2">
        <f t="shared" si="2870"/>
        <v>0</v>
      </c>
      <c r="CJ319" s="2">
        <f t="shared" ref="CJ319" si="3050">CI144*CJ144</f>
        <v>18400</v>
      </c>
      <c r="CO319" s="2">
        <f t="shared" si="2872"/>
        <v>100</v>
      </c>
      <c r="CT319" s="2">
        <f t="shared" si="2873"/>
        <v>0</v>
      </c>
      <c r="CX319" s="2">
        <f t="shared" si="2874"/>
        <v>18500</v>
      </c>
    </row>
    <row r="320" spans="1:102" x14ac:dyDescent="0.25">
      <c r="A320" s="2">
        <v>1992</v>
      </c>
      <c r="C320" s="2">
        <f t="shared" si="2848"/>
        <v>0</v>
      </c>
      <c r="E320" s="2">
        <f t="shared" si="2848"/>
        <v>0</v>
      </c>
      <c r="G320" s="2">
        <f t="shared" ref="G320:I320" si="3051">F145*G145</f>
        <v>0</v>
      </c>
      <c r="I320" s="2">
        <f t="shared" si="3051"/>
        <v>0</v>
      </c>
      <c r="K320" s="2">
        <f t="shared" ref="K320" si="3052">J145*K145</f>
        <v>0</v>
      </c>
      <c r="M320" s="2">
        <f t="shared" ref="M320" si="3053">L145*M145</f>
        <v>0</v>
      </c>
      <c r="O320" s="2">
        <f t="shared" ref="O320" si="3054">N145*O145</f>
        <v>0</v>
      </c>
      <c r="Q320" s="2">
        <f t="shared" ref="Q320" si="3055">P145*Q145</f>
        <v>0</v>
      </c>
      <c r="S320" s="2">
        <f t="shared" ref="S320" si="3056">R145*S145</f>
        <v>0</v>
      </c>
      <c r="U320" s="2">
        <f t="shared" ref="U320" si="3057">T145*U145</f>
        <v>0</v>
      </c>
      <c r="W320" s="2">
        <f t="shared" ref="W320" si="3058">V145*W145</f>
        <v>0</v>
      </c>
      <c r="Y320" s="2">
        <f t="shared" ref="Y320" si="3059">X145*Y145</f>
        <v>0</v>
      </c>
      <c r="AA320" s="2">
        <f t="shared" ref="AA320" si="3060">Z145*AA145</f>
        <v>0</v>
      </c>
      <c r="AC320" s="2">
        <f t="shared" ref="AC320" si="3061">AB145*AC145</f>
        <v>0</v>
      </c>
      <c r="AE320" s="2">
        <f t="shared" ref="AE320" si="3062">AD145*AE145</f>
        <v>0</v>
      </c>
      <c r="AG320" s="2">
        <f t="shared" ref="AG320" si="3063">AF145*AG145</f>
        <v>0</v>
      </c>
      <c r="AI320" s="2">
        <f t="shared" ref="AI320" si="3064">AH145*AI145</f>
        <v>0</v>
      </c>
      <c r="AK320" s="2">
        <f t="shared" ref="AK320" si="3065">AJ145*AK145</f>
        <v>0</v>
      </c>
      <c r="AM320" s="2">
        <f t="shared" ref="AM320" si="3066">AL145*AM145</f>
        <v>0</v>
      </c>
      <c r="AO320" s="2">
        <f t="shared" ref="AO320" si="3067">AN145*AO145</f>
        <v>0</v>
      </c>
      <c r="AQ320" s="2">
        <f t="shared" ref="AQ320" si="3068">AP145*AQ145</f>
        <v>0</v>
      </c>
      <c r="AS320" s="2">
        <f t="shared" ref="AS320" si="3069">AR145*AS145</f>
        <v>0</v>
      </c>
      <c r="AU320" s="2">
        <f t="shared" ref="AU320" si="3070">AT145*AU145</f>
        <v>0</v>
      </c>
      <c r="AW320" s="2">
        <f t="shared" ref="AW320" si="3071">AV145*AW145</f>
        <v>0</v>
      </c>
      <c r="BA320" s="2">
        <f t="shared" si="2870"/>
        <v>0</v>
      </c>
      <c r="CJ320" s="2">
        <f t="shared" ref="CJ320" si="3072">CI145*CJ145</f>
        <v>19400</v>
      </c>
      <c r="CO320" s="2">
        <f t="shared" si="2872"/>
        <v>400</v>
      </c>
      <c r="CT320" s="2">
        <f t="shared" si="2873"/>
        <v>0</v>
      </c>
      <c r="CX320" s="2">
        <f t="shared" si="2874"/>
        <v>19800.000000000004</v>
      </c>
    </row>
    <row r="321" spans="1:102" x14ac:dyDescent="0.25">
      <c r="A321" s="2">
        <v>1993</v>
      </c>
      <c r="C321" s="2">
        <f t="shared" si="2848"/>
        <v>0</v>
      </c>
      <c r="E321" s="2">
        <f t="shared" si="2848"/>
        <v>0</v>
      </c>
      <c r="G321" s="2">
        <f t="shared" ref="G321:I321" si="3073">F146*G146</f>
        <v>0</v>
      </c>
      <c r="I321" s="2">
        <f t="shared" si="3073"/>
        <v>0</v>
      </c>
      <c r="K321" s="2">
        <f t="shared" ref="K321" si="3074">J146*K146</f>
        <v>0</v>
      </c>
      <c r="M321" s="2">
        <f t="shared" ref="M321" si="3075">L146*M146</f>
        <v>0</v>
      </c>
      <c r="O321" s="2">
        <f t="shared" ref="O321" si="3076">N146*O146</f>
        <v>0</v>
      </c>
      <c r="Q321" s="2">
        <f t="shared" ref="Q321" si="3077">P146*Q146</f>
        <v>0</v>
      </c>
      <c r="S321" s="2">
        <f t="shared" ref="S321" si="3078">R146*S146</f>
        <v>0</v>
      </c>
      <c r="U321" s="2">
        <f t="shared" ref="U321" si="3079">T146*U146</f>
        <v>0</v>
      </c>
      <c r="W321" s="2">
        <f t="shared" ref="W321" si="3080">V146*W146</f>
        <v>0</v>
      </c>
      <c r="Y321" s="2">
        <f t="shared" ref="Y321" si="3081">X146*Y146</f>
        <v>0</v>
      </c>
      <c r="AA321" s="2">
        <f t="shared" ref="AA321" si="3082">Z146*AA146</f>
        <v>0</v>
      </c>
      <c r="AC321" s="2">
        <f t="shared" ref="AC321" si="3083">AB146*AC146</f>
        <v>0</v>
      </c>
      <c r="AE321" s="2">
        <f t="shared" ref="AE321" si="3084">AD146*AE146</f>
        <v>0</v>
      </c>
      <c r="AG321" s="2">
        <f t="shared" ref="AG321" si="3085">AF146*AG146</f>
        <v>0</v>
      </c>
      <c r="AI321" s="2">
        <f t="shared" ref="AI321" si="3086">AH146*AI146</f>
        <v>0</v>
      </c>
      <c r="AK321" s="2">
        <f t="shared" ref="AK321" si="3087">AJ146*AK146</f>
        <v>0</v>
      </c>
      <c r="AM321" s="2">
        <f t="shared" ref="AM321" si="3088">AL146*AM146</f>
        <v>0</v>
      </c>
      <c r="AO321" s="2">
        <f t="shared" ref="AO321" si="3089">AN146*AO146</f>
        <v>0</v>
      </c>
      <c r="AQ321" s="2">
        <f t="shared" ref="AQ321" si="3090">AP146*AQ146</f>
        <v>0</v>
      </c>
      <c r="AS321" s="2">
        <f t="shared" ref="AS321" si="3091">AR146*AS146</f>
        <v>0</v>
      </c>
      <c r="AU321" s="2">
        <f t="shared" ref="AU321" si="3092">AT146*AU146</f>
        <v>0</v>
      </c>
      <c r="AW321" s="2">
        <f t="shared" ref="AW321" si="3093">AV146*AW146</f>
        <v>1300</v>
      </c>
      <c r="BA321" s="2">
        <f t="shared" si="2870"/>
        <v>0</v>
      </c>
      <c r="CJ321" s="2">
        <f t="shared" ref="CJ321" si="3094">CI146*CJ146</f>
        <v>9800</v>
      </c>
      <c r="CO321" s="2">
        <f t="shared" si="2872"/>
        <v>1200</v>
      </c>
      <c r="CT321" s="2">
        <f t="shared" si="2873"/>
        <v>0</v>
      </c>
      <c r="CX321" s="2">
        <f t="shared" si="2874"/>
        <v>11000</v>
      </c>
    </row>
    <row r="322" spans="1:102" x14ac:dyDescent="0.25">
      <c r="A322" s="2">
        <v>1994</v>
      </c>
      <c r="C322" s="2">
        <f t="shared" si="2848"/>
        <v>0</v>
      </c>
      <c r="E322" s="2">
        <f t="shared" si="2848"/>
        <v>0</v>
      </c>
      <c r="G322" s="2">
        <f t="shared" ref="G322:I322" si="3095">F147*G147</f>
        <v>0</v>
      </c>
      <c r="I322" s="2">
        <f t="shared" si="3095"/>
        <v>0</v>
      </c>
      <c r="K322" s="2">
        <f t="shared" ref="K322" si="3096">J147*K147</f>
        <v>0</v>
      </c>
      <c r="M322" s="2">
        <f t="shared" ref="M322" si="3097">L147*M147</f>
        <v>0</v>
      </c>
      <c r="O322" s="2">
        <f t="shared" ref="O322" si="3098">N147*O147</f>
        <v>0</v>
      </c>
      <c r="Q322" s="2">
        <f t="shared" ref="Q322" si="3099">P147*Q147</f>
        <v>0</v>
      </c>
      <c r="S322" s="2">
        <f t="shared" ref="S322" si="3100">R147*S147</f>
        <v>0</v>
      </c>
      <c r="U322" s="2">
        <f t="shared" ref="U322" si="3101">T147*U147</f>
        <v>0</v>
      </c>
      <c r="W322" s="2">
        <f t="shared" ref="W322" si="3102">V147*W147</f>
        <v>0</v>
      </c>
      <c r="Y322" s="2">
        <f t="shared" ref="Y322" si="3103">X147*Y147</f>
        <v>0</v>
      </c>
      <c r="AA322" s="2">
        <f t="shared" ref="AA322" si="3104">Z147*AA147</f>
        <v>0</v>
      </c>
      <c r="AC322" s="2">
        <f t="shared" ref="AC322" si="3105">AB147*AC147</f>
        <v>0</v>
      </c>
      <c r="AE322" s="2">
        <f t="shared" ref="AE322" si="3106">AD147*AE147</f>
        <v>0</v>
      </c>
      <c r="AG322" s="2">
        <f t="shared" ref="AG322" si="3107">AF147*AG147</f>
        <v>0</v>
      </c>
      <c r="AI322" s="2">
        <f t="shared" ref="AI322" si="3108">AH147*AI147</f>
        <v>0</v>
      </c>
      <c r="AK322" s="2">
        <f t="shared" ref="AK322" si="3109">AJ147*AK147</f>
        <v>0</v>
      </c>
      <c r="AM322" s="2">
        <f t="shared" ref="AM322" si="3110">AL147*AM147</f>
        <v>0</v>
      </c>
      <c r="AO322" s="2">
        <f t="shared" ref="AO322" si="3111">AN147*AO147</f>
        <v>0</v>
      </c>
      <c r="AQ322" s="2">
        <f t="shared" ref="AQ322" si="3112">AP147*AQ147</f>
        <v>0</v>
      </c>
      <c r="AS322" s="2">
        <f t="shared" ref="AS322" si="3113">AR147*AS147</f>
        <v>0</v>
      </c>
      <c r="AU322" s="2">
        <f t="shared" ref="AU322" si="3114">AT147*AU147</f>
        <v>0</v>
      </c>
      <c r="AW322" s="2">
        <f t="shared" ref="AW322" si="3115">AV147*AW147</f>
        <v>0</v>
      </c>
      <c r="BA322" s="2">
        <f t="shared" si="2870"/>
        <v>0</v>
      </c>
      <c r="CJ322" s="2">
        <f t="shared" ref="CJ322" si="3116">CI147*CJ147</f>
        <v>20300</v>
      </c>
      <c r="CO322" s="2">
        <f t="shared" si="2872"/>
        <v>600</v>
      </c>
      <c r="CT322" s="2">
        <f t="shared" si="2873"/>
        <v>0</v>
      </c>
      <c r="CX322" s="2">
        <f t="shared" si="2874"/>
        <v>20900</v>
      </c>
    </row>
    <row r="323" spans="1:102" x14ac:dyDescent="0.25">
      <c r="A323" s="2">
        <v>1995</v>
      </c>
      <c r="C323" s="2">
        <f t="shared" si="2848"/>
        <v>0</v>
      </c>
      <c r="E323" s="2">
        <f t="shared" si="2848"/>
        <v>0</v>
      </c>
      <c r="G323" s="2">
        <f t="shared" ref="G323:I323" si="3117">F148*G148</f>
        <v>0</v>
      </c>
      <c r="I323" s="2">
        <f t="shared" si="3117"/>
        <v>0</v>
      </c>
      <c r="K323" s="2">
        <f t="shared" ref="K323" si="3118">J148*K148</f>
        <v>0</v>
      </c>
      <c r="M323" s="2">
        <f t="shared" ref="M323" si="3119">L148*M148</f>
        <v>0</v>
      </c>
      <c r="O323" s="2">
        <f t="shared" ref="O323" si="3120">N148*O148</f>
        <v>0</v>
      </c>
      <c r="Q323" s="2">
        <f t="shared" ref="Q323" si="3121">P148*Q148</f>
        <v>0</v>
      </c>
      <c r="S323" s="2">
        <f t="shared" ref="S323" si="3122">R148*S148</f>
        <v>0</v>
      </c>
      <c r="U323" s="2">
        <f t="shared" ref="U323" si="3123">T148*U148</f>
        <v>0</v>
      </c>
      <c r="W323" s="2">
        <f t="shared" ref="W323" si="3124">V148*W148</f>
        <v>0</v>
      </c>
      <c r="Y323" s="2">
        <f t="shared" ref="Y323" si="3125">X148*Y148</f>
        <v>0</v>
      </c>
      <c r="AA323" s="2">
        <f t="shared" ref="AA323" si="3126">Z148*AA148</f>
        <v>0</v>
      </c>
      <c r="AC323" s="2">
        <f t="shared" ref="AC323" si="3127">AB148*AC148</f>
        <v>0</v>
      </c>
      <c r="AE323" s="2">
        <f t="shared" ref="AE323" si="3128">AD148*AE148</f>
        <v>0</v>
      </c>
      <c r="AG323" s="2">
        <f t="shared" ref="AG323" si="3129">AF148*AG148</f>
        <v>0</v>
      </c>
      <c r="AI323" s="2">
        <f t="shared" ref="AI323" si="3130">AH148*AI148</f>
        <v>0</v>
      </c>
      <c r="AK323" s="2">
        <f t="shared" ref="AK323" si="3131">AJ148*AK148</f>
        <v>0</v>
      </c>
      <c r="AM323" s="2">
        <f t="shared" ref="AM323" si="3132">AL148*AM148</f>
        <v>0</v>
      </c>
      <c r="AO323" s="2">
        <f t="shared" ref="AO323" si="3133">AN148*AO148</f>
        <v>0</v>
      </c>
      <c r="AQ323" s="2">
        <f t="shared" ref="AQ323" si="3134">AP148*AQ148</f>
        <v>0</v>
      </c>
      <c r="AS323" s="2">
        <f t="shared" ref="AS323" si="3135">AR148*AS148</f>
        <v>0</v>
      </c>
      <c r="AU323" s="2">
        <f t="shared" ref="AU323" si="3136">AT148*AU148</f>
        <v>0</v>
      </c>
      <c r="AW323" s="2">
        <f t="shared" ref="AW323" si="3137">AV148*AW148</f>
        <v>0</v>
      </c>
      <c r="BA323" s="2">
        <f t="shared" si="2870"/>
        <v>0</v>
      </c>
      <c r="CJ323" s="2">
        <f t="shared" ref="CJ323" si="3138">CI148*CJ148</f>
        <v>41100</v>
      </c>
      <c r="CO323" s="2">
        <f t="shared" si="2872"/>
        <v>1783.1</v>
      </c>
      <c r="CT323" s="2">
        <f t="shared" si="2873"/>
        <v>0</v>
      </c>
      <c r="CX323" s="2">
        <f t="shared" si="2874"/>
        <v>42883.1</v>
      </c>
    </row>
    <row r="324" spans="1:102" x14ac:dyDescent="0.25">
      <c r="A324" s="2">
        <v>1996</v>
      </c>
      <c r="C324" s="2">
        <f t="shared" si="2848"/>
        <v>0</v>
      </c>
      <c r="E324" s="2">
        <f t="shared" si="2848"/>
        <v>0</v>
      </c>
      <c r="G324" s="2">
        <f t="shared" ref="G324:I324" si="3139">F149*G149</f>
        <v>0</v>
      </c>
      <c r="I324" s="2">
        <f t="shared" si="3139"/>
        <v>0</v>
      </c>
      <c r="K324" s="2">
        <f t="shared" ref="K324" si="3140">J149*K149</f>
        <v>0</v>
      </c>
      <c r="M324" s="2">
        <f t="shared" ref="M324" si="3141">L149*M149</f>
        <v>0</v>
      </c>
      <c r="O324" s="2">
        <f t="shared" ref="O324" si="3142">N149*O149</f>
        <v>0</v>
      </c>
      <c r="Q324" s="2">
        <f t="shared" ref="Q324" si="3143">P149*Q149</f>
        <v>0</v>
      </c>
      <c r="S324" s="2">
        <f t="shared" ref="S324" si="3144">R149*S149</f>
        <v>0</v>
      </c>
      <c r="U324" s="2">
        <f t="shared" ref="U324" si="3145">T149*U149</f>
        <v>0</v>
      </c>
      <c r="W324" s="2">
        <f t="shared" ref="W324" si="3146">V149*W149</f>
        <v>0</v>
      </c>
      <c r="Y324" s="2">
        <f t="shared" ref="Y324" si="3147">X149*Y149</f>
        <v>0</v>
      </c>
      <c r="AA324" s="2">
        <f t="shared" ref="AA324" si="3148">Z149*AA149</f>
        <v>0</v>
      </c>
      <c r="AC324" s="2">
        <f t="shared" ref="AC324" si="3149">AB149*AC149</f>
        <v>0</v>
      </c>
      <c r="AE324" s="2">
        <f t="shared" ref="AE324" si="3150">AD149*AE149</f>
        <v>0</v>
      </c>
      <c r="AG324" s="2">
        <f t="shared" ref="AG324" si="3151">AF149*AG149</f>
        <v>0</v>
      </c>
      <c r="AI324" s="2">
        <f t="shared" ref="AI324" si="3152">AH149*AI149</f>
        <v>0</v>
      </c>
      <c r="AK324" s="2">
        <f t="shared" ref="AK324" si="3153">AJ149*AK149</f>
        <v>0</v>
      </c>
      <c r="AM324" s="2">
        <f t="shared" ref="AM324" si="3154">AL149*AM149</f>
        <v>0</v>
      </c>
      <c r="AO324" s="2">
        <f t="shared" ref="AO324" si="3155">AN149*AO149</f>
        <v>0</v>
      </c>
      <c r="AQ324" s="2">
        <f t="shared" ref="AQ324" si="3156">AP149*AQ149</f>
        <v>0</v>
      </c>
      <c r="AS324" s="2">
        <f t="shared" ref="AS324" si="3157">AR149*AS149</f>
        <v>0</v>
      </c>
      <c r="AU324" s="2">
        <f t="shared" ref="AU324" si="3158">AT149*AU149</f>
        <v>0</v>
      </c>
      <c r="AW324" s="2">
        <f t="shared" ref="AW324" si="3159">AV149*AW149</f>
        <v>0</v>
      </c>
      <c r="BA324" s="2">
        <f t="shared" si="2870"/>
        <v>0</v>
      </c>
      <c r="CJ324" s="2">
        <f t="shared" ref="CJ324" si="3160">CI149*CJ149</f>
        <v>36700</v>
      </c>
      <c r="CO324" s="2">
        <f t="shared" si="2872"/>
        <v>300</v>
      </c>
      <c r="CT324" s="2">
        <f t="shared" si="2873"/>
        <v>0</v>
      </c>
      <c r="CX324" s="2">
        <f t="shared" si="2874"/>
        <v>37000</v>
      </c>
    </row>
    <row r="325" spans="1:102" x14ac:dyDescent="0.25">
      <c r="A325" s="2">
        <v>1997</v>
      </c>
      <c r="C325" s="2">
        <f t="shared" si="2848"/>
        <v>0</v>
      </c>
      <c r="E325" s="2">
        <f t="shared" si="2848"/>
        <v>0</v>
      </c>
      <c r="G325" s="2">
        <f t="shared" ref="G325:I325" si="3161">F150*G150</f>
        <v>0</v>
      </c>
      <c r="I325" s="2">
        <f t="shared" si="3161"/>
        <v>0</v>
      </c>
      <c r="K325" s="2">
        <f t="shared" ref="K325" si="3162">J150*K150</f>
        <v>0</v>
      </c>
      <c r="M325" s="2">
        <f t="shared" ref="M325" si="3163">L150*M150</f>
        <v>0</v>
      </c>
      <c r="O325" s="2">
        <f t="shared" ref="O325" si="3164">N150*O150</f>
        <v>0</v>
      </c>
      <c r="Q325" s="2">
        <f t="shared" ref="Q325" si="3165">P150*Q150</f>
        <v>0</v>
      </c>
      <c r="S325" s="2">
        <f t="shared" ref="S325" si="3166">R150*S150</f>
        <v>0</v>
      </c>
      <c r="U325" s="2">
        <f t="shared" ref="U325" si="3167">T150*U150</f>
        <v>0</v>
      </c>
      <c r="W325" s="2">
        <f t="shared" ref="W325" si="3168">V150*W150</f>
        <v>0</v>
      </c>
      <c r="Y325" s="2">
        <f t="shared" ref="Y325" si="3169">X150*Y150</f>
        <v>0</v>
      </c>
      <c r="AA325" s="2">
        <f t="shared" ref="AA325" si="3170">Z150*AA150</f>
        <v>0</v>
      </c>
      <c r="AC325" s="2">
        <f t="shared" ref="AC325" si="3171">AB150*AC150</f>
        <v>0</v>
      </c>
      <c r="AE325" s="2">
        <f t="shared" ref="AE325" si="3172">AD150*AE150</f>
        <v>0</v>
      </c>
      <c r="AG325" s="2">
        <f t="shared" ref="AG325" si="3173">AF150*AG150</f>
        <v>0</v>
      </c>
      <c r="AI325" s="2">
        <f t="shared" ref="AI325" si="3174">AH150*AI150</f>
        <v>0</v>
      </c>
      <c r="AK325" s="2">
        <f t="shared" ref="AK325" si="3175">AJ150*AK150</f>
        <v>0</v>
      </c>
      <c r="AM325" s="2">
        <f t="shared" ref="AM325" si="3176">AL150*AM150</f>
        <v>0</v>
      </c>
      <c r="AO325" s="2">
        <f t="shared" ref="AO325" si="3177">AN150*AO150</f>
        <v>0</v>
      </c>
      <c r="AQ325" s="2">
        <f t="shared" ref="AQ325" si="3178">AP150*AQ150</f>
        <v>0</v>
      </c>
      <c r="AS325" s="2">
        <f t="shared" ref="AS325" si="3179">AR150*AS150</f>
        <v>0</v>
      </c>
      <c r="AU325" s="2">
        <f t="shared" ref="AU325" si="3180">AT150*AU150</f>
        <v>0</v>
      </c>
      <c r="AW325" s="2">
        <f t="shared" ref="AW325" si="3181">AV150*AW150</f>
        <v>0</v>
      </c>
      <c r="BA325" s="2">
        <f t="shared" si="2870"/>
        <v>0</v>
      </c>
      <c r="CJ325" s="2">
        <f t="shared" ref="CJ325" si="3182">CI150*CJ150</f>
        <v>52300</v>
      </c>
      <c r="CO325" s="2">
        <f t="shared" si="2872"/>
        <v>0</v>
      </c>
      <c r="CT325" s="2">
        <f t="shared" si="2873"/>
        <v>0</v>
      </c>
      <c r="CX325" s="2">
        <f t="shared" si="2874"/>
        <v>52300</v>
      </c>
    </row>
    <row r="326" spans="1:102" x14ac:dyDescent="0.25">
      <c r="A326" s="2">
        <v>1998</v>
      </c>
      <c r="C326" s="2">
        <f t="shared" si="2848"/>
        <v>0</v>
      </c>
      <c r="E326" s="2">
        <f t="shared" si="2848"/>
        <v>0</v>
      </c>
      <c r="G326" s="2">
        <f t="shared" ref="G326:I326" si="3183">F151*G151</f>
        <v>0</v>
      </c>
      <c r="I326" s="2">
        <f t="shared" si="3183"/>
        <v>0</v>
      </c>
      <c r="K326" s="2">
        <f t="shared" ref="K326" si="3184">J151*K151</f>
        <v>0</v>
      </c>
      <c r="M326" s="2">
        <f t="shared" ref="M326" si="3185">L151*M151</f>
        <v>0</v>
      </c>
      <c r="O326" s="2">
        <f t="shared" ref="O326" si="3186">N151*O151</f>
        <v>0</v>
      </c>
      <c r="Q326" s="2">
        <f t="shared" ref="Q326" si="3187">P151*Q151</f>
        <v>0</v>
      </c>
      <c r="S326" s="2">
        <f t="shared" ref="S326" si="3188">R151*S151</f>
        <v>0</v>
      </c>
      <c r="U326" s="2">
        <f t="shared" ref="U326" si="3189">T151*U151</f>
        <v>0</v>
      </c>
      <c r="W326" s="2">
        <f t="shared" ref="W326" si="3190">V151*W151</f>
        <v>0</v>
      </c>
      <c r="Y326" s="2">
        <f t="shared" ref="Y326" si="3191">X151*Y151</f>
        <v>0</v>
      </c>
      <c r="AA326" s="2">
        <f t="shared" ref="AA326" si="3192">Z151*AA151</f>
        <v>0</v>
      </c>
      <c r="AC326" s="2">
        <f t="shared" ref="AC326" si="3193">AB151*AC151</f>
        <v>0</v>
      </c>
      <c r="AE326" s="2">
        <f t="shared" ref="AE326" si="3194">AD151*AE151</f>
        <v>0</v>
      </c>
      <c r="AG326" s="2">
        <f t="shared" ref="AG326" si="3195">AF151*AG151</f>
        <v>0</v>
      </c>
      <c r="AI326" s="2">
        <f t="shared" ref="AI326" si="3196">AH151*AI151</f>
        <v>0</v>
      </c>
      <c r="AK326" s="2">
        <f t="shared" ref="AK326" si="3197">AJ151*AK151</f>
        <v>0</v>
      </c>
      <c r="AM326" s="2">
        <f t="shared" ref="AM326" si="3198">AL151*AM151</f>
        <v>0</v>
      </c>
      <c r="AO326" s="2">
        <f t="shared" ref="AO326" si="3199">AN151*AO151</f>
        <v>0</v>
      </c>
      <c r="AQ326" s="2">
        <f t="shared" ref="AQ326" si="3200">AP151*AQ151</f>
        <v>0</v>
      </c>
      <c r="AS326" s="2">
        <f t="shared" ref="AS326" si="3201">AR151*AS151</f>
        <v>0</v>
      </c>
      <c r="AU326" s="2">
        <f t="shared" ref="AU326" si="3202">AT151*AU151</f>
        <v>0</v>
      </c>
      <c r="AW326" s="2">
        <f t="shared" ref="AW326" si="3203">AV151*AW151</f>
        <v>0</v>
      </c>
      <c r="BA326" s="2">
        <f t="shared" si="2870"/>
        <v>0</v>
      </c>
      <c r="CJ326" s="2">
        <f t="shared" ref="CJ326" si="3204">CI151*CJ151</f>
        <v>58800</v>
      </c>
      <c r="CO326" s="2">
        <f t="shared" si="2872"/>
        <v>0</v>
      </c>
      <c r="CT326" s="2">
        <f t="shared" si="2873"/>
        <v>0</v>
      </c>
      <c r="CX326" s="2">
        <f t="shared" si="2874"/>
        <v>58800</v>
      </c>
    </row>
    <row r="327" spans="1:102" x14ac:dyDescent="0.25">
      <c r="A327" s="2">
        <v>1999</v>
      </c>
      <c r="C327" s="2">
        <f t="shared" si="2848"/>
        <v>0</v>
      </c>
      <c r="E327" s="2">
        <f t="shared" si="2848"/>
        <v>0</v>
      </c>
      <c r="G327" s="2">
        <f t="shared" ref="G327:I327" si="3205">F152*G152</f>
        <v>0</v>
      </c>
      <c r="I327" s="2">
        <f t="shared" si="3205"/>
        <v>0</v>
      </c>
      <c r="K327" s="2">
        <f t="shared" ref="K327" si="3206">J152*K152</f>
        <v>0</v>
      </c>
      <c r="M327" s="2">
        <f t="shared" ref="M327" si="3207">L152*M152</f>
        <v>0</v>
      </c>
      <c r="O327" s="2">
        <f t="shared" ref="O327" si="3208">N152*O152</f>
        <v>0</v>
      </c>
      <c r="Q327" s="2">
        <f t="shared" ref="Q327" si="3209">P152*Q152</f>
        <v>0</v>
      </c>
      <c r="S327" s="2">
        <f t="shared" ref="S327" si="3210">R152*S152</f>
        <v>0</v>
      </c>
      <c r="U327" s="2">
        <f t="shared" ref="U327" si="3211">T152*U152</f>
        <v>0</v>
      </c>
      <c r="W327" s="2">
        <f t="shared" ref="W327" si="3212">V152*W152</f>
        <v>0</v>
      </c>
      <c r="Y327" s="2">
        <f t="shared" ref="Y327" si="3213">X152*Y152</f>
        <v>0</v>
      </c>
      <c r="AA327" s="2">
        <f t="shared" ref="AA327" si="3214">Z152*AA152</f>
        <v>0</v>
      </c>
      <c r="AC327" s="2">
        <f t="shared" ref="AC327" si="3215">AB152*AC152</f>
        <v>0</v>
      </c>
      <c r="AE327" s="2">
        <f t="shared" ref="AE327" si="3216">AD152*AE152</f>
        <v>0</v>
      </c>
      <c r="AG327" s="2">
        <f t="shared" ref="AG327" si="3217">AF152*AG152</f>
        <v>0</v>
      </c>
      <c r="AI327" s="2">
        <f t="shared" ref="AI327" si="3218">AH152*AI152</f>
        <v>0</v>
      </c>
      <c r="AK327" s="2">
        <f t="shared" ref="AK327" si="3219">AJ152*AK152</f>
        <v>0</v>
      </c>
      <c r="AM327" s="2">
        <f t="shared" ref="AM327" si="3220">AL152*AM152</f>
        <v>0</v>
      </c>
      <c r="AO327" s="2">
        <f t="shared" ref="AO327" si="3221">AN152*AO152</f>
        <v>0</v>
      </c>
      <c r="AQ327" s="2">
        <f t="shared" ref="AQ327" si="3222">AP152*AQ152</f>
        <v>0</v>
      </c>
      <c r="AS327" s="2">
        <f t="shared" ref="AS327" si="3223">AR152*AS152</f>
        <v>0</v>
      </c>
      <c r="AU327" s="2">
        <f t="shared" ref="AU327" si="3224">AT152*AU152</f>
        <v>0</v>
      </c>
      <c r="AW327" s="2">
        <f t="shared" ref="AW327" si="3225">AV152*AW152</f>
        <v>3999.9999999999995</v>
      </c>
      <c r="BA327" s="2">
        <f t="shared" si="2870"/>
        <v>0</v>
      </c>
      <c r="CJ327" s="2">
        <f t="shared" ref="CJ327" si="3226">CI152*CJ152</f>
        <v>46599.999999999993</v>
      </c>
      <c r="CO327" s="2">
        <f t="shared" si="2872"/>
        <v>0</v>
      </c>
      <c r="CT327" s="2">
        <f t="shared" si="2873"/>
        <v>0</v>
      </c>
      <c r="CX327" s="2">
        <f t="shared" si="2874"/>
        <v>46599.999999999993</v>
      </c>
    </row>
    <row r="328" spans="1:102" x14ac:dyDescent="0.25">
      <c r="A328" s="2">
        <v>2000</v>
      </c>
      <c r="C328" s="2">
        <f t="shared" si="2848"/>
        <v>0</v>
      </c>
      <c r="E328" s="2">
        <f t="shared" si="2848"/>
        <v>0</v>
      </c>
      <c r="G328" s="2">
        <f t="shared" ref="G328:I328" si="3227">F153*G153</f>
        <v>0</v>
      </c>
      <c r="I328" s="2">
        <f t="shared" si="3227"/>
        <v>0</v>
      </c>
      <c r="K328" s="2">
        <f t="shared" ref="K328" si="3228">J153*K153</f>
        <v>0</v>
      </c>
      <c r="M328" s="2">
        <f t="shared" ref="M328" si="3229">L153*M153</f>
        <v>0</v>
      </c>
      <c r="O328" s="2">
        <f t="shared" ref="O328" si="3230">N153*O153</f>
        <v>0</v>
      </c>
      <c r="Q328" s="2">
        <f t="shared" ref="Q328" si="3231">P153*Q153</f>
        <v>0</v>
      </c>
      <c r="S328" s="2">
        <f t="shared" ref="S328" si="3232">R153*S153</f>
        <v>0</v>
      </c>
      <c r="U328" s="2">
        <f t="shared" ref="U328" si="3233">T153*U153</f>
        <v>0</v>
      </c>
      <c r="W328" s="2">
        <f t="shared" ref="W328" si="3234">V153*W153</f>
        <v>0</v>
      </c>
      <c r="Y328" s="2">
        <f t="shared" ref="Y328" si="3235">X153*Y153</f>
        <v>0</v>
      </c>
      <c r="AA328" s="2">
        <f t="shared" ref="AA328" si="3236">Z153*AA153</f>
        <v>0</v>
      </c>
      <c r="AC328" s="2">
        <f t="shared" ref="AC328" si="3237">AB153*AC153</f>
        <v>0</v>
      </c>
      <c r="AE328" s="2">
        <f t="shared" ref="AE328" si="3238">AD153*AE153</f>
        <v>0</v>
      </c>
      <c r="AG328" s="2">
        <f t="shared" ref="AG328" si="3239">AF153*AG153</f>
        <v>0</v>
      </c>
      <c r="AI328" s="2">
        <f t="shared" ref="AI328" si="3240">AH153*AI153</f>
        <v>0</v>
      </c>
      <c r="AK328" s="2">
        <f t="shared" ref="AK328" si="3241">AJ153*AK153</f>
        <v>0</v>
      </c>
      <c r="AM328" s="2">
        <f t="shared" ref="AM328" si="3242">AL153*AM153</f>
        <v>0</v>
      </c>
      <c r="AO328" s="2">
        <f t="shared" ref="AO328" si="3243">AN153*AO153</f>
        <v>0</v>
      </c>
      <c r="AQ328" s="2">
        <f t="shared" ref="AQ328" si="3244">AP153*AQ153</f>
        <v>0</v>
      </c>
      <c r="AS328" s="2">
        <f t="shared" ref="AS328" si="3245">AR153*AS153</f>
        <v>0</v>
      </c>
      <c r="AU328" s="2">
        <f t="shared" ref="AU328" si="3246">AT153*AU153</f>
        <v>0</v>
      </c>
      <c r="AW328" s="2">
        <f t="shared" ref="AW328" si="3247">AV153*AW153</f>
        <v>0</v>
      </c>
      <c r="BA328" s="2">
        <f t="shared" si="2870"/>
        <v>0</v>
      </c>
      <c r="CJ328" s="2">
        <f t="shared" ref="CJ328" si="3248">CI153*CJ153</f>
        <v>71250</v>
      </c>
      <c r="CO328" s="2">
        <f t="shared" si="2872"/>
        <v>0</v>
      </c>
      <c r="CT328" s="2">
        <f t="shared" si="2873"/>
        <v>0</v>
      </c>
      <c r="CX328" s="2">
        <f t="shared" si="2874"/>
        <v>71250</v>
      </c>
    </row>
    <row r="329" spans="1:102" x14ac:dyDescent="0.25">
      <c r="A329" s="2">
        <v>2001</v>
      </c>
      <c r="C329" s="2">
        <f t="shared" si="2848"/>
        <v>0</v>
      </c>
      <c r="E329" s="2">
        <f t="shared" si="2848"/>
        <v>0</v>
      </c>
      <c r="G329" s="2">
        <f t="shared" ref="G329:I329" si="3249">F154*G154</f>
        <v>0</v>
      </c>
      <c r="I329" s="2">
        <f t="shared" si="3249"/>
        <v>0</v>
      </c>
      <c r="K329" s="2">
        <f t="shared" ref="K329" si="3250">J154*K154</f>
        <v>0</v>
      </c>
      <c r="M329" s="2">
        <f t="shared" ref="M329" si="3251">L154*M154</f>
        <v>0</v>
      </c>
      <c r="O329" s="2">
        <f t="shared" ref="O329" si="3252">N154*O154</f>
        <v>0</v>
      </c>
      <c r="Q329" s="2">
        <f t="shared" ref="Q329" si="3253">P154*Q154</f>
        <v>0</v>
      </c>
      <c r="S329" s="2">
        <f t="shared" ref="S329" si="3254">R154*S154</f>
        <v>0</v>
      </c>
      <c r="U329" s="2">
        <f t="shared" ref="U329" si="3255">T154*U154</f>
        <v>0</v>
      </c>
      <c r="W329" s="2">
        <f t="shared" ref="W329" si="3256">V154*W154</f>
        <v>0</v>
      </c>
      <c r="Y329" s="2">
        <f t="shared" ref="Y329" si="3257">X154*Y154</f>
        <v>0</v>
      </c>
      <c r="AA329" s="2">
        <f t="shared" ref="AA329" si="3258">Z154*AA154</f>
        <v>0</v>
      </c>
      <c r="AC329" s="2">
        <f t="shared" ref="AC329" si="3259">AB154*AC154</f>
        <v>0</v>
      </c>
      <c r="AE329" s="2">
        <f t="shared" ref="AE329" si="3260">AD154*AE154</f>
        <v>0</v>
      </c>
      <c r="AG329" s="2">
        <f t="shared" ref="AG329" si="3261">AF154*AG154</f>
        <v>0</v>
      </c>
      <c r="AI329" s="2">
        <f t="shared" ref="AI329" si="3262">AH154*AI154</f>
        <v>0</v>
      </c>
      <c r="AK329" s="2">
        <f t="shared" ref="AK329" si="3263">AJ154*AK154</f>
        <v>0</v>
      </c>
      <c r="AM329" s="2">
        <f t="shared" ref="AM329" si="3264">AL154*AM154</f>
        <v>0</v>
      </c>
      <c r="AO329" s="2">
        <f t="shared" ref="AO329" si="3265">AN154*AO154</f>
        <v>0</v>
      </c>
      <c r="AQ329" s="2">
        <f t="shared" ref="AQ329" si="3266">AP154*AQ154</f>
        <v>0</v>
      </c>
      <c r="AS329" s="2">
        <f t="shared" ref="AS329" si="3267">AR154*AS154</f>
        <v>0</v>
      </c>
      <c r="AU329" s="2">
        <f t="shared" ref="AU329" si="3268">AT154*AU154</f>
        <v>0</v>
      </c>
      <c r="AW329" s="2">
        <f t="shared" ref="AW329" si="3269">AV154*AW154</f>
        <v>0</v>
      </c>
      <c r="BA329" s="2">
        <f t="shared" si="2870"/>
        <v>0</v>
      </c>
      <c r="CJ329" s="2">
        <f t="shared" ref="CJ329" si="3270">CI154*CJ154</f>
        <v>97600</v>
      </c>
      <c r="CO329" s="2">
        <f t="shared" si="2872"/>
        <v>0</v>
      </c>
      <c r="CT329" s="2">
        <f t="shared" si="2873"/>
        <v>0</v>
      </c>
      <c r="CX329" s="2">
        <f t="shared" si="2874"/>
        <v>97600</v>
      </c>
    </row>
    <row r="330" spans="1:102" x14ac:dyDescent="0.25">
      <c r="A330" s="2">
        <v>2002</v>
      </c>
      <c r="C330" s="2">
        <f t="shared" si="2848"/>
        <v>0</v>
      </c>
      <c r="E330" s="2">
        <f t="shared" si="2848"/>
        <v>0</v>
      </c>
      <c r="G330" s="2">
        <f t="shared" ref="G330:I330" si="3271">F155*G155</f>
        <v>0</v>
      </c>
      <c r="I330" s="2">
        <f t="shared" si="3271"/>
        <v>0</v>
      </c>
      <c r="K330" s="2">
        <f t="shared" ref="K330" si="3272">J155*K155</f>
        <v>0</v>
      </c>
      <c r="M330" s="2">
        <f t="shared" ref="M330" si="3273">L155*M155</f>
        <v>0</v>
      </c>
      <c r="O330" s="2">
        <f t="shared" ref="O330" si="3274">N155*O155</f>
        <v>0</v>
      </c>
      <c r="Q330" s="2">
        <f t="shared" ref="Q330" si="3275">P155*Q155</f>
        <v>0</v>
      </c>
      <c r="S330" s="2">
        <f t="shared" ref="S330" si="3276">R155*S155</f>
        <v>0</v>
      </c>
      <c r="U330" s="2">
        <f t="shared" ref="U330" si="3277">T155*U155</f>
        <v>0</v>
      </c>
      <c r="W330" s="2">
        <f t="shared" ref="W330" si="3278">V155*W155</f>
        <v>0</v>
      </c>
      <c r="Y330" s="2">
        <f t="shared" ref="Y330" si="3279">X155*Y155</f>
        <v>0</v>
      </c>
      <c r="AA330" s="2">
        <f t="shared" ref="AA330" si="3280">Z155*AA155</f>
        <v>0</v>
      </c>
      <c r="AC330" s="2">
        <f t="shared" ref="AC330" si="3281">AB155*AC155</f>
        <v>0</v>
      </c>
      <c r="AE330" s="2">
        <f t="shared" ref="AE330" si="3282">AD155*AE155</f>
        <v>0</v>
      </c>
      <c r="AG330" s="2">
        <f t="shared" ref="AG330" si="3283">AF155*AG155</f>
        <v>0</v>
      </c>
      <c r="AI330" s="2">
        <f t="shared" ref="AI330" si="3284">AH155*AI155</f>
        <v>0</v>
      </c>
      <c r="AK330" s="2">
        <f t="shared" ref="AK330" si="3285">AJ155*AK155</f>
        <v>0</v>
      </c>
      <c r="AM330" s="2">
        <f t="shared" ref="AM330" si="3286">AL155*AM155</f>
        <v>0</v>
      </c>
      <c r="AO330" s="2">
        <f t="shared" ref="AO330" si="3287">AN155*AO155</f>
        <v>0</v>
      </c>
      <c r="AQ330" s="2">
        <f t="shared" ref="AQ330" si="3288">AP155*AQ155</f>
        <v>0</v>
      </c>
      <c r="AS330" s="2">
        <f t="shared" ref="AS330" si="3289">AR155*AS155</f>
        <v>0</v>
      </c>
      <c r="AU330" s="2">
        <f t="shared" ref="AU330" si="3290">AT155*AU155</f>
        <v>0</v>
      </c>
      <c r="AW330" s="2">
        <f t="shared" ref="AW330" si="3291">AV155*AW155</f>
        <v>74960</v>
      </c>
      <c r="BA330" s="2">
        <f t="shared" si="2870"/>
        <v>0</v>
      </c>
      <c r="CJ330" s="2">
        <f t="shared" ref="CJ330" si="3292">CI155*CJ155</f>
        <v>76300</v>
      </c>
      <c r="CO330" s="2">
        <f t="shared" si="2872"/>
        <v>0</v>
      </c>
      <c r="CT330" s="2">
        <f t="shared" si="2873"/>
        <v>0</v>
      </c>
      <c r="CX330" s="2">
        <f t="shared" si="2874"/>
        <v>76300</v>
      </c>
    </row>
    <row r="331" spans="1:102" x14ac:dyDescent="0.25">
      <c r="A331" s="2">
        <v>2003</v>
      </c>
      <c r="C331" s="2">
        <f t="shared" si="2848"/>
        <v>0</v>
      </c>
      <c r="E331" s="2">
        <f t="shared" si="2848"/>
        <v>0</v>
      </c>
      <c r="G331" s="2">
        <f t="shared" ref="G331:I331" si="3293">F156*G156</f>
        <v>0</v>
      </c>
      <c r="I331" s="2">
        <f t="shared" si="3293"/>
        <v>0</v>
      </c>
      <c r="K331" s="2">
        <f t="shared" ref="K331" si="3294">J156*K156</f>
        <v>0</v>
      </c>
      <c r="M331" s="2">
        <f t="shared" ref="M331" si="3295">L156*M156</f>
        <v>0</v>
      </c>
      <c r="O331" s="2">
        <f t="shared" ref="O331" si="3296">N156*O156</f>
        <v>0</v>
      </c>
      <c r="Q331" s="2">
        <f t="shared" ref="Q331" si="3297">P156*Q156</f>
        <v>0</v>
      </c>
      <c r="S331" s="2">
        <f t="shared" ref="S331" si="3298">R156*S156</f>
        <v>0</v>
      </c>
      <c r="U331" s="2">
        <f t="shared" ref="U331" si="3299">T156*U156</f>
        <v>0</v>
      </c>
      <c r="W331" s="2">
        <f t="shared" ref="W331" si="3300">V156*W156</f>
        <v>0</v>
      </c>
      <c r="Y331" s="2">
        <f t="shared" ref="Y331" si="3301">X156*Y156</f>
        <v>0</v>
      </c>
      <c r="AA331" s="2">
        <f t="shared" ref="AA331" si="3302">Z156*AA156</f>
        <v>0</v>
      </c>
      <c r="AC331" s="2">
        <f t="shared" ref="AC331" si="3303">AB156*AC156</f>
        <v>0</v>
      </c>
      <c r="AE331" s="2">
        <f t="shared" ref="AE331" si="3304">AD156*AE156</f>
        <v>0</v>
      </c>
      <c r="AG331" s="2">
        <f t="shared" ref="AG331" si="3305">AF156*AG156</f>
        <v>0</v>
      </c>
      <c r="AI331" s="2">
        <f t="shared" ref="AI331" si="3306">AH156*AI156</f>
        <v>0</v>
      </c>
      <c r="AK331" s="2">
        <f t="shared" ref="AK331" si="3307">AJ156*AK156</f>
        <v>0</v>
      </c>
      <c r="AM331" s="2">
        <f t="shared" ref="AM331" si="3308">AL156*AM156</f>
        <v>0</v>
      </c>
      <c r="AO331" s="2">
        <f t="shared" ref="AO331" si="3309">AN156*AO156</f>
        <v>0</v>
      </c>
      <c r="AQ331" s="2">
        <f t="shared" ref="AQ331" si="3310">AP156*AQ156</f>
        <v>0</v>
      </c>
      <c r="AS331" s="2">
        <f t="shared" ref="AS331" si="3311">AR156*AS156</f>
        <v>0</v>
      </c>
      <c r="AU331" s="2">
        <f t="shared" ref="AU331" si="3312">AT156*AU156</f>
        <v>0</v>
      </c>
      <c r="AW331" s="2">
        <f t="shared" ref="AW331" si="3313">AV156*AW156</f>
        <v>103100</v>
      </c>
      <c r="BA331" s="2">
        <f t="shared" si="2870"/>
        <v>0</v>
      </c>
      <c r="CJ331" s="2">
        <f t="shared" ref="CJ331" si="3314">CI156*CJ156</f>
        <v>65300</v>
      </c>
      <c r="CO331" s="2">
        <f t="shared" si="2872"/>
        <v>0</v>
      </c>
      <c r="CT331" s="2">
        <f t="shared" si="2873"/>
        <v>0</v>
      </c>
      <c r="CX331" s="2">
        <f t="shared" si="2874"/>
        <v>65300</v>
      </c>
    </row>
    <row r="332" spans="1:102" x14ac:dyDescent="0.25">
      <c r="A332" s="2">
        <v>2004</v>
      </c>
      <c r="C332" s="2">
        <f t="shared" si="2848"/>
        <v>0</v>
      </c>
      <c r="E332" s="2">
        <f t="shared" si="2848"/>
        <v>0</v>
      </c>
      <c r="G332" s="2">
        <f t="shared" ref="G332:I332" si="3315">F157*G157</f>
        <v>0</v>
      </c>
      <c r="I332" s="2">
        <f t="shared" si="3315"/>
        <v>0</v>
      </c>
      <c r="K332" s="2">
        <f t="shared" ref="K332" si="3316">J157*K157</f>
        <v>0</v>
      </c>
      <c r="M332" s="2">
        <f t="shared" ref="M332" si="3317">L157*M157</f>
        <v>0</v>
      </c>
      <c r="O332" s="2">
        <f t="shared" ref="O332" si="3318">N157*O157</f>
        <v>0</v>
      </c>
      <c r="Q332" s="2">
        <f t="shared" ref="Q332" si="3319">P157*Q157</f>
        <v>0</v>
      </c>
      <c r="S332" s="2">
        <f t="shared" ref="S332" si="3320">R157*S157</f>
        <v>0</v>
      </c>
      <c r="U332" s="2">
        <f t="shared" ref="U332" si="3321">T157*U157</f>
        <v>0</v>
      </c>
      <c r="W332" s="2">
        <f t="shared" ref="W332" si="3322">V157*W157</f>
        <v>0</v>
      </c>
      <c r="Y332" s="2">
        <f t="shared" ref="Y332" si="3323">X157*Y157</f>
        <v>0</v>
      </c>
      <c r="AA332" s="2">
        <f t="shared" ref="AA332" si="3324">Z157*AA157</f>
        <v>0</v>
      </c>
      <c r="AC332" s="2">
        <f t="shared" ref="AC332" si="3325">AB157*AC157</f>
        <v>0</v>
      </c>
      <c r="AE332" s="2">
        <f t="shared" ref="AE332" si="3326">AD157*AE157</f>
        <v>0</v>
      </c>
      <c r="AG332" s="2">
        <f t="shared" ref="AG332" si="3327">AF157*AG157</f>
        <v>0</v>
      </c>
      <c r="AI332" s="2">
        <f t="shared" ref="AI332" si="3328">AH157*AI157</f>
        <v>0</v>
      </c>
      <c r="AK332" s="2">
        <f t="shared" ref="AK332" si="3329">AJ157*AK157</f>
        <v>0</v>
      </c>
      <c r="AM332" s="2">
        <f t="shared" ref="AM332" si="3330">AL157*AM157</f>
        <v>0</v>
      </c>
      <c r="AO332" s="2">
        <f t="shared" ref="AO332" si="3331">AN157*AO157</f>
        <v>0</v>
      </c>
      <c r="AQ332" s="2">
        <f t="shared" ref="AQ332" si="3332">AP157*AQ157</f>
        <v>0</v>
      </c>
      <c r="AS332" s="2">
        <f t="shared" ref="AS332" si="3333">AR157*AS157</f>
        <v>0</v>
      </c>
      <c r="AU332" s="2">
        <f t="shared" ref="AU332" si="3334">AT157*AU157</f>
        <v>0</v>
      </c>
      <c r="AW332" s="2">
        <f t="shared" ref="AW332" si="3335">AV157*AW157</f>
        <v>42900</v>
      </c>
      <c r="BA332" s="2">
        <f t="shared" si="2870"/>
        <v>0</v>
      </c>
      <c r="CJ332" s="2">
        <f t="shared" ref="CJ332" si="3336">CI157*CJ157</f>
        <v>42600</v>
      </c>
      <c r="CO332" s="2">
        <f t="shared" si="2872"/>
        <v>0</v>
      </c>
      <c r="CT332" s="2">
        <f t="shared" si="2873"/>
        <v>0</v>
      </c>
      <c r="CX332" s="2">
        <f t="shared" si="2874"/>
        <v>42600</v>
      </c>
    </row>
    <row r="333" spans="1:102" x14ac:dyDescent="0.25">
      <c r="A333" s="2">
        <v>2005</v>
      </c>
      <c r="C333" s="2">
        <f t="shared" si="2848"/>
        <v>0</v>
      </c>
      <c r="E333" s="2">
        <f t="shared" si="2848"/>
        <v>0</v>
      </c>
      <c r="G333" s="2">
        <f t="shared" ref="G333:I333" si="3337">F158*G158</f>
        <v>0</v>
      </c>
      <c r="I333" s="2">
        <f t="shared" si="3337"/>
        <v>0</v>
      </c>
      <c r="K333" s="2">
        <f t="shared" ref="K333" si="3338">J158*K158</f>
        <v>0</v>
      </c>
      <c r="M333" s="2">
        <f t="shared" ref="M333" si="3339">L158*M158</f>
        <v>0</v>
      </c>
      <c r="O333" s="2">
        <f t="shared" ref="O333" si="3340">N158*O158</f>
        <v>0</v>
      </c>
      <c r="Q333" s="2">
        <f t="shared" ref="Q333" si="3341">P158*Q158</f>
        <v>0</v>
      </c>
      <c r="S333" s="2">
        <f t="shared" ref="S333" si="3342">R158*S158</f>
        <v>0</v>
      </c>
      <c r="U333" s="2">
        <f t="shared" ref="U333" si="3343">T158*U158</f>
        <v>0</v>
      </c>
      <c r="W333" s="2">
        <f t="shared" ref="W333" si="3344">V158*W158</f>
        <v>0</v>
      </c>
      <c r="Y333" s="2">
        <f t="shared" ref="Y333" si="3345">X158*Y158</f>
        <v>0</v>
      </c>
      <c r="AA333" s="2">
        <f t="shared" ref="AA333" si="3346">Z158*AA158</f>
        <v>0</v>
      </c>
      <c r="AC333" s="2">
        <f t="shared" ref="AC333" si="3347">AB158*AC158</f>
        <v>0</v>
      </c>
      <c r="AE333" s="2">
        <f t="shared" ref="AE333" si="3348">AD158*AE158</f>
        <v>0</v>
      </c>
      <c r="AG333" s="2">
        <f t="shared" ref="AG333" si="3349">AF158*AG158</f>
        <v>0</v>
      </c>
      <c r="AI333" s="2">
        <f t="shared" ref="AI333" si="3350">AH158*AI158</f>
        <v>0</v>
      </c>
      <c r="AK333" s="2">
        <f t="shared" ref="AK333" si="3351">AJ158*AK158</f>
        <v>0</v>
      </c>
      <c r="AM333" s="2">
        <f t="shared" ref="AM333" si="3352">AL158*AM158</f>
        <v>0</v>
      </c>
      <c r="AO333" s="2">
        <f t="shared" ref="AO333" si="3353">AN158*AO158</f>
        <v>0</v>
      </c>
      <c r="AQ333" s="2">
        <f t="shared" ref="AQ333" si="3354">AP158*AQ158</f>
        <v>0</v>
      </c>
      <c r="AS333" s="2">
        <f t="shared" ref="AS333" si="3355">AR158*AS158</f>
        <v>0</v>
      </c>
      <c r="AU333" s="2">
        <f t="shared" ref="AU333" si="3356">AT158*AU158</f>
        <v>0</v>
      </c>
      <c r="AW333" s="2">
        <f t="shared" ref="AW333" si="3357">AV158*AW158</f>
        <v>0</v>
      </c>
      <c r="BA333" s="2">
        <f t="shared" si="2870"/>
        <v>0</v>
      </c>
      <c r="CJ333" s="2">
        <f t="shared" ref="CJ333" si="3358">CI158*CJ158</f>
        <v>42700</v>
      </c>
      <c r="CO333" s="2">
        <f t="shared" si="2872"/>
        <v>0</v>
      </c>
      <c r="CT333" s="2">
        <f t="shared" si="2873"/>
        <v>0</v>
      </c>
      <c r="CX333" s="2">
        <f t="shared" si="2874"/>
        <v>42700</v>
      </c>
    </row>
    <row r="334" spans="1:102" x14ac:dyDescent="0.25">
      <c r="A334" s="2">
        <v>2006</v>
      </c>
      <c r="C334" s="2">
        <f t="shared" si="2848"/>
        <v>0</v>
      </c>
      <c r="E334" s="2">
        <f t="shared" si="2848"/>
        <v>0</v>
      </c>
      <c r="G334" s="2">
        <f t="shared" ref="G334:I334" si="3359">F159*G159</f>
        <v>0</v>
      </c>
      <c r="I334" s="2">
        <f t="shared" si="3359"/>
        <v>0</v>
      </c>
      <c r="K334" s="2">
        <f t="shared" ref="K334" si="3360">J159*K159</f>
        <v>0</v>
      </c>
      <c r="M334" s="2">
        <f t="shared" ref="M334" si="3361">L159*M159</f>
        <v>0</v>
      </c>
      <c r="O334" s="2">
        <f t="shared" ref="O334" si="3362">N159*O159</f>
        <v>0</v>
      </c>
      <c r="Q334" s="2">
        <f t="shared" ref="Q334" si="3363">P159*Q159</f>
        <v>0</v>
      </c>
      <c r="S334" s="2">
        <f t="shared" ref="S334" si="3364">R159*S159</f>
        <v>0</v>
      </c>
      <c r="U334" s="2">
        <f t="shared" ref="U334" si="3365">T159*U159</f>
        <v>0</v>
      </c>
      <c r="W334" s="2">
        <f t="shared" ref="W334" si="3366">V159*W159</f>
        <v>0</v>
      </c>
      <c r="Y334" s="2">
        <f t="shared" ref="Y334" si="3367">X159*Y159</f>
        <v>0</v>
      </c>
      <c r="AA334" s="2">
        <f t="shared" ref="AA334" si="3368">Z159*AA159</f>
        <v>0</v>
      </c>
      <c r="AC334" s="2">
        <f t="shared" ref="AC334" si="3369">AB159*AC159</f>
        <v>0</v>
      </c>
      <c r="AE334" s="2">
        <f t="shared" ref="AE334" si="3370">AD159*AE159</f>
        <v>0</v>
      </c>
      <c r="AG334" s="2">
        <f t="shared" ref="AG334" si="3371">AF159*AG159</f>
        <v>0</v>
      </c>
      <c r="AI334" s="2">
        <f t="shared" ref="AI334" si="3372">AH159*AI159</f>
        <v>0</v>
      </c>
      <c r="AK334" s="2">
        <f t="shared" ref="AK334" si="3373">AJ159*AK159</f>
        <v>0</v>
      </c>
      <c r="AM334" s="2">
        <f t="shared" ref="AM334" si="3374">AL159*AM159</f>
        <v>0</v>
      </c>
      <c r="AO334" s="2">
        <f t="shared" ref="AO334" si="3375">AN159*AO159</f>
        <v>0</v>
      </c>
      <c r="AQ334" s="2">
        <f t="shared" ref="AQ334" si="3376">AP159*AQ159</f>
        <v>0</v>
      </c>
      <c r="AS334" s="2">
        <f t="shared" ref="AS334" si="3377">AR159*AS159</f>
        <v>0</v>
      </c>
      <c r="AU334" s="2">
        <f t="shared" ref="AU334" si="3378">AT159*AU159</f>
        <v>0</v>
      </c>
      <c r="AW334" s="2">
        <f t="shared" ref="AW334" si="3379">AV159*AW159</f>
        <v>0</v>
      </c>
      <c r="BA334" s="2">
        <f t="shared" si="2870"/>
        <v>0</v>
      </c>
      <c r="CJ334" s="2">
        <f t="shared" ref="CJ334" si="3380">CI159*CJ159</f>
        <v>42599.999999999993</v>
      </c>
      <c r="CO334" s="2">
        <f t="shared" si="2872"/>
        <v>0</v>
      </c>
      <c r="CT334" s="2">
        <f t="shared" si="2873"/>
        <v>0</v>
      </c>
      <c r="CX334" s="2">
        <f t="shared" si="2874"/>
        <v>42599.999999999993</v>
      </c>
    </row>
    <row r="335" spans="1:102" x14ac:dyDescent="0.25">
      <c r="A335" s="2">
        <v>2007</v>
      </c>
      <c r="C335" s="2">
        <f t="shared" si="2848"/>
        <v>0</v>
      </c>
      <c r="E335" s="2">
        <f t="shared" si="2848"/>
        <v>0</v>
      </c>
      <c r="G335" s="2">
        <f t="shared" ref="G335:I335" si="3381">F160*G160</f>
        <v>0</v>
      </c>
      <c r="I335" s="2">
        <f t="shared" si="3381"/>
        <v>0</v>
      </c>
      <c r="K335" s="2">
        <f t="shared" ref="K335" si="3382">J160*K160</f>
        <v>0</v>
      </c>
      <c r="M335" s="2">
        <f t="shared" ref="M335" si="3383">L160*M160</f>
        <v>0</v>
      </c>
      <c r="O335" s="2">
        <f t="shared" ref="O335" si="3384">N160*O160</f>
        <v>0</v>
      </c>
      <c r="Q335" s="2">
        <f t="shared" ref="Q335" si="3385">P160*Q160</f>
        <v>0</v>
      </c>
      <c r="S335" s="2">
        <f t="shared" ref="S335" si="3386">R160*S160</f>
        <v>0</v>
      </c>
      <c r="U335" s="2">
        <f t="shared" ref="U335" si="3387">T160*U160</f>
        <v>0</v>
      </c>
      <c r="W335" s="2">
        <f t="shared" ref="W335" si="3388">V160*W160</f>
        <v>0</v>
      </c>
      <c r="Y335" s="2">
        <f t="shared" ref="Y335" si="3389">X160*Y160</f>
        <v>0</v>
      </c>
      <c r="AA335" s="2">
        <f t="shared" ref="AA335" si="3390">Z160*AA160</f>
        <v>0</v>
      </c>
      <c r="AC335" s="2">
        <f t="shared" ref="AC335" si="3391">AB160*AC160</f>
        <v>0</v>
      </c>
      <c r="AE335" s="2">
        <f t="shared" ref="AE335" si="3392">AD160*AE160</f>
        <v>0</v>
      </c>
      <c r="AG335" s="2">
        <f t="shared" ref="AG335" si="3393">AF160*AG160</f>
        <v>0</v>
      </c>
      <c r="AI335" s="2">
        <f t="shared" ref="AI335" si="3394">AH160*AI160</f>
        <v>0</v>
      </c>
      <c r="AK335" s="2">
        <f t="shared" ref="AK335" si="3395">AJ160*AK160</f>
        <v>0</v>
      </c>
      <c r="AM335" s="2">
        <f t="shared" ref="AM335" si="3396">AL160*AM160</f>
        <v>0</v>
      </c>
      <c r="AO335" s="2">
        <f t="shared" ref="AO335" si="3397">AN160*AO160</f>
        <v>0</v>
      </c>
      <c r="AQ335" s="2">
        <f t="shared" ref="AQ335" si="3398">AP160*AQ160</f>
        <v>0</v>
      </c>
      <c r="AS335" s="2">
        <f t="shared" ref="AS335" si="3399">AR160*AS160</f>
        <v>0</v>
      </c>
      <c r="AU335" s="2">
        <f t="shared" ref="AU335" si="3400">AT160*AU160</f>
        <v>0</v>
      </c>
      <c r="AW335" s="2">
        <f t="shared" ref="AW335" si="3401">AV160*AW160</f>
        <v>0</v>
      </c>
      <c r="BA335" s="2">
        <f t="shared" si="2870"/>
        <v>0</v>
      </c>
      <c r="CJ335" s="2">
        <f t="shared" ref="CJ335" si="3402">CI160*CJ160</f>
        <v>14800</v>
      </c>
      <c r="CO335" s="2">
        <f t="shared" si="2872"/>
        <v>0</v>
      </c>
      <c r="CT335" s="2">
        <f t="shared" si="2873"/>
        <v>0</v>
      </c>
      <c r="CX335" s="2">
        <f t="shared" si="2874"/>
        <v>14800</v>
      </c>
    </row>
    <row r="336" spans="1:102" x14ac:dyDescent="0.25">
      <c r="A336" s="2">
        <v>2008</v>
      </c>
      <c r="C336" s="2">
        <f t="shared" si="2848"/>
        <v>0</v>
      </c>
      <c r="E336" s="2">
        <f t="shared" si="2848"/>
        <v>0</v>
      </c>
      <c r="G336" s="2">
        <f t="shared" ref="G336:I336" si="3403">F161*G161</f>
        <v>0</v>
      </c>
      <c r="I336" s="2">
        <f t="shared" si="3403"/>
        <v>0</v>
      </c>
      <c r="K336" s="2">
        <f t="shared" ref="K336" si="3404">J161*K161</f>
        <v>0</v>
      </c>
      <c r="M336" s="2">
        <f t="shared" ref="M336" si="3405">L161*M161</f>
        <v>0</v>
      </c>
      <c r="O336" s="2">
        <f t="shared" ref="O336" si="3406">N161*O161</f>
        <v>0</v>
      </c>
      <c r="Q336" s="2">
        <f t="shared" ref="Q336" si="3407">P161*Q161</f>
        <v>0</v>
      </c>
      <c r="S336" s="2">
        <f t="shared" ref="S336" si="3408">R161*S161</f>
        <v>0</v>
      </c>
      <c r="U336" s="2">
        <f t="shared" ref="U336" si="3409">T161*U161</f>
        <v>0</v>
      </c>
      <c r="W336" s="2">
        <f t="shared" ref="W336" si="3410">V161*W161</f>
        <v>0</v>
      </c>
      <c r="Y336" s="2">
        <f t="shared" ref="Y336" si="3411">X161*Y161</f>
        <v>0</v>
      </c>
      <c r="AA336" s="2">
        <f t="shared" ref="AA336" si="3412">Z161*AA161</f>
        <v>0</v>
      </c>
      <c r="AC336" s="2">
        <f t="shared" ref="AC336" si="3413">AB161*AC161</f>
        <v>0</v>
      </c>
      <c r="AE336" s="2">
        <f t="shared" ref="AE336" si="3414">AD161*AE161</f>
        <v>0</v>
      </c>
      <c r="AG336" s="2">
        <f t="shared" ref="AG336" si="3415">AF161*AG161</f>
        <v>0</v>
      </c>
      <c r="AI336" s="2">
        <f t="shared" ref="AI336" si="3416">AH161*AI161</f>
        <v>0</v>
      </c>
      <c r="AK336" s="2">
        <f t="shared" ref="AK336" si="3417">AJ161*AK161</f>
        <v>0</v>
      </c>
      <c r="AM336" s="2">
        <f t="shared" ref="AM336" si="3418">AL161*AM161</f>
        <v>0</v>
      </c>
      <c r="AO336" s="2">
        <f t="shared" ref="AO336" si="3419">AN161*AO161</f>
        <v>0</v>
      </c>
      <c r="AQ336" s="2">
        <f t="shared" ref="AQ336" si="3420">AP161*AQ161</f>
        <v>0</v>
      </c>
      <c r="AS336" s="2">
        <f t="shared" ref="AS336" si="3421">AR161*AS161</f>
        <v>0</v>
      </c>
      <c r="AU336" s="2">
        <f t="shared" ref="AU336" si="3422">AT161*AU161</f>
        <v>0</v>
      </c>
      <c r="AW336" s="2">
        <f t="shared" ref="AW336" si="3423">AV161*AW161</f>
        <v>0</v>
      </c>
      <c r="BA336" s="2">
        <f t="shared" si="2870"/>
        <v>0</v>
      </c>
      <c r="CJ336" s="2">
        <f t="shared" ref="CJ336" si="3424">CI161*CJ161</f>
        <v>17000</v>
      </c>
      <c r="CO336" s="2">
        <f t="shared" si="2872"/>
        <v>0</v>
      </c>
      <c r="CT336" s="2">
        <f t="shared" si="2873"/>
        <v>0</v>
      </c>
      <c r="CX336" s="2">
        <f t="shared" si="2874"/>
        <v>17000</v>
      </c>
    </row>
    <row r="337" spans="1:102" x14ac:dyDescent="0.25">
      <c r="A337" s="2">
        <v>2009</v>
      </c>
      <c r="C337" s="2">
        <f t="shared" si="2848"/>
        <v>0</v>
      </c>
      <c r="E337" s="2">
        <f t="shared" si="2848"/>
        <v>0</v>
      </c>
      <c r="G337" s="2">
        <f t="shared" ref="G337:I337" si="3425">F162*G162</f>
        <v>0</v>
      </c>
      <c r="I337" s="2">
        <f t="shared" si="3425"/>
        <v>0</v>
      </c>
      <c r="K337" s="2">
        <f t="shared" ref="K337" si="3426">J162*K162</f>
        <v>0</v>
      </c>
      <c r="M337" s="2">
        <f t="shared" ref="M337" si="3427">L162*M162</f>
        <v>0</v>
      </c>
      <c r="O337" s="2">
        <f t="shared" ref="O337" si="3428">N162*O162</f>
        <v>0</v>
      </c>
      <c r="Q337" s="2">
        <f t="shared" ref="Q337" si="3429">P162*Q162</f>
        <v>0</v>
      </c>
      <c r="S337" s="2">
        <f t="shared" ref="S337" si="3430">R162*S162</f>
        <v>0</v>
      </c>
      <c r="U337" s="2">
        <f t="shared" ref="U337" si="3431">T162*U162</f>
        <v>0</v>
      </c>
      <c r="W337" s="2">
        <f t="shared" ref="W337" si="3432">V162*W162</f>
        <v>0</v>
      </c>
      <c r="Y337" s="2">
        <f t="shared" ref="Y337" si="3433">X162*Y162</f>
        <v>0</v>
      </c>
      <c r="AA337" s="2">
        <f t="shared" ref="AA337" si="3434">Z162*AA162</f>
        <v>0</v>
      </c>
      <c r="AC337" s="2">
        <f t="shared" ref="AC337" si="3435">AB162*AC162</f>
        <v>0</v>
      </c>
      <c r="AE337" s="2">
        <f t="shared" ref="AE337" si="3436">AD162*AE162</f>
        <v>0</v>
      </c>
      <c r="AG337" s="2">
        <f t="shared" ref="AG337" si="3437">AF162*AG162</f>
        <v>0</v>
      </c>
      <c r="AI337" s="2">
        <f t="shared" ref="AI337" si="3438">AH162*AI162</f>
        <v>0</v>
      </c>
      <c r="AK337" s="2">
        <f t="shared" ref="AK337" si="3439">AJ162*AK162</f>
        <v>0</v>
      </c>
      <c r="AM337" s="2">
        <f t="shared" ref="AM337" si="3440">AL162*AM162</f>
        <v>0</v>
      </c>
      <c r="AO337" s="2">
        <f t="shared" ref="AO337" si="3441">AN162*AO162</f>
        <v>0</v>
      </c>
      <c r="AQ337" s="2">
        <f t="shared" ref="AQ337" si="3442">AP162*AQ162</f>
        <v>0</v>
      </c>
      <c r="AS337" s="2">
        <f t="shared" ref="AS337" si="3443">AR162*AS162</f>
        <v>0</v>
      </c>
      <c r="AU337" s="2">
        <f t="shared" ref="AU337" si="3444">AT162*AU162</f>
        <v>0</v>
      </c>
      <c r="AW337" s="2">
        <f t="shared" ref="AW337" si="3445">AV162*AW162</f>
        <v>0</v>
      </c>
      <c r="BA337" s="2">
        <f t="shared" si="2870"/>
        <v>0</v>
      </c>
      <c r="CJ337" s="2">
        <f t="shared" ref="CJ337" si="3446">CI162*CJ162</f>
        <v>0</v>
      </c>
      <c r="CO337" s="2">
        <f t="shared" si="2872"/>
        <v>0</v>
      </c>
      <c r="CT337" s="2">
        <f t="shared" si="2873"/>
        <v>0</v>
      </c>
      <c r="CX337" s="2">
        <f t="shared" si="2874"/>
        <v>0</v>
      </c>
    </row>
    <row r="338" spans="1:102" x14ac:dyDescent="0.25">
      <c r="A338" s="2">
        <v>2010</v>
      </c>
      <c r="C338" s="2">
        <f t="shared" si="2848"/>
        <v>0</v>
      </c>
      <c r="E338" s="2">
        <f t="shared" si="2848"/>
        <v>0</v>
      </c>
      <c r="G338" s="2">
        <f t="shared" ref="G338:I338" si="3447">F163*G163</f>
        <v>0</v>
      </c>
      <c r="I338" s="2">
        <f t="shared" si="3447"/>
        <v>0</v>
      </c>
      <c r="K338" s="2">
        <f t="shared" ref="K338" si="3448">J163*K163</f>
        <v>0</v>
      </c>
      <c r="M338" s="2">
        <f t="shared" ref="M338" si="3449">L163*M163</f>
        <v>0</v>
      </c>
      <c r="O338" s="2">
        <f t="shared" ref="O338" si="3450">N163*O163</f>
        <v>0</v>
      </c>
      <c r="Q338" s="2">
        <f t="shared" ref="Q338" si="3451">P163*Q163</f>
        <v>0</v>
      </c>
      <c r="S338" s="2">
        <f t="shared" ref="S338" si="3452">R163*S163</f>
        <v>0</v>
      </c>
      <c r="U338" s="2">
        <f t="shared" ref="U338" si="3453">T163*U163</f>
        <v>0</v>
      </c>
      <c r="W338" s="2">
        <f t="shared" ref="W338" si="3454">V163*W163</f>
        <v>0</v>
      </c>
      <c r="Y338" s="2">
        <f t="shared" ref="Y338" si="3455">X163*Y163</f>
        <v>0</v>
      </c>
      <c r="AA338" s="2">
        <f t="shared" ref="AA338" si="3456">Z163*AA163</f>
        <v>0</v>
      </c>
      <c r="AC338" s="2">
        <f t="shared" ref="AC338" si="3457">AB163*AC163</f>
        <v>0</v>
      </c>
      <c r="AE338" s="2">
        <f t="shared" ref="AE338" si="3458">AD163*AE163</f>
        <v>0</v>
      </c>
      <c r="AG338" s="2">
        <f t="shared" ref="AG338" si="3459">AF163*AG163</f>
        <v>0</v>
      </c>
      <c r="AI338" s="2">
        <f t="shared" ref="AI338" si="3460">AH163*AI163</f>
        <v>0</v>
      </c>
      <c r="AK338" s="2">
        <f t="shared" ref="AK338" si="3461">AJ163*AK163</f>
        <v>0</v>
      </c>
      <c r="AM338" s="2">
        <f t="shared" ref="AM338" si="3462">AL163*AM163</f>
        <v>0</v>
      </c>
      <c r="AO338" s="2">
        <f t="shared" ref="AO338" si="3463">AN163*AO163</f>
        <v>0</v>
      </c>
      <c r="AQ338" s="2">
        <f t="shared" ref="AQ338" si="3464">AP163*AQ163</f>
        <v>0</v>
      </c>
      <c r="AS338" s="2">
        <f t="shared" ref="AS338" si="3465">AR163*AS163</f>
        <v>0</v>
      </c>
      <c r="AU338" s="2">
        <f t="shared" ref="AU338" si="3466">AT163*AU163</f>
        <v>0</v>
      </c>
      <c r="AW338" s="2">
        <f t="shared" ref="AW338" si="3467">AV163*AW163</f>
        <v>0</v>
      </c>
      <c r="BA338" s="2">
        <f t="shared" si="2870"/>
        <v>0</v>
      </c>
      <c r="CJ338" s="2">
        <f t="shared" ref="CJ338" si="3468">CI163*CJ163</f>
        <v>0</v>
      </c>
      <c r="CO338" s="2">
        <f t="shared" si="2872"/>
        <v>0</v>
      </c>
      <c r="CT338" s="2">
        <f t="shared" si="2873"/>
        <v>0</v>
      </c>
      <c r="CX338" s="2">
        <f t="shared" si="2874"/>
        <v>0</v>
      </c>
    </row>
    <row r="339" spans="1:102" x14ac:dyDescent="0.25">
      <c r="A339" s="2">
        <v>2011</v>
      </c>
      <c r="C339" s="2">
        <f t="shared" si="2848"/>
        <v>0</v>
      </c>
      <c r="E339" s="2">
        <f t="shared" si="2848"/>
        <v>0</v>
      </c>
      <c r="G339" s="2">
        <f t="shared" ref="G339:I339" si="3469">F164*G164</f>
        <v>0</v>
      </c>
      <c r="I339" s="2">
        <f t="shared" si="3469"/>
        <v>0</v>
      </c>
      <c r="K339" s="2">
        <f t="shared" ref="K339" si="3470">J164*K164</f>
        <v>0</v>
      </c>
      <c r="M339" s="2">
        <f t="shared" ref="M339" si="3471">L164*M164</f>
        <v>0</v>
      </c>
      <c r="O339" s="2">
        <f t="shared" ref="O339" si="3472">N164*O164</f>
        <v>0</v>
      </c>
      <c r="Q339" s="2">
        <f t="shared" ref="Q339" si="3473">P164*Q164</f>
        <v>0</v>
      </c>
      <c r="S339" s="2">
        <f t="shared" ref="S339" si="3474">R164*S164</f>
        <v>0</v>
      </c>
      <c r="U339" s="2">
        <f t="shared" ref="U339" si="3475">T164*U164</f>
        <v>0</v>
      </c>
      <c r="W339" s="2">
        <f t="shared" ref="W339" si="3476">V164*W164</f>
        <v>0</v>
      </c>
      <c r="Y339" s="2">
        <f t="shared" ref="Y339" si="3477">X164*Y164</f>
        <v>0</v>
      </c>
      <c r="AA339" s="2">
        <f t="shared" ref="AA339" si="3478">Z164*AA164</f>
        <v>0</v>
      </c>
      <c r="AC339" s="2">
        <f t="shared" ref="AC339" si="3479">AB164*AC164</f>
        <v>0</v>
      </c>
      <c r="AE339" s="2">
        <f t="shared" ref="AE339" si="3480">AD164*AE164</f>
        <v>0</v>
      </c>
      <c r="AG339" s="2">
        <f t="shared" ref="AG339" si="3481">AF164*AG164</f>
        <v>0</v>
      </c>
      <c r="AI339" s="2">
        <f t="shared" ref="AI339" si="3482">AH164*AI164</f>
        <v>0</v>
      </c>
      <c r="AK339" s="2">
        <f t="shared" ref="AK339" si="3483">AJ164*AK164</f>
        <v>0</v>
      </c>
      <c r="AM339" s="2">
        <f t="shared" ref="AM339" si="3484">AL164*AM164</f>
        <v>0</v>
      </c>
      <c r="AO339" s="2">
        <f t="shared" ref="AO339" si="3485">AN164*AO164</f>
        <v>0</v>
      </c>
      <c r="AQ339" s="2">
        <f t="shared" ref="AQ339" si="3486">AP164*AQ164</f>
        <v>0</v>
      </c>
      <c r="AS339" s="2">
        <f t="shared" ref="AS339" si="3487">AR164*AS164</f>
        <v>0</v>
      </c>
      <c r="AU339" s="2">
        <f t="shared" ref="AU339" si="3488">AT164*AU164</f>
        <v>0</v>
      </c>
      <c r="AW339" s="2">
        <f t="shared" ref="AW339" si="3489">AV164*AW164</f>
        <v>0</v>
      </c>
      <c r="BA339" s="2">
        <f t="shared" si="2870"/>
        <v>0</v>
      </c>
      <c r="CJ339" s="2">
        <f t="shared" ref="CJ339" si="3490">CI164*CJ164</f>
        <v>0</v>
      </c>
      <c r="CO339" s="2">
        <f t="shared" si="2872"/>
        <v>0</v>
      </c>
      <c r="CT339" s="2">
        <f t="shared" si="2873"/>
        <v>0</v>
      </c>
      <c r="CX339" s="2">
        <f t="shared" si="2874"/>
        <v>0</v>
      </c>
    </row>
    <row r="340" spans="1:102" x14ac:dyDescent="0.25">
      <c r="A340" s="2">
        <v>2012</v>
      </c>
      <c r="C340" s="2">
        <f t="shared" si="2848"/>
        <v>0</v>
      </c>
      <c r="E340" s="2">
        <f t="shared" si="2848"/>
        <v>0</v>
      </c>
      <c r="G340" s="2">
        <f t="shared" ref="G340:I340" si="3491">F165*G165</f>
        <v>0</v>
      </c>
      <c r="I340" s="2">
        <f t="shared" si="3491"/>
        <v>0</v>
      </c>
      <c r="K340" s="2">
        <f t="shared" ref="K340" si="3492">J165*K165</f>
        <v>0</v>
      </c>
      <c r="M340" s="2">
        <f t="shared" ref="M340" si="3493">L165*M165</f>
        <v>0</v>
      </c>
      <c r="O340" s="2">
        <f t="shared" ref="O340" si="3494">N165*O165</f>
        <v>0</v>
      </c>
      <c r="Q340" s="2">
        <f t="shared" ref="Q340" si="3495">P165*Q165</f>
        <v>0</v>
      </c>
      <c r="S340" s="2">
        <f t="shared" ref="S340" si="3496">R165*S165</f>
        <v>0</v>
      </c>
      <c r="U340" s="2">
        <f t="shared" ref="U340" si="3497">T165*U165</f>
        <v>0</v>
      </c>
      <c r="W340" s="2">
        <f t="shared" ref="W340" si="3498">V165*W165</f>
        <v>0</v>
      </c>
      <c r="Y340" s="2">
        <f t="shared" ref="Y340" si="3499">X165*Y165</f>
        <v>0</v>
      </c>
      <c r="AA340" s="2">
        <f t="shared" ref="AA340" si="3500">Z165*AA165</f>
        <v>0</v>
      </c>
      <c r="AC340" s="2">
        <f t="shared" ref="AC340" si="3501">AB165*AC165</f>
        <v>0</v>
      </c>
      <c r="AE340" s="2">
        <f t="shared" ref="AE340" si="3502">AD165*AE165</f>
        <v>0</v>
      </c>
      <c r="AG340" s="2">
        <f t="shared" ref="AG340" si="3503">AF165*AG165</f>
        <v>0</v>
      </c>
      <c r="AI340" s="2">
        <f t="shared" ref="AI340" si="3504">AH165*AI165</f>
        <v>0</v>
      </c>
      <c r="AK340" s="2">
        <f t="shared" ref="AK340" si="3505">AJ165*AK165</f>
        <v>0</v>
      </c>
      <c r="AM340" s="2">
        <f t="shared" ref="AM340" si="3506">AL165*AM165</f>
        <v>0</v>
      </c>
      <c r="AO340" s="2">
        <f t="shared" ref="AO340" si="3507">AN165*AO165</f>
        <v>0</v>
      </c>
      <c r="AQ340" s="2">
        <f t="shared" ref="AQ340" si="3508">AP165*AQ165</f>
        <v>0</v>
      </c>
      <c r="AS340" s="2">
        <f t="shared" ref="AS340" si="3509">AR165*AS165</f>
        <v>0</v>
      </c>
      <c r="AU340" s="2">
        <f t="shared" ref="AU340" si="3510">AT165*AU165</f>
        <v>0</v>
      </c>
      <c r="AW340" s="2">
        <f t="shared" ref="AW340" si="3511">AV165*AW165</f>
        <v>0</v>
      </c>
      <c r="BA340" s="2">
        <f t="shared" si="2870"/>
        <v>0</v>
      </c>
      <c r="CJ340" s="2">
        <f t="shared" ref="CJ340" si="3512">CI165*CJ165</f>
        <v>0</v>
      </c>
      <c r="CO340" s="2">
        <f t="shared" si="2872"/>
        <v>0</v>
      </c>
      <c r="CT340" s="2">
        <f t="shared" si="2873"/>
        <v>0</v>
      </c>
      <c r="CX340" s="2">
        <f t="shared" si="2874"/>
        <v>0</v>
      </c>
    </row>
    <row r="341" spans="1:102" x14ac:dyDescent="0.25">
      <c r="A341" s="2">
        <v>2013</v>
      </c>
      <c r="C341" s="2">
        <f t="shared" si="2848"/>
        <v>0</v>
      </c>
      <c r="E341" s="2">
        <f t="shared" si="2848"/>
        <v>0</v>
      </c>
      <c r="G341" s="2">
        <f t="shared" ref="G341:I341" si="3513">F166*G166</f>
        <v>0</v>
      </c>
      <c r="I341" s="2">
        <f t="shared" si="3513"/>
        <v>0</v>
      </c>
      <c r="K341" s="2">
        <f t="shared" ref="K341" si="3514">J166*K166</f>
        <v>0</v>
      </c>
      <c r="M341" s="2">
        <f t="shared" ref="M341" si="3515">L166*M166</f>
        <v>0</v>
      </c>
      <c r="O341" s="2">
        <f t="shared" ref="O341" si="3516">N166*O166</f>
        <v>0</v>
      </c>
      <c r="Q341" s="2">
        <f t="shared" ref="Q341" si="3517">P166*Q166</f>
        <v>0</v>
      </c>
      <c r="S341" s="2">
        <f t="shared" ref="S341" si="3518">R166*S166</f>
        <v>0</v>
      </c>
      <c r="U341" s="2">
        <f t="shared" ref="U341" si="3519">T166*U166</f>
        <v>0</v>
      </c>
      <c r="W341" s="2">
        <f t="shared" ref="W341" si="3520">V166*W166</f>
        <v>0</v>
      </c>
      <c r="Y341" s="2">
        <f t="shared" ref="Y341" si="3521">X166*Y166</f>
        <v>0</v>
      </c>
      <c r="AA341" s="2">
        <f t="shared" ref="AA341" si="3522">Z166*AA166</f>
        <v>0</v>
      </c>
      <c r="AC341" s="2">
        <f t="shared" ref="AC341" si="3523">AB166*AC166</f>
        <v>0</v>
      </c>
      <c r="AE341" s="2">
        <f t="shared" ref="AE341" si="3524">AD166*AE166</f>
        <v>0</v>
      </c>
      <c r="AG341" s="2">
        <f t="shared" ref="AG341" si="3525">AF166*AG166</f>
        <v>0</v>
      </c>
      <c r="AI341" s="2">
        <f t="shared" ref="AI341" si="3526">AH166*AI166</f>
        <v>0</v>
      </c>
      <c r="AK341" s="2">
        <f t="shared" ref="AK341" si="3527">AJ166*AK166</f>
        <v>0</v>
      </c>
      <c r="AM341" s="2">
        <f t="shared" ref="AM341" si="3528">AL166*AM166</f>
        <v>0</v>
      </c>
      <c r="AO341" s="2">
        <f t="shared" ref="AO341" si="3529">AN166*AO166</f>
        <v>0</v>
      </c>
      <c r="AQ341" s="2">
        <f t="shared" ref="AQ341" si="3530">AP166*AQ166</f>
        <v>0</v>
      </c>
      <c r="AS341" s="2">
        <f t="shared" ref="AS341" si="3531">AR166*AS166</f>
        <v>0</v>
      </c>
      <c r="AU341" s="2">
        <f t="shared" ref="AU341" si="3532">AT166*AU166</f>
        <v>0</v>
      </c>
      <c r="AW341" s="2">
        <f t="shared" ref="AW341" si="3533">AV166*AW166</f>
        <v>0</v>
      </c>
      <c r="BA341" s="2">
        <f t="shared" si="2870"/>
        <v>0</v>
      </c>
      <c r="CJ341" s="2">
        <f t="shared" ref="CJ341" si="3534">CI166*CJ166</f>
        <v>0</v>
      </c>
      <c r="CO341" s="2">
        <f t="shared" si="2872"/>
        <v>0</v>
      </c>
      <c r="CT341" s="2">
        <f t="shared" si="2873"/>
        <v>0</v>
      </c>
      <c r="CX341" s="2">
        <f t="shared" si="2874"/>
        <v>0</v>
      </c>
    </row>
    <row r="342" spans="1:102" x14ac:dyDescent="0.25">
      <c r="A342" s="2">
        <v>2014</v>
      </c>
      <c r="C342" s="2">
        <f t="shared" si="2848"/>
        <v>0</v>
      </c>
      <c r="E342" s="2">
        <f t="shared" si="2848"/>
        <v>0</v>
      </c>
      <c r="G342" s="2">
        <f t="shared" ref="G342:I342" si="3535">F167*G167</f>
        <v>0</v>
      </c>
      <c r="I342" s="2">
        <f t="shared" si="3535"/>
        <v>0</v>
      </c>
      <c r="K342" s="2">
        <f t="shared" ref="K342" si="3536">J167*K167</f>
        <v>0</v>
      </c>
      <c r="M342" s="2">
        <f t="shared" ref="M342" si="3537">L167*M167</f>
        <v>0</v>
      </c>
      <c r="O342" s="2">
        <f t="shared" ref="O342" si="3538">N167*O167</f>
        <v>0</v>
      </c>
      <c r="Q342" s="2">
        <f t="shared" ref="Q342" si="3539">P167*Q167</f>
        <v>0</v>
      </c>
      <c r="S342" s="2">
        <f t="shared" ref="S342" si="3540">R167*S167</f>
        <v>0</v>
      </c>
      <c r="U342" s="2">
        <f t="shared" ref="U342" si="3541">T167*U167</f>
        <v>0</v>
      </c>
      <c r="W342" s="2">
        <f t="shared" ref="W342" si="3542">V167*W167</f>
        <v>0</v>
      </c>
      <c r="Y342" s="2">
        <f t="shared" ref="Y342" si="3543">X167*Y167</f>
        <v>0</v>
      </c>
      <c r="AA342" s="2">
        <f t="shared" ref="AA342" si="3544">Z167*AA167</f>
        <v>0</v>
      </c>
      <c r="AC342" s="2">
        <f t="shared" ref="AC342" si="3545">AB167*AC167</f>
        <v>0</v>
      </c>
      <c r="AE342" s="2">
        <f t="shared" ref="AE342" si="3546">AD167*AE167</f>
        <v>0</v>
      </c>
      <c r="AG342" s="2">
        <f t="shared" ref="AG342" si="3547">AF167*AG167</f>
        <v>0</v>
      </c>
      <c r="AI342" s="2">
        <f t="shared" ref="AI342" si="3548">AH167*AI167</f>
        <v>0</v>
      </c>
      <c r="AK342" s="2">
        <f t="shared" ref="AK342" si="3549">AJ167*AK167</f>
        <v>0</v>
      </c>
      <c r="AM342" s="2">
        <f t="shared" ref="AM342" si="3550">AL167*AM167</f>
        <v>0</v>
      </c>
      <c r="AO342" s="2">
        <f t="shared" ref="AO342" si="3551">AN167*AO167</f>
        <v>0</v>
      </c>
      <c r="AQ342" s="2">
        <f t="shared" ref="AQ342" si="3552">AP167*AQ167</f>
        <v>0</v>
      </c>
      <c r="AS342" s="2">
        <f t="shared" ref="AS342" si="3553">AR167*AS167</f>
        <v>0</v>
      </c>
      <c r="AU342" s="2">
        <f t="shared" ref="AU342" si="3554">AT167*AU167</f>
        <v>0</v>
      </c>
      <c r="AW342" s="2">
        <f t="shared" ref="AW342" si="3555">AV167*AW167</f>
        <v>0</v>
      </c>
      <c r="BA342" s="2">
        <f t="shared" si="2870"/>
        <v>0</v>
      </c>
      <c r="CJ342" s="2">
        <f t="shared" ref="CJ342" si="3556">CI167*CJ167</f>
        <v>0</v>
      </c>
      <c r="CO342" s="2">
        <f t="shared" si="2872"/>
        <v>0</v>
      </c>
      <c r="CT342" s="2">
        <f t="shared" si="2873"/>
        <v>0</v>
      </c>
      <c r="CX342" s="2">
        <f t="shared" si="2874"/>
        <v>1400</v>
      </c>
    </row>
    <row r="343" spans="1:102" x14ac:dyDescent="0.25">
      <c r="A343" s="2">
        <v>2015</v>
      </c>
      <c r="C343" s="2">
        <f t="shared" si="2848"/>
        <v>0</v>
      </c>
      <c r="E343" s="2">
        <f t="shared" si="2848"/>
        <v>0</v>
      </c>
      <c r="G343" s="2">
        <f t="shared" ref="G343:I343" si="3557">F168*G168</f>
        <v>0</v>
      </c>
      <c r="I343" s="2">
        <f t="shared" si="3557"/>
        <v>0</v>
      </c>
      <c r="K343" s="2">
        <f t="shared" ref="K343" si="3558">J168*K168</f>
        <v>0</v>
      </c>
      <c r="M343" s="2">
        <f t="shared" ref="M343" si="3559">L168*M168</f>
        <v>0</v>
      </c>
      <c r="O343" s="2">
        <f t="shared" ref="O343" si="3560">N168*O168</f>
        <v>0</v>
      </c>
      <c r="Q343" s="2">
        <f t="shared" ref="Q343" si="3561">P168*Q168</f>
        <v>0</v>
      </c>
      <c r="S343" s="2">
        <f t="shared" ref="S343" si="3562">R168*S168</f>
        <v>0</v>
      </c>
      <c r="U343" s="2">
        <f t="shared" ref="U343" si="3563">T168*U168</f>
        <v>0</v>
      </c>
      <c r="W343" s="2">
        <f t="shared" ref="W343" si="3564">V168*W168</f>
        <v>0</v>
      </c>
      <c r="Y343" s="2">
        <f t="shared" ref="Y343" si="3565">X168*Y168</f>
        <v>0</v>
      </c>
      <c r="AA343" s="2">
        <f t="shared" ref="AA343" si="3566">Z168*AA168</f>
        <v>0</v>
      </c>
      <c r="AC343" s="2">
        <f t="shared" ref="AC343" si="3567">AB168*AC168</f>
        <v>0</v>
      </c>
      <c r="AE343" s="2">
        <f t="shared" ref="AE343" si="3568">AD168*AE168</f>
        <v>0</v>
      </c>
      <c r="AG343" s="2">
        <f t="shared" ref="AG343" si="3569">AF168*AG168</f>
        <v>0</v>
      </c>
      <c r="AI343" s="2">
        <f t="shared" ref="AI343" si="3570">AH168*AI168</f>
        <v>0</v>
      </c>
      <c r="AK343" s="2">
        <f t="shared" ref="AK343" si="3571">AJ168*AK168</f>
        <v>0</v>
      </c>
      <c r="AM343" s="2">
        <f t="shared" ref="AM343" si="3572">AL168*AM168</f>
        <v>0</v>
      </c>
      <c r="AO343" s="2">
        <f t="shared" ref="AO343" si="3573">AN168*AO168</f>
        <v>0</v>
      </c>
      <c r="AQ343" s="2">
        <f t="shared" ref="AQ343" si="3574">AP168*AQ168</f>
        <v>0</v>
      </c>
      <c r="AS343" s="2">
        <f t="shared" ref="AS343" si="3575">AR168*AS168</f>
        <v>0</v>
      </c>
      <c r="AU343" s="2">
        <f t="shared" ref="AU343" si="3576">AT168*AU168</f>
        <v>0</v>
      </c>
      <c r="AW343" s="2">
        <f t="shared" ref="AW343" si="3577">AV168*AW168</f>
        <v>0</v>
      </c>
      <c r="BA343" s="2">
        <f t="shared" si="2870"/>
        <v>0</v>
      </c>
      <c r="CJ343" s="2">
        <f t="shared" ref="CJ343" si="3578">CI168*CJ168</f>
        <v>0</v>
      </c>
      <c r="CO343" s="2">
        <f t="shared" si="2872"/>
        <v>0</v>
      </c>
      <c r="CT343" s="2">
        <f t="shared" si="2873"/>
        <v>0</v>
      </c>
      <c r="CX343" s="2">
        <f t="shared" si="2874"/>
        <v>2176.7000000000003</v>
      </c>
    </row>
    <row r="344" spans="1:102" x14ac:dyDescent="0.25">
      <c r="A344" s="2">
        <v>2016</v>
      </c>
      <c r="C344" s="2">
        <f t="shared" si="2848"/>
        <v>0</v>
      </c>
      <c r="E344" s="2">
        <f t="shared" si="2848"/>
        <v>0</v>
      </c>
      <c r="G344" s="2">
        <f t="shared" ref="G344:I344" si="3579">F169*G169</f>
        <v>0</v>
      </c>
      <c r="I344" s="2">
        <f t="shared" si="3579"/>
        <v>0</v>
      </c>
      <c r="K344" s="2">
        <f t="shared" ref="K344" si="3580">J169*K169</f>
        <v>0</v>
      </c>
      <c r="M344" s="2">
        <f t="shared" ref="M344" si="3581">L169*M169</f>
        <v>0</v>
      </c>
      <c r="O344" s="2">
        <f t="shared" ref="O344" si="3582">N169*O169</f>
        <v>0</v>
      </c>
      <c r="Q344" s="2">
        <f t="shared" ref="Q344" si="3583">P169*Q169</f>
        <v>0</v>
      </c>
      <c r="S344" s="2">
        <f t="shared" ref="S344" si="3584">R169*S169</f>
        <v>0</v>
      </c>
      <c r="U344" s="2">
        <f t="shared" ref="U344" si="3585">T169*U169</f>
        <v>0</v>
      </c>
      <c r="W344" s="2">
        <f t="shared" ref="W344" si="3586">V169*W169</f>
        <v>0</v>
      </c>
      <c r="Y344" s="2">
        <f t="shared" ref="Y344" si="3587">X169*Y169</f>
        <v>0</v>
      </c>
      <c r="AA344" s="2">
        <f t="shared" ref="AA344" si="3588">Z169*AA169</f>
        <v>0</v>
      </c>
      <c r="AC344" s="2">
        <f t="shared" ref="AC344" si="3589">AB169*AC169</f>
        <v>0</v>
      </c>
      <c r="AE344" s="2">
        <f t="shared" ref="AE344" si="3590">AD169*AE169</f>
        <v>0</v>
      </c>
      <c r="AG344" s="2">
        <f t="shared" ref="AG344" si="3591">AF169*AG169</f>
        <v>0</v>
      </c>
      <c r="AI344" s="2">
        <f t="shared" ref="AI344" si="3592">AH169*AI169</f>
        <v>0</v>
      </c>
      <c r="AK344" s="2">
        <f t="shared" ref="AK344" si="3593">AJ169*AK169</f>
        <v>0</v>
      </c>
      <c r="AM344" s="2">
        <f t="shared" ref="AM344" si="3594">AL169*AM169</f>
        <v>0</v>
      </c>
      <c r="AO344" s="2">
        <f t="shared" ref="AO344" si="3595">AN169*AO169</f>
        <v>0</v>
      </c>
      <c r="AQ344" s="2">
        <f t="shared" ref="AQ344" si="3596">AP169*AQ169</f>
        <v>0</v>
      </c>
      <c r="AS344" s="2">
        <f t="shared" ref="AS344" si="3597">AR169*AS169</f>
        <v>0</v>
      </c>
      <c r="AU344" s="2">
        <f t="shared" ref="AU344" si="3598">AT169*AU169</f>
        <v>0</v>
      </c>
      <c r="AW344" s="2">
        <f t="shared" ref="AW344" si="3599">AV169*AW169</f>
        <v>0</v>
      </c>
      <c r="BA344" s="2">
        <f t="shared" si="2870"/>
        <v>0</v>
      </c>
      <c r="CJ344" s="2">
        <f t="shared" ref="CJ344" si="3600">CI169*CJ169</f>
        <v>0</v>
      </c>
      <c r="CO344" s="2">
        <f t="shared" si="2872"/>
        <v>0</v>
      </c>
      <c r="CT344" s="2">
        <f t="shared" si="2873"/>
        <v>0</v>
      </c>
      <c r="CX344" s="2">
        <f t="shared" si="2874"/>
        <v>4128</v>
      </c>
    </row>
    <row r="345" spans="1:102" x14ac:dyDescent="0.25">
      <c r="A345" s="2">
        <v>2017</v>
      </c>
      <c r="C345" s="2">
        <f t="shared" si="2848"/>
        <v>0</v>
      </c>
      <c r="E345" s="2">
        <f t="shared" si="2848"/>
        <v>0</v>
      </c>
      <c r="G345" s="2">
        <f t="shared" ref="G345:I345" si="3601">F170*G170</f>
        <v>0</v>
      </c>
      <c r="I345" s="2">
        <f t="shared" si="3601"/>
        <v>0</v>
      </c>
      <c r="K345" s="2">
        <f t="shared" ref="K345" si="3602">J170*K170</f>
        <v>0</v>
      </c>
      <c r="M345" s="2">
        <f t="shared" ref="M345" si="3603">L170*M170</f>
        <v>0</v>
      </c>
      <c r="O345" s="2">
        <f t="shared" ref="O345" si="3604">N170*O170</f>
        <v>0</v>
      </c>
      <c r="Q345" s="2">
        <f t="shared" ref="Q345" si="3605">P170*Q170</f>
        <v>0</v>
      </c>
      <c r="S345" s="2">
        <f t="shared" ref="S345" si="3606">R170*S170</f>
        <v>0</v>
      </c>
      <c r="U345" s="2">
        <f t="shared" ref="U345" si="3607">T170*U170</f>
        <v>0</v>
      </c>
      <c r="W345" s="2">
        <f t="shared" ref="W345" si="3608">V170*W170</f>
        <v>0</v>
      </c>
      <c r="Y345" s="2">
        <f t="shared" ref="Y345" si="3609">X170*Y170</f>
        <v>0</v>
      </c>
      <c r="AA345" s="2">
        <f t="shared" ref="AA345" si="3610">Z170*AA170</f>
        <v>0</v>
      </c>
      <c r="AC345" s="2">
        <f t="shared" ref="AC345" si="3611">AB170*AC170</f>
        <v>0</v>
      </c>
      <c r="AE345" s="2">
        <f t="shared" ref="AE345" si="3612">AD170*AE170</f>
        <v>0</v>
      </c>
      <c r="AG345" s="2">
        <f t="shared" ref="AG345" si="3613">AF170*AG170</f>
        <v>0</v>
      </c>
      <c r="AI345" s="2">
        <f t="shared" ref="AI345" si="3614">AH170*AI170</f>
        <v>0</v>
      </c>
      <c r="AK345" s="2">
        <f t="shared" ref="AK345" si="3615">AJ170*AK170</f>
        <v>0</v>
      </c>
      <c r="AM345" s="2">
        <f t="shared" ref="AM345" si="3616">AL170*AM170</f>
        <v>0</v>
      </c>
      <c r="AO345" s="2">
        <f t="shared" ref="AO345" si="3617">AN170*AO170</f>
        <v>0</v>
      </c>
      <c r="AQ345" s="2">
        <f t="shared" ref="AQ345" si="3618">AP170*AQ170</f>
        <v>0</v>
      </c>
      <c r="AS345" s="2">
        <f t="shared" ref="AS345" si="3619">AR170*AS170</f>
        <v>0</v>
      </c>
      <c r="AU345" s="2">
        <f t="shared" ref="AU345" si="3620">AT170*AU170</f>
        <v>0</v>
      </c>
      <c r="AW345" s="2">
        <f t="shared" ref="AW345" si="3621">AV170*AW170</f>
        <v>0</v>
      </c>
      <c r="BA345" s="2">
        <f t="shared" si="2870"/>
        <v>0</v>
      </c>
      <c r="CJ345" s="2">
        <f t="shared" ref="CJ345" si="3622">CI170*CJ170</f>
        <v>0</v>
      </c>
      <c r="CO345" s="2">
        <f t="shared" si="2872"/>
        <v>0</v>
      </c>
      <c r="CT345" s="2">
        <f t="shared" si="2873"/>
        <v>0</v>
      </c>
      <c r="CX345" s="2">
        <f t="shared" si="2874"/>
        <v>2110</v>
      </c>
    </row>
    <row r="346" spans="1:102" x14ac:dyDescent="0.25">
      <c r="A346" s="2">
        <v>2018</v>
      </c>
      <c r="C346" s="2">
        <f t="shared" si="2848"/>
        <v>0</v>
      </c>
      <c r="E346" s="2">
        <f t="shared" si="2848"/>
        <v>0</v>
      </c>
      <c r="G346" s="2">
        <f t="shared" ref="G346:I346" si="3623">F171*G171</f>
        <v>0</v>
      </c>
      <c r="I346" s="2">
        <f t="shared" si="3623"/>
        <v>0</v>
      </c>
      <c r="K346" s="2">
        <f t="shared" ref="K346" si="3624">J171*K171</f>
        <v>0</v>
      </c>
      <c r="M346" s="2">
        <f t="shared" ref="M346" si="3625">L171*M171</f>
        <v>0</v>
      </c>
      <c r="O346" s="2">
        <f t="shared" ref="O346" si="3626">N171*O171</f>
        <v>0</v>
      </c>
      <c r="Q346" s="2">
        <f t="shared" ref="Q346" si="3627">P171*Q171</f>
        <v>0</v>
      </c>
      <c r="S346" s="2">
        <f t="shared" ref="S346" si="3628">R171*S171</f>
        <v>0</v>
      </c>
      <c r="U346" s="2">
        <f t="shared" ref="U346" si="3629">T171*U171</f>
        <v>0</v>
      </c>
      <c r="W346" s="2">
        <f t="shared" ref="W346" si="3630">V171*W171</f>
        <v>0</v>
      </c>
      <c r="Y346" s="2">
        <f t="shared" ref="Y346" si="3631">X171*Y171</f>
        <v>0</v>
      </c>
      <c r="AA346" s="2">
        <f t="shared" ref="AA346" si="3632">Z171*AA171</f>
        <v>0</v>
      </c>
      <c r="AC346" s="2">
        <f t="shared" ref="AC346" si="3633">AB171*AC171</f>
        <v>0</v>
      </c>
      <c r="AE346" s="2">
        <f t="shared" ref="AE346" si="3634">AD171*AE171</f>
        <v>0</v>
      </c>
      <c r="AG346" s="2">
        <f t="shared" ref="AG346" si="3635">AF171*AG171</f>
        <v>0</v>
      </c>
      <c r="AI346" s="2">
        <f t="shared" ref="AI346" si="3636">AH171*AI171</f>
        <v>0</v>
      </c>
      <c r="AK346" s="2">
        <f t="shared" ref="AK346" si="3637">AJ171*AK171</f>
        <v>0</v>
      </c>
      <c r="AM346" s="2">
        <f t="shared" ref="AM346" si="3638">AL171*AM171</f>
        <v>0</v>
      </c>
      <c r="AO346" s="2">
        <f t="shared" ref="AO346" si="3639">AN171*AO171</f>
        <v>0</v>
      </c>
      <c r="AQ346" s="2">
        <f t="shared" ref="AQ346" si="3640">AP171*AQ171</f>
        <v>0</v>
      </c>
      <c r="AS346" s="2">
        <f t="shared" ref="AS346" si="3641">AR171*AS171</f>
        <v>0</v>
      </c>
      <c r="AU346" s="2">
        <f t="shared" ref="AU346" si="3642">AT171*AU171</f>
        <v>0</v>
      </c>
      <c r="AW346" s="2">
        <f t="shared" ref="AW346" si="3643">AV171*AW171</f>
        <v>0</v>
      </c>
      <c r="BA346" s="2">
        <f t="shared" si="2870"/>
        <v>0</v>
      </c>
      <c r="CJ346" s="2">
        <f t="shared" ref="CJ346" si="3644">CI171*CJ171</f>
        <v>0</v>
      </c>
      <c r="CO346" s="2">
        <f t="shared" si="2872"/>
        <v>0</v>
      </c>
      <c r="CT346" s="2">
        <f t="shared" si="2873"/>
        <v>0</v>
      </c>
      <c r="CX346" s="2">
        <f t="shared" si="2874"/>
        <v>8210</v>
      </c>
    </row>
    <row r="347" spans="1:102" x14ac:dyDescent="0.25">
      <c r="A347" s="2">
        <v>2019</v>
      </c>
      <c r="C347" s="2">
        <f t="shared" si="2848"/>
        <v>0</v>
      </c>
      <c r="E347" s="2">
        <f t="shared" si="2848"/>
        <v>0</v>
      </c>
      <c r="G347" s="2">
        <f t="shared" ref="G347:I347" si="3645">F172*G172</f>
        <v>0</v>
      </c>
      <c r="I347" s="2">
        <f t="shared" si="3645"/>
        <v>0</v>
      </c>
      <c r="K347" s="2">
        <f t="shared" ref="K347" si="3646">J172*K172</f>
        <v>0</v>
      </c>
      <c r="M347" s="2">
        <f t="shared" ref="M347" si="3647">L172*M172</f>
        <v>0</v>
      </c>
      <c r="O347" s="2">
        <f t="shared" ref="O347" si="3648">N172*O172</f>
        <v>0</v>
      </c>
      <c r="Q347" s="2">
        <f t="shared" ref="Q347" si="3649">P172*Q172</f>
        <v>0</v>
      </c>
      <c r="S347" s="2">
        <f t="shared" ref="S347" si="3650">R172*S172</f>
        <v>0</v>
      </c>
      <c r="U347" s="2">
        <f t="shared" ref="U347" si="3651">T172*U172</f>
        <v>0</v>
      </c>
      <c r="W347" s="2">
        <f t="shared" ref="W347" si="3652">V172*W172</f>
        <v>0</v>
      </c>
      <c r="Y347" s="2">
        <f t="shared" ref="Y347" si="3653">X172*Y172</f>
        <v>0</v>
      </c>
      <c r="AA347" s="2">
        <f t="shared" ref="AA347" si="3654">Z172*AA172</f>
        <v>0</v>
      </c>
      <c r="AC347" s="2">
        <f t="shared" ref="AC347" si="3655">AB172*AC172</f>
        <v>0</v>
      </c>
      <c r="AE347" s="2">
        <f t="shared" ref="AE347" si="3656">AD172*AE172</f>
        <v>0</v>
      </c>
      <c r="AG347" s="2">
        <f t="shared" ref="AG347" si="3657">AF172*AG172</f>
        <v>0</v>
      </c>
      <c r="AI347" s="2">
        <f t="shared" ref="AI347" si="3658">AH172*AI172</f>
        <v>0</v>
      </c>
      <c r="AK347" s="2">
        <f t="shared" ref="AK347" si="3659">AJ172*AK172</f>
        <v>0</v>
      </c>
      <c r="AM347" s="2">
        <f t="shared" ref="AM347" si="3660">AL172*AM172</f>
        <v>0</v>
      </c>
      <c r="AO347" s="2">
        <f t="shared" ref="AO347" si="3661">AN172*AO172</f>
        <v>0</v>
      </c>
      <c r="AQ347" s="2">
        <f t="shared" ref="AQ347" si="3662">AP172*AQ172</f>
        <v>0</v>
      </c>
      <c r="AS347" s="2">
        <f t="shared" ref="AS347" si="3663">AR172*AS172</f>
        <v>0</v>
      </c>
      <c r="AU347" s="2">
        <f t="shared" ref="AU347" si="3664">AT172*AU172</f>
        <v>0</v>
      </c>
      <c r="AW347" s="2">
        <f t="shared" ref="AW347" si="3665">AV172*AW172</f>
        <v>0</v>
      </c>
      <c r="BA347" s="2">
        <f t="shared" si="2870"/>
        <v>0</v>
      </c>
      <c r="CJ347" s="2">
        <f t="shared" ref="CJ347" si="3666">CI172*CJ172</f>
        <v>0</v>
      </c>
      <c r="CO347" s="2">
        <f t="shared" si="2872"/>
        <v>0</v>
      </c>
      <c r="CT347" s="2">
        <f t="shared" si="2873"/>
        <v>0</v>
      </c>
      <c r="CX347" s="2">
        <f t="shared" si="2874"/>
        <v>9934.4</v>
      </c>
    </row>
    <row r="348" spans="1:102" x14ac:dyDescent="0.25">
      <c r="A348" s="2">
        <v>2020</v>
      </c>
      <c r="C348" s="2">
        <f t="shared" si="2848"/>
        <v>0</v>
      </c>
      <c r="E348" s="2">
        <f t="shared" si="2848"/>
        <v>0</v>
      </c>
      <c r="G348" s="2">
        <f t="shared" ref="G348:I348" si="3667">F173*G173</f>
        <v>0</v>
      </c>
      <c r="I348" s="2">
        <f t="shared" si="3667"/>
        <v>0</v>
      </c>
      <c r="K348" s="2">
        <f t="shared" ref="K348" si="3668">J173*K173</f>
        <v>0</v>
      </c>
      <c r="M348" s="2">
        <f t="shared" ref="M348" si="3669">L173*M173</f>
        <v>0</v>
      </c>
      <c r="O348" s="2">
        <f t="shared" ref="O348" si="3670">N173*O173</f>
        <v>0</v>
      </c>
      <c r="Q348" s="2">
        <f t="shared" ref="Q348" si="3671">P173*Q173</f>
        <v>0</v>
      </c>
      <c r="S348" s="2">
        <f t="shared" ref="S348" si="3672">R173*S173</f>
        <v>0</v>
      </c>
      <c r="U348" s="2">
        <f t="shared" ref="U348" si="3673">T173*U173</f>
        <v>0</v>
      </c>
      <c r="W348" s="2">
        <f t="shared" ref="W348" si="3674">V173*W173</f>
        <v>0</v>
      </c>
      <c r="Y348" s="2">
        <f t="shared" ref="Y348" si="3675">X173*Y173</f>
        <v>0</v>
      </c>
      <c r="AA348" s="2">
        <f t="shared" ref="AA348" si="3676">Z173*AA173</f>
        <v>0</v>
      </c>
      <c r="AC348" s="2">
        <f t="shared" ref="AC348" si="3677">AB173*AC173</f>
        <v>0</v>
      </c>
      <c r="AE348" s="2">
        <f t="shared" ref="AE348" si="3678">AD173*AE173</f>
        <v>0</v>
      </c>
      <c r="AG348" s="2">
        <f t="shared" ref="AG348" si="3679">AF173*AG173</f>
        <v>0</v>
      </c>
      <c r="AI348" s="2">
        <f t="shared" ref="AI348" si="3680">AH173*AI173</f>
        <v>0</v>
      </c>
      <c r="AK348" s="2">
        <f t="shared" ref="AK348" si="3681">AJ173*AK173</f>
        <v>0</v>
      </c>
      <c r="AM348" s="2">
        <f t="shared" ref="AM348" si="3682">AL173*AM173</f>
        <v>0</v>
      </c>
      <c r="AO348" s="2">
        <f t="shared" ref="AO348" si="3683">AN173*AO173</f>
        <v>0</v>
      </c>
      <c r="AQ348" s="2">
        <f t="shared" ref="AQ348" si="3684">AP173*AQ173</f>
        <v>0</v>
      </c>
      <c r="AS348" s="2">
        <f t="shared" ref="AS348" si="3685">AR173*AS173</f>
        <v>0</v>
      </c>
      <c r="AU348" s="2">
        <f t="shared" ref="AU348" si="3686">AT173*AU173</f>
        <v>0</v>
      </c>
      <c r="AW348" s="2">
        <f t="shared" ref="AW348" si="3687">AV173*AW173</f>
        <v>0</v>
      </c>
      <c r="BA348" s="2">
        <f t="shared" si="2870"/>
        <v>0</v>
      </c>
      <c r="CJ348" s="2">
        <f t="shared" ref="CJ348" si="3688">CI173*CJ173</f>
        <v>0</v>
      </c>
      <c r="CO348" s="2">
        <f t="shared" si="2872"/>
        <v>0</v>
      </c>
      <c r="CT348" s="2">
        <f t="shared" si="2873"/>
        <v>0</v>
      </c>
      <c r="CX348" s="2">
        <f t="shared" si="2874"/>
        <v>11217.400000000001</v>
      </c>
    </row>
    <row r="349" spans="1:102" x14ac:dyDescent="0.25">
      <c r="A349" s="2">
        <v>2021</v>
      </c>
      <c r="C349" s="2">
        <f t="shared" si="2848"/>
        <v>0</v>
      </c>
      <c r="E349" s="2">
        <f t="shared" si="2848"/>
        <v>0</v>
      </c>
      <c r="G349" s="2">
        <f t="shared" ref="G349:I349" si="3689">F174*G174</f>
        <v>0</v>
      </c>
      <c r="I349" s="2">
        <f t="shared" si="3689"/>
        <v>0</v>
      </c>
      <c r="K349" s="2">
        <f t="shared" ref="K349" si="3690">J174*K174</f>
        <v>0</v>
      </c>
      <c r="M349" s="2">
        <f t="shared" ref="M349" si="3691">L174*M174</f>
        <v>0</v>
      </c>
      <c r="O349" s="2">
        <f t="shared" ref="O349" si="3692">N174*O174</f>
        <v>0</v>
      </c>
      <c r="Q349" s="2">
        <f t="shared" ref="Q349" si="3693">P174*Q174</f>
        <v>0</v>
      </c>
      <c r="S349" s="2">
        <f t="shared" ref="S349" si="3694">R174*S174</f>
        <v>0</v>
      </c>
      <c r="U349" s="2">
        <f t="shared" ref="U349" si="3695">T174*U174</f>
        <v>0</v>
      </c>
      <c r="W349" s="2">
        <f t="shared" ref="W349" si="3696">V174*W174</f>
        <v>0</v>
      </c>
      <c r="Y349" s="2">
        <f t="shared" ref="Y349" si="3697">X174*Y174</f>
        <v>0</v>
      </c>
      <c r="AA349" s="2">
        <f t="shared" ref="AA349" si="3698">Z174*AA174</f>
        <v>0</v>
      </c>
      <c r="AC349" s="2">
        <f t="shared" ref="AC349" si="3699">AB174*AC174</f>
        <v>0</v>
      </c>
      <c r="AE349" s="2">
        <f t="shared" ref="AE349" si="3700">AD174*AE174</f>
        <v>0</v>
      </c>
      <c r="AG349" s="2">
        <f t="shared" ref="AG349" si="3701">AF174*AG174</f>
        <v>0</v>
      </c>
      <c r="AI349" s="2">
        <f t="shared" ref="AI349" si="3702">AH174*AI174</f>
        <v>0</v>
      </c>
      <c r="AK349" s="2">
        <f t="shared" ref="AK349" si="3703">AJ174*AK174</f>
        <v>0</v>
      </c>
      <c r="AM349" s="2">
        <f t="shared" ref="AM349" si="3704">AL174*AM174</f>
        <v>0</v>
      </c>
      <c r="AO349" s="2">
        <f t="shared" ref="AO349" si="3705">AN174*AO174</f>
        <v>0</v>
      </c>
      <c r="AQ349" s="2">
        <f t="shared" ref="AQ349" si="3706">AP174*AQ174</f>
        <v>0</v>
      </c>
      <c r="AS349" s="2">
        <f t="shared" ref="AS349" si="3707">AR174*AS174</f>
        <v>0</v>
      </c>
      <c r="AU349" s="2">
        <f t="shared" ref="AU349" si="3708">AT174*AU174</f>
        <v>0</v>
      </c>
      <c r="AW349" s="2">
        <f t="shared" ref="AW349" si="3709">AV174*AW174</f>
        <v>0</v>
      </c>
      <c r="BA349" s="2">
        <f t="shared" si="2870"/>
        <v>0</v>
      </c>
      <c r="CJ349" s="2">
        <f t="shared" ref="CJ349" si="3710">CI174*CJ174</f>
        <v>0</v>
      </c>
      <c r="CO349" s="2">
        <f t="shared" si="2872"/>
        <v>0</v>
      </c>
      <c r="CT349" s="2">
        <f t="shared" si="2873"/>
        <v>0</v>
      </c>
      <c r="CX349" s="2">
        <f t="shared" si="2874"/>
        <v>7150.9999999999991</v>
      </c>
    </row>
  </sheetData>
  <mergeCells count="3">
    <mergeCell ref="AL4:AM4"/>
    <mergeCell ref="AN4:AO4"/>
    <mergeCell ref="BX3:BY3"/>
  </mergeCells>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6</vt:i4>
      </vt:variant>
    </vt:vector>
  </HeadingPairs>
  <TitlesOfParts>
    <vt:vector size="11" baseType="lpstr">
      <vt:lpstr>Notes</vt:lpstr>
      <vt:lpstr>Summary</vt:lpstr>
      <vt:lpstr>Mine by Mine</vt:lpstr>
      <vt:lpstr>Annual Data</vt:lpstr>
      <vt:lpstr>Sn Fields</vt:lpstr>
      <vt:lpstr>Graph Gold</vt:lpstr>
      <vt:lpstr>Graph Copper</vt:lpstr>
      <vt:lpstr>Graph Silver</vt:lpstr>
      <vt:lpstr>Graph Lead</vt:lpstr>
      <vt:lpstr>Graph Zinc</vt:lpstr>
      <vt:lpstr>Graph Nickel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Mudd</dc:creator>
  <cp:lastModifiedBy>Gavin Mudd</cp:lastModifiedBy>
  <dcterms:created xsi:type="dcterms:W3CDTF">2022-11-19T02:13:03Z</dcterms:created>
  <dcterms:modified xsi:type="dcterms:W3CDTF">2023-05-22T06:53:32Z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52b3a1-dbcb-41fb-a452-370cf542753f_Enabled">
    <vt:lpwstr>true</vt:lpwstr>
  </property>
  <property fmtid="{D5CDD505-2E9C-101B-9397-08002B2CF9AE}" pid="3" name="MSIP_Label_1b52b3a1-dbcb-41fb-a452-370cf542753f_SetDate">
    <vt:lpwstr>2023-02-16T12:57:29Z</vt:lpwstr>
  </property>
  <property fmtid="{D5CDD505-2E9C-101B-9397-08002B2CF9AE}" pid="4" name="MSIP_Label_1b52b3a1-dbcb-41fb-a452-370cf542753f_Method">
    <vt:lpwstr>Privileged</vt:lpwstr>
  </property>
  <property fmtid="{D5CDD505-2E9C-101B-9397-08002B2CF9AE}" pid="5" name="MSIP_Label_1b52b3a1-dbcb-41fb-a452-370cf542753f_Name">
    <vt:lpwstr>Public</vt:lpwstr>
  </property>
  <property fmtid="{D5CDD505-2E9C-101B-9397-08002B2CF9AE}" pid="6" name="MSIP_Label_1b52b3a1-dbcb-41fb-a452-370cf542753f_SiteId">
    <vt:lpwstr>d1323671-cdbe-4417-b4d4-bdb24b51316b</vt:lpwstr>
  </property>
  <property fmtid="{D5CDD505-2E9C-101B-9397-08002B2CF9AE}" pid="7" name="MSIP_Label_1b52b3a1-dbcb-41fb-a452-370cf542753f_ActionId">
    <vt:lpwstr>ff25b478-f315-4680-b2cf-9baf6ec05aec</vt:lpwstr>
  </property>
  <property fmtid="{D5CDD505-2E9C-101B-9397-08002B2CF9AE}" pid="8" name="MSIP_Label_1b52b3a1-dbcb-41fb-a452-370cf542753f_ContentBits">
    <vt:lpwstr>0</vt:lpwstr>
  </property>
</Properties>
</file>