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5" yWindow="285" windowWidth="19440" windowHeight="4980" tabRatio="735" activeTab="7"/>
  </bookViews>
  <sheets>
    <sheet name="A.Prangko" sheetId="1" r:id="rId1"/>
    <sheet name="B.MS &amp; SS" sheetId="2" r:id="rId2"/>
    <sheet name="C.SHP&amp;SHPSS" sheetId="3" r:id="rId3"/>
    <sheet name="D.Kemasan" sheetId="4" r:id="rId4"/>
    <sheet name="E.Merchandise" sheetId="5" r:id="rId5"/>
    <sheet name="F.PRISMA" sheetId="6" r:id="rId6"/>
    <sheet name="G.Dokumen Filateli" sheetId="7" r:id="rId7"/>
    <sheet name="Rekapitulasi" sheetId="8"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s>
  <calcPr calcId="162913"/>
</workbook>
</file>

<file path=xl/calcChain.xml><?xml version="1.0" encoding="utf-8"?>
<calcChain xmlns="http://schemas.openxmlformats.org/spreadsheetml/2006/main">
  <c r="K387" i="3" l="1"/>
  <c r="J387" i="3"/>
  <c r="J402" i="3"/>
  <c r="K402" i="3"/>
  <c r="F193" i="1" l="1"/>
  <c r="H219" i="1" l="1"/>
  <c r="H327" i="1"/>
  <c r="H326" i="1"/>
  <c r="H325" i="1"/>
  <c r="H249" i="1"/>
  <c r="H243" i="1"/>
  <c r="H323" i="1"/>
  <c r="H322" i="1"/>
  <c r="H324" i="1"/>
  <c r="H64" i="6" l="1"/>
  <c r="H60" i="6" l="1"/>
  <c r="H62" i="6"/>
  <c r="H269" i="2"/>
  <c r="H195" i="1"/>
  <c r="H224" i="1"/>
  <c r="H63" i="6" l="1"/>
  <c r="H228" i="1"/>
  <c r="H29" i="5" l="1"/>
  <c r="H26" i="5"/>
  <c r="H22" i="5"/>
  <c r="F29" i="5"/>
  <c r="F7" i="5"/>
  <c r="F156" i="4"/>
  <c r="F155" i="4"/>
  <c r="F154" i="4"/>
  <c r="F153" i="4"/>
  <c r="F152" i="4"/>
  <c r="F151" i="4"/>
  <c r="F150" i="4"/>
  <c r="F149" i="4"/>
  <c r="H156" i="4"/>
  <c r="H155" i="4"/>
  <c r="H154" i="4"/>
  <c r="H153" i="4"/>
  <c r="H152" i="4"/>
  <c r="H151" i="4"/>
  <c r="H150" i="4"/>
  <c r="H149" i="4"/>
  <c r="F81" i="4"/>
  <c r="F72" i="4"/>
  <c r="F65" i="4"/>
  <c r="F63" i="4"/>
  <c r="F61" i="4"/>
  <c r="F54" i="4"/>
  <c r="F53" i="4"/>
  <c r="F44" i="4"/>
  <c r="F34" i="4"/>
  <c r="H44" i="4"/>
  <c r="F26" i="4"/>
  <c r="F25" i="4"/>
  <c r="F22" i="4"/>
  <c r="F17" i="4"/>
  <c r="F14" i="4"/>
  <c r="F13" i="4"/>
  <c r="F9" i="4"/>
  <c r="H19" i="4"/>
  <c r="H9" i="4"/>
  <c r="H509" i="3"/>
  <c r="H508" i="3"/>
  <c r="F509" i="3"/>
  <c r="F508" i="3"/>
  <c r="F455" i="3"/>
  <c r="F447" i="3"/>
  <c r="F446" i="3"/>
  <c r="F445" i="3"/>
  <c r="F444" i="3"/>
  <c r="F443" i="3"/>
  <c r="F442" i="3"/>
  <c r="F439" i="3"/>
  <c r="F438" i="3"/>
  <c r="F437" i="3"/>
  <c r="F436" i="3"/>
  <c r="F435" i="3"/>
  <c r="F434" i="3"/>
  <c r="F433" i="3"/>
  <c r="F432" i="3"/>
  <c r="F431" i="3"/>
  <c r="F424" i="3"/>
  <c r="F423" i="3"/>
  <c r="F421" i="3"/>
  <c r="F420" i="3"/>
  <c r="F419" i="3"/>
  <c r="F418" i="3"/>
  <c r="F417" i="3"/>
  <c r="F415" i="3"/>
  <c r="F414" i="3"/>
  <c r="F413" i="3"/>
  <c r="F412" i="3"/>
  <c r="F411" i="3"/>
  <c r="F410" i="3"/>
  <c r="F409" i="3"/>
  <c r="F408" i="3"/>
  <c r="F400" i="3"/>
  <c r="F399" i="3"/>
  <c r="F398" i="3"/>
  <c r="F397" i="3"/>
  <c r="F396" i="3"/>
  <c r="F395" i="3"/>
  <c r="F394" i="3"/>
  <c r="F393" i="3"/>
  <c r="F392" i="3"/>
  <c r="F391" i="3"/>
  <c r="F390" i="3"/>
  <c r="F388" i="3"/>
  <c r="F387" i="3"/>
  <c r="F386" i="3"/>
  <c r="F385" i="3"/>
  <c r="F384" i="3"/>
  <c r="F383" i="3"/>
  <c r="F382" i="3"/>
  <c r="F381" i="3"/>
  <c r="F380" i="3"/>
  <c r="F379" i="3"/>
  <c r="F377" i="3"/>
  <c r="F376" i="3"/>
  <c r="F375" i="3"/>
  <c r="F363" i="3"/>
  <c r="F362" i="3"/>
  <c r="F361"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26" i="3"/>
  <c r="F325" i="3"/>
  <c r="F324" i="3"/>
  <c r="F323" i="3"/>
  <c r="F319" i="3"/>
  <c r="F318" i="3"/>
  <c r="F317" i="3"/>
  <c r="F316" i="3"/>
  <c r="F315" i="3"/>
  <c r="F313" i="3"/>
  <c r="F312" i="3"/>
  <c r="F309" i="3"/>
  <c r="F308" i="3"/>
  <c r="F307" i="3"/>
  <c r="F306" i="3"/>
  <c r="F305" i="3"/>
  <c r="F304" i="3"/>
  <c r="F303" i="3"/>
  <c r="F302" i="3"/>
  <c r="F301" i="3"/>
  <c r="F300" i="3"/>
  <c r="F299" i="3"/>
  <c r="F295" i="3"/>
  <c r="F294" i="3"/>
  <c r="F293" i="3"/>
  <c r="F292" i="3"/>
  <c r="F291" i="3"/>
  <c r="F290" i="3"/>
  <c r="F289" i="3"/>
  <c r="F288" i="3"/>
  <c r="F284" i="3"/>
  <c r="F283" i="3"/>
  <c r="F282" i="3"/>
  <c r="F281" i="3"/>
  <c r="F280" i="3"/>
  <c r="F278" i="3"/>
  <c r="F277" i="3"/>
  <c r="F276" i="3"/>
  <c r="F275" i="3"/>
  <c r="F274" i="3"/>
  <c r="F273" i="3"/>
  <c r="F272" i="3"/>
  <c r="F271" i="3"/>
  <c r="F270" i="3"/>
  <c r="F269" i="3"/>
  <c r="F268" i="3"/>
  <c r="F267" i="3"/>
  <c r="F266" i="3"/>
  <c r="F265" i="3"/>
  <c r="F264" i="3"/>
  <c r="F263" i="3"/>
  <c r="F262" i="3"/>
  <c r="F260" i="3"/>
  <c r="F259" i="3"/>
  <c r="F258" i="3"/>
  <c r="H73" i="2"/>
  <c r="F327" i="1"/>
  <c r="F326" i="1"/>
  <c r="F325" i="1"/>
  <c r="H321" i="1"/>
  <c r="H319" i="1"/>
  <c r="F249" i="1"/>
  <c r="F248" i="1"/>
  <c r="F246" i="1"/>
  <c r="F245" i="1"/>
  <c r="F244" i="1"/>
  <c r="F243" i="1"/>
  <c r="F242" i="1"/>
  <c r="H252" i="1"/>
  <c r="F232" i="1"/>
  <c r="F231" i="1"/>
  <c r="F230" i="1"/>
  <c r="F229" i="1"/>
  <c r="F228" i="1"/>
  <c r="F227" i="1"/>
  <c r="F226" i="1"/>
  <c r="F225" i="1"/>
  <c r="F224" i="1"/>
  <c r="F223" i="1"/>
  <c r="F222" i="1"/>
  <c r="F221" i="1"/>
  <c r="F219" i="1"/>
  <c r="F218" i="1"/>
  <c r="H221" i="1"/>
  <c r="F209" i="1"/>
  <c r="F208" i="1"/>
  <c r="F203" i="1"/>
  <c r="F200" i="1"/>
  <c r="F199" i="1"/>
  <c r="F195" i="1"/>
  <c r="H203" i="1"/>
  <c r="H62" i="2"/>
  <c r="D315" i="1" l="1"/>
  <c r="G149" i="4" l="1"/>
  <c r="I149" i="4" s="1"/>
  <c r="J149" i="4" l="1"/>
  <c r="K149" i="4"/>
  <c r="F82" i="4" l="1"/>
  <c r="H82" i="4"/>
  <c r="F73" i="4"/>
  <c r="H73" i="4"/>
  <c r="F55" i="4"/>
  <c r="G80" i="4"/>
  <c r="I80" i="4" s="1"/>
  <c r="K80" i="4" l="1"/>
  <c r="J80" i="4"/>
  <c r="G447" i="3" l="1"/>
  <c r="I447" i="3" s="1"/>
  <c r="G400" i="3"/>
  <c r="I400" i="3" s="1"/>
  <c r="F425" i="3"/>
  <c r="K400" i="3" l="1"/>
  <c r="J400" i="3"/>
  <c r="K447" i="3"/>
  <c r="J447" i="3"/>
  <c r="G363" i="3" l="1"/>
  <c r="I363" i="3" s="1"/>
  <c r="G362" i="3"/>
  <c r="I362" i="3" s="1"/>
  <c r="G361" i="3"/>
  <c r="I361" i="3" s="1"/>
  <c r="G360" i="3"/>
  <c r="I360" i="3" s="1"/>
  <c r="J361" i="3" l="1"/>
  <c r="K361" i="3"/>
  <c r="J363" i="3"/>
  <c r="K363" i="3"/>
  <c r="J360" i="3"/>
  <c r="K360" i="3"/>
  <c r="J362" i="3"/>
  <c r="K362" i="3"/>
  <c r="I33" i="5" l="1"/>
  <c r="K33" i="5" s="1"/>
  <c r="I32" i="5"/>
  <c r="K32" i="5" s="1"/>
  <c r="J32" i="5" l="1"/>
  <c r="J33" i="5"/>
  <c r="F66" i="6" l="1"/>
  <c r="H66" i="6"/>
  <c r="H65" i="6"/>
  <c r="H28" i="5"/>
  <c r="F148" i="4"/>
  <c r="H148" i="4"/>
  <c r="H133" i="4"/>
  <c r="H506" i="3" l="1"/>
  <c r="H503" i="3"/>
  <c r="H499" i="3"/>
  <c r="H207" i="2"/>
  <c r="H223" i="2"/>
  <c r="H266" i="2"/>
  <c r="H260" i="2"/>
  <c r="F324" i="1"/>
  <c r="H320" i="1"/>
  <c r="J335" i="1" l="1"/>
  <c r="F335" i="1" l="1"/>
  <c r="F65" i="6" l="1"/>
  <c r="F64" i="6"/>
  <c r="F28" i="5"/>
  <c r="H27" i="5"/>
  <c r="H23" i="5"/>
  <c r="H14" i="5"/>
  <c r="F147" i="4" l="1"/>
  <c r="F146" i="4"/>
  <c r="H147" i="4"/>
  <c r="H146" i="4"/>
  <c r="H507" i="3"/>
  <c r="H505" i="3"/>
  <c r="H504" i="3"/>
  <c r="H502" i="3"/>
  <c r="H501" i="3"/>
  <c r="H498" i="3"/>
  <c r="H497" i="3"/>
  <c r="F507" i="3"/>
  <c r="F506" i="3"/>
  <c r="F269" i="2"/>
  <c r="H265" i="2"/>
  <c r="H262" i="2"/>
  <c r="H261" i="2"/>
  <c r="H245" i="2"/>
  <c r="F239" i="1"/>
  <c r="F323" i="1" l="1"/>
  <c r="F255" i="1"/>
  <c r="F254" i="1"/>
  <c r="F252" i="1"/>
  <c r="F251" i="1"/>
  <c r="F250" i="1"/>
  <c r="F247" i="1"/>
  <c r="F241" i="1"/>
  <c r="F240" i="1"/>
  <c r="F211" i="1"/>
  <c r="F210" i="1"/>
  <c r="F207" i="1"/>
  <c r="F206" i="1"/>
  <c r="F205" i="1"/>
  <c r="F204" i="1"/>
  <c r="F202" i="1"/>
  <c r="F201" i="1"/>
  <c r="F198" i="1"/>
  <c r="F197" i="1"/>
  <c r="F196" i="1"/>
  <c r="F194" i="1"/>
  <c r="H206" i="1"/>
  <c r="H194" i="1"/>
  <c r="G31" i="5" l="1"/>
  <c r="I31" i="5" s="1"/>
  <c r="G30" i="5"/>
  <c r="I30" i="5" s="1"/>
  <c r="G29" i="5"/>
  <c r="I29" i="5" s="1"/>
  <c r="G28" i="5"/>
  <c r="I28" i="5" s="1"/>
  <c r="J28" i="5" s="1"/>
  <c r="K30" i="5" l="1"/>
  <c r="J30" i="5"/>
  <c r="K29" i="5"/>
  <c r="J29" i="5"/>
  <c r="K31" i="5"/>
  <c r="J31" i="5"/>
  <c r="K28" i="5"/>
  <c r="E256" i="1" l="1"/>
  <c r="H254" i="1"/>
  <c r="G254" i="1"/>
  <c r="F253" i="1"/>
  <c r="G252" i="1"/>
  <c r="I252" i="1" s="1"/>
  <c r="J252" i="1" s="1"/>
  <c r="I254" i="1" l="1"/>
  <c r="J254" i="1" s="1"/>
  <c r="K252" i="1"/>
  <c r="K254" i="1" l="1"/>
  <c r="E233" i="1"/>
  <c r="H232" i="1"/>
  <c r="G232" i="1"/>
  <c r="F233" i="1"/>
  <c r="I232" i="1" l="1"/>
  <c r="K232" i="1" s="1"/>
  <c r="J232" i="1" l="1"/>
  <c r="E212" i="1"/>
  <c r="H211" i="1"/>
  <c r="G211" i="1"/>
  <c r="F212" i="1"/>
  <c r="I211" i="1" l="1"/>
  <c r="J211" i="1" s="1"/>
  <c r="K211" i="1" l="1"/>
  <c r="H53" i="7"/>
  <c r="H52" i="7"/>
  <c r="F62" i="6"/>
  <c r="F23" i="5"/>
  <c r="F27" i="5"/>
  <c r="F314" i="3"/>
  <c r="F311" i="3"/>
  <c r="F310" i="3"/>
  <c r="F298" i="3"/>
  <c r="F297" i="3"/>
  <c r="F296" i="3"/>
  <c r="F505" i="3"/>
  <c r="F504" i="3"/>
  <c r="H500" i="3"/>
  <c r="H412" i="3"/>
  <c r="F268" i="2"/>
  <c r="F267" i="2"/>
  <c r="F266" i="2"/>
  <c r="H268" i="2"/>
  <c r="H267" i="2"/>
  <c r="H256" i="2"/>
  <c r="F322" i="1"/>
  <c r="H317" i="1"/>
  <c r="D320" i="1" l="1"/>
  <c r="D319" i="1"/>
  <c r="G399" i="3" l="1"/>
  <c r="I399" i="3" s="1"/>
  <c r="J399" i="3" s="1"/>
  <c r="G398" i="3"/>
  <c r="I398" i="3" s="1"/>
  <c r="J398" i="3" s="1"/>
  <c r="K340" i="1" l="1"/>
  <c r="K341" i="1" s="1"/>
  <c r="K342" i="1" s="1"/>
  <c r="K343" i="1" s="1"/>
  <c r="G351" i="1"/>
  <c r="G350" i="1"/>
  <c r="G349" i="1"/>
  <c r="G348" i="1"/>
  <c r="I346" i="1"/>
  <c r="G344" i="1"/>
  <c r="G342" i="1"/>
  <c r="G341" i="1"/>
  <c r="D350" i="1"/>
  <c r="D349" i="1"/>
  <c r="D348" i="1"/>
  <c r="D352" i="1" l="1"/>
  <c r="G352" i="1"/>
  <c r="E345" i="1" l="1"/>
  <c r="D339" i="1"/>
  <c r="D338" i="1"/>
  <c r="D337" i="1"/>
  <c r="D336" i="1"/>
  <c r="C345" i="1"/>
  <c r="D345" i="1" l="1"/>
  <c r="G268" i="2"/>
  <c r="I268" i="2" s="1"/>
  <c r="G267" i="2"/>
  <c r="I267" i="2" s="1"/>
  <c r="G266" i="2"/>
  <c r="I266" i="2" s="1"/>
  <c r="G269" i="2"/>
  <c r="I269" i="2" s="1"/>
  <c r="G270" i="2"/>
  <c r="I270" i="2" s="1"/>
  <c r="G271" i="2"/>
  <c r="I271" i="2" s="1"/>
  <c r="K267" i="2" l="1"/>
  <c r="J267" i="2"/>
  <c r="J266" i="2"/>
  <c r="K266" i="2"/>
  <c r="J268" i="2"/>
  <c r="K268" i="2"/>
  <c r="K269" i="2"/>
  <c r="J269" i="2"/>
  <c r="K270" i="2"/>
  <c r="J270" i="2"/>
  <c r="J271" i="2"/>
  <c r="K271" i="2"/>
  <c r="G359" i="3" l="1"/>
  <c r="I359" i="3" s="1"/>
  <c r="G327" i="3"/>
  <c r="I327" i="3" s="1"/>
  <c r="G326" i="3"/>
  <c r="I326" i="3" s="1"/>
  <c r="G325" i="3"/>
  <c r="I325" i="3" s="1"/>
  <c r="G324" i="3"/>
  <c r="I324" i="3" s="1"/>
  <c r="G322" i="3"/>
  <c r="I322" i="3" s="1"/>
  <c r="G321" i="3"/>
  <c r="I321" i="3" s="1"/>
  <c r="G320" i="3"/>
  <c r="I320" i="3" s="1"/>
  <c r="G323" i="3"/>
  <c r="I323" i="3" s="1"/>
  <c r="K323" i="3" s="1"/>
  <c r="G319" i="3"/>
  <c r="I319" i="3" s="1"/>
  <c r="K359" i="3" l="1"/>
  <c r="J359" i="3"/>
  <c r="K324" i="3"/>
  <c r="J324" i="3"/>
  <c r="K326" i="3"/>
  <c r="J326" i="3"/>
  <c r="K325" i="3"/>
  <c r="J325" i="3"/>
  <c r="K327" i="3"/>
  <c r="J327" i="3"/>
  <c r="K321" i="3"/>
  <c r="J321" i="3"/>
  <c r="K320" i="3"/>
  <c r="J320" i="3"/>
  <c r="K322" i="3"/>
  <c r="J322" i="3"/>
  <c r="J323" i="3"/>
  <c r="K319" i="3"/>
  <c r="J319" i="3"/>
  <c r="F369" i="3" l="1"/>
  <c r="F402" i="3"/>
  <c r="G397" i="3" l="1"/>
  <c r="I397" i="3" s="1"/>
  <c r="J397" i="3" s="1"/>
  <c r="G396" i="3"/>
  <c r="I396" i="3" s="1"/>
  <c r="J396" i="3" s="1"/>
  <c r="G395" i="3"/>
  <c r="I395" i="3" s="1"/>
  <c r="J395" i="3" s="1"/>
  <c r="G394" i="3"/>
  <c r="I394" i="3" s="1"/>
  <c r="J394" i="3" s="1"/>
  <c r="G393" i="3"/>
  <c r="I393" i="3" s="1"/>
  <c r="J393" i="3" s="1"/>
  <c r="G392" i="3"/>
  <c r="I392" i="3" s="1"/>
  <c r="J392" i="3" s="1"/>
  <c r="L274" i="3"/>
  <c r="N274" i="3" s="1"/>
  <c r="G352" i="3"/>
  <c r="I352" i="3" s="1"/>
  <c r="G358" i="3"/>
  <c r="I358" i="3" s="1"/>
  <c r="G357" i="3"/>
  <c r="I357" i="3" s="1"/>
  <c r="G356" i="3"/>
  <c r="I356" i="3" s="1"/>
  <c r="G355" i="3"/>
  <c r="I355" i="3" s="1"/>
  <c r="G354" i="3"/>
  <c r="I354" i="3" s="1"/>
  <c r="G353" i="3"/>
  <c r="I353" i="3" s="1"/>
  <c r="G351" i="3"/>
  <c r="I351" i="3" s="1"/>
  <c r="G350" i="3"/>
  <c r="I350" i="3" s="1"/>
  <c r="G349" i="3"/>
  <c r="I349" i="3" s="1"/>
  <c r="G348" i="3"/>
  <c r="I348" i="3" s="1"/>
  <c r="G347" i="3"/>
  <c r="I347" i="3" s="1"/>
  <c r="G346" i="3"/>
  <c r="I346" i="3" s="1"/>
  <c r="K397" i="3" l="1"/>
  <c r="K392" i="3"/>
  <c r="K393" i="3"/>
  <c r="K394" i="3"/>
  <c r="K395" i="3"/>
  <c r="K396" i="3"/>
  <c r="K398" i="3"/>
  <c r="J352" i="3"/>
  <c r="K352" i="3"/>
  <c r="J347" i="3"/>
  <c r="K347" i="3"/>
  <c r="J349" i="3"/>
  <c r="K349" i="3"/>
  <c r="J351" i="3"/>
  <c r="K351" i="3"/>
  <c r="J354" i="3"/>
  <c r="K354" i="3"/>
  <c r="J356" i="3"/>
  <c r="K356" i="3"/>
  <c r="J358" i="3"/>
  <c r="K358" i="3"/>
  <c r="J346" i="3"/>
  <c r="K346" i="3"/>
  <c r="J348" i="3"/>
  <c r="K348" i="3"/>
  <c r="J350" i="3"/>
  <c r="K350" i="3"/>
  <c r="J353" i="3"/>
  <c r="K353" i="3"/>
  <c r="J355" i="3"/>
  <c r="K355" i="3"/>
  <c r="J357" i="3"/>
  <c r="K357" i="3"/>
  <c r="G310" i="3" l="1"/>
  <c r="I310" i="3" s="1"/>
  <c r="G309" i="3"/>
  <c r="I309" i="3" s="1"/>
  <c r="G308" i="3"/>
  <c r="I308" i="3" s="1"/>
  <c r="G307" i="3"/>
  <c r="I307" i="3" s="1"/>
  <c r="G306" i="3"/>
  <c r="I306" i="3" s="1"/>
  <c r="G305" i="3"/>
  <c r="I305" i="3" s="1"/>
  <c r="G304" i="3"/>
  <c r="I304" i="3" s="1"/>
  <c r="G303" i="3"/>
  <c r="I303" i="3" s="1"/>
  <c r="J303" i="3" s="1"/>
  <c r="G299" i="3"/>
  <c r="I299" i="3" s="1"/>
  <c r="G298" i="3"/>
  <c r="I298" i="3" s="1"/>
  <c r="G297" i="3"/>
  <c r="I297" i="3" s="1"/>
  <c r="G296" i="3"/>
  <c r="I296" i="3" s="1"/>
  <c r="G295" i="3"/>
  <c r="I295" i="3" s="1"/>
  <c r="G294" i="3"/>
  <c r="I294" i="3" s="1"/>
  <c r="G313" i="3"/>
  <c r="I313" i="3" s="1"/>
  <c r="G312" i="3"/>
  <c r="I312" i="3" s="1"/>
  <c r="G311" i="3"/>
  <c r="I311" i="3" s="1"/>
  <c r="G302" i="3"/>
  <c r="I302" i="3" s="1"/>
  <c r="G301" i="3"/>
  <c r="I301" i="3" s="1"/>
  <c r="G300" i="3"/>
  <c r="I300" i="3" s="1"/>
  <c r="G318" i="3"/>
  <c r="I318" i="3" s="1"/>
  <c r="G317" i="3"/>
  <c r="I317" i="3" s="1"/>
  <c r="G316" i="3"/>
  <c r="I316" i="3" s="1"/>
  <c r="G315" i="3"/>
  <c r="I315" i="3" s="1"/>
  <c r="G314" i="3"/>
  <c r="I314" i="3" s="1"/>
  <c r="G293" i="3"/>
  <c r="I293" i="3" s="1"/>
  <c r="G292" i="3"/>
  <c r="I292" i="3" s="1"/>
  <c r="G291" i="3"/>
  <c r="I291" i="3" s="1"/>
  <c r="G290" i="3"/>
  <c r="I290" i="3" s="1"/>
  <c r="G289" i="3"/>
  <c r="I289" i="3" s="1"/>
  <c r="K289" i="3" s="1"/>
  <c r="G288" i="3"/>
  <c r="I288" i="3" s="1"/>
  <c r="K288" i="3" s="1"/>
  <c r="J304" i="3" l="1"/>
  <c r="K304" i="3"/>
  <c r="J306" i="3"/>
  <c r="K306" i="3"/>
  <c r="J308" i="3"/>
  <c r="K308" i="3"/>
  <c r="J310" i="3"/>
  <c r="K310" i="3"/>
  <c r="J305" i="3"/>
  <c r="K305" i="3"/>
  <c r="J307" i="3"/>
  <c r="K307" i="3"/>
  <c r="J309" i="3"/>
  <c r="K309" i="3"/>
  <c r="K303" i="3"/>
  <c r="J295" i="3"/>
  <c r="K295" i="3"/>
  <c r="J297" i="3"/>
  <c r="K297" i="3"/>
  <c r="J299" i="3"/>
  <c r="K299" i="3"/>
  <c r="J294" i="3"/>
  <c r="K294" i="3"/>
  <c r="J296" i="3"/>
  <c r="K296" i="3"/>
  <c r="J298" i="3"/>
  <c r="K298" i="3"/>
  <c r="J301" i="3"/>
  <c r="K301" i="3"/>
  <c r="J311" i="3"/>
  <c r="K311" i="3"/>
  <c r="J313" i="3"/>
  <c r="K313" i="3"/>
  <c r="J300" i="3"/>
  <c r="K300" i="3"/>
  <c r="J302" i="3"/>
  <c r="K302" i="3"/>
  <c r="J312" i="3"/>
  <c r="K312" i="3"/>
  <c r="J290" i="3"/>
  <c r="K290" i="3"/>
  <c r="J292" i="3"/>
  <c r="K292" i="3"/>
  <c r="J314" i="3"/>
  <c r="K314" i="3"/>
  <c r="J316" i="3"/>
  <c r="K316" i="3"/>
  <c r="J318" i="3"/>
  <c r="K318" i="3"/>
  <c r="J291" i="3"/>
  <c r="K291" i="3"/>
  <c r="J293" i="3"/>
  <c r="K293" i="3"/>
  <c r="J315" i="3"/>
  <c r="K315" i="3"/>
  <c r="J317" i="3"/>
  <c r="K317" i="3"/>
  <c r="J288" i="3"/>
  <c r="J289" i="3"/>
  <c r="F503" i="3"/>
  <c r="H496" i="3"/>
  <c r="H494" i="3"/>
  <c r="H493" i="3"/>
  <c r="F63" i="6"/>
  <c r="H58" i="6"/>
  <c r="H22" i="4"/>
  <c r="H21" i="4"/>
  <c r="H20" i="4"/>
  <c r="H18" i="4"/>
  <c r="H17" i="4"/>
  <c r="H390" i="3"/>
  <c r="F265" i="2"/>
  <c r="H264" i="2"/>
  <c r="H257" i="2"/>
  <c r="H238" i="2"/>
  <c r="H253" i="1"/>
  <c r="G253" i="1"/>
  <c r="H316" i="1"/>
  <c r="F321" i="1"/>
  <c r="I253" i="1" l="1"/>
  <c r="K253" i="1" s="1"/>
  <c r="H242" i="1"/>
  <c r="J253" i="1" l="1"/>
  <c r="L281" i="2"/>
  <c r="L282" i="2" s="1"/>
  <c r="L283" i="2" s="1"/>
  <c r="L284" i="2" s="1"/>
  <c r="L285" i="2" s="1"/>
  <c r="L286" i="2" s="1"/>
  <c r="L287" i="2" s="1"/>
  <c r="L288" i="2" s="1"/>
  <c r="L289" i="2" s="1"/>
  <c r="L290" i="2" s="1"/>
  <c r="L291" i="2" s="1"/>
  <c r="L292" i="2" s="1"/>
  <c r="L293" i="2" s="1"/>
  <c r="L294" i="2" s="1"/>
  <c r="L295" i="2" s="1"/>
  <c r="L296" i="2" s="1"/>
  <c r="L297" i="2" s="1"/>
  <c r="L298" i="2" s="1"/>
  <c r="L299" i="2" s="1"/>
  <c r="L300" i="2" s="1"/>
  <c r="L301" i="2" s="1"/>
  <c r="L302" i="2" s="1"/>
  <c r="L303" i="2" s="1"/>
  <c r="L304" i="2" s="1"/>
  <c r="I306" i="2"/>
  <c r="I307" i="2" s="1"/>
  <c r="J281" i="2"/>
  <c r="J282" i="2" s="1"/>
  <c r="J283" i="2" s="1"/>
  <c r="J284" i="2" s="1"/>
  <c r="J285" i="2" s="1"/>
  <c r="J286" i="2" s="1"/>
  <c r="J287" i="2" s="1"/>
  <c r="J288" i="2" s="1"/>
  <c r="J289" i="2" s="1"/>
  <c r="J290" i="2" s="1"/>
  <c r="J291" i="2" s="1"/>
  <c r="J292" i="2" s="1"/>
  <c r="J293" i="2" s="1"/>
  <c r="J294" i="2" s="1"/>
  <c r="J295" i="2" s="1"/>
  <c r="J296" i="2" s="1"/>
  <c r="J297" i="2" s="1"/>
  <c r="J298" i="2" s="1"/>
  <c r="J299" i="2" s="1"/>
  <c r="J300" i="2" s="1"/>
  <c r="J301" i="2" s="1"/>
  <c r="J302" i="2" s="1"/>
  <c r="J303" i="2" s="1"/>
  <c r="J304" i="2" s="1"/>
  <c r="H281" i="2"/>
  <c r="H282" i="2" s="1"/>
  <c r="H283" i="2" s="1"/>
  <c r="H284" i="2" s="1"/>
  <c r="H285" i="2" s="1"/>
  <c r="H286" i="2" s="1"/>
  <c r="H287" i="2" s="1"/>
  <c r="H288" i="2" s="1"/>
  <c r="H289" i="2" s="1"/>
  <c r="H290" i="2" s="1"/>
  <c r="H291" i="2" s="1"/>
  <c r="H292" i="2" s="1"/>
  <c r="H293" i="2" s="1"/>
  <c r="H294" i="2" s="1"/>
  <c r="H295" i="2" s="1"/>
  <c r="H296" i="2" s="1"/>
  <c r="H297" i="2" s="1"/>
  <c r="H298" i="2" s="1"/>
  <c r="H299" i="2" s="1"/>
  <c r="H300" i="2" s="1"/>
  <c r="H301" i="2" s="1"/>
  <c r="H302" i="2" s="1"/>
  <c r="H303" i="2" s="1"/>
  <c r="H304" i="2" s="1"/>
  <c r="F281" i="2"/>
  <c r="F282" i="2" s="1"/>
  <c r="F283" i="2" s="1"/>
  <c r="F284" i="2" s="1"/>
  <c r="F285" i="2" s="1"/>
  <c r="F286" i="2" s="1"/>
  <c r="F287" i="2" s="1"/>
  <c r="F288" i="2" s="1"/>
  <c r="F289" i="2" s="1"/>
  <c r="F290" i="2" s="1"/>
  <c r="F291" i="2" s="1"/>
  <c r="F292" i="2" s="1"/>
  <c r="F293" i="2" s="1"/>
  <c r="F294" i="2" s="1"/>
  <c r="F295" i="2" s="1"/>
  <c r="F296" i="2" s="1"/>
  <c r="F297" i="2" s="1"/>
  <c r="F298" i="2" s="1"/>
  <c r="F299" i="2" s="1"/>
  <c r="F300" i="2" s="1"/>
  <c r="F301" i="2" s="1"/>
  <c r="F302" i="2" s="1"/>
  <c r="L76" i="6" l="1"/>
  <c r="L75" i="6"/>
  <c r="L328" i="1" l="1"/>
  <c r="L325" i="1"/>
  <c r="M326" i="1"/>
  <c r="L329" i="1" l="1"/>
  <c r="H237" i="2"/>
  <c r="H23" i="4"/>
  <c r="H24" i="4"/>
  <c r="E329" i="1" l="1"/>
  <c r="L321" i="1"/>
  <c r="L64" i="6" l="1"/>
  <c r="L63" i="6"/>
  <c r="L60" i="6"/>
  <c r="F60" i="6" l="1"/>
  <c r="F56" i="6"/>
  <c r="F54" i="6"/>
  <c r="F53" i="6"/>
  <c r="F52" i="6"/>
  <c r="F44" i="6"/>
  <c r="F43" i="6"/>
  <c r="F42" i="6"/>
  <c r="F41" i="6"/>
  <c r="F33" i="6"/>
  <c r="F32" i="6"/>
  <c r="F31" i="6"/>
  <c r="F30" i="6"/>
  <c r="F29" i="6"/>
  <c r="F28" i="6"/>
  <c r="F27" i="6"/>
  <c r="F26" i="6"/>
  <c r="F25" i="6"/>
  <c r="F24" i="6"/>
  <c r="F23" i="6"/>
  <c r="F22" i="6"/>
  <c r="F21" i="6"/>
  <c r="H24" i="5"/>
  <c r="F26" i="5"/>
  <c r="F15" i="5"/>
  <c r="F502" i="3"/>
  <c r="H224" i="2"/>
  <c r="H208" i="2"/>
  <c r="H195" i="2"/>
  <c r="H194" i="2"/>
  <c r="H191" i="2"/>
  <c r="H189" i="2"/>
  <c r="H181" i="2"/>
  <c r="F256" i="1"/>
  <c r="H318" i="1"/>
  <c r="F320" i="1"/>
  <c r="E36" i="5"/>
  <c r="P318" i="1" l="1"/>
  <c r="F319" i="1" l="1"/>
  <c r="F318" i="1"/>
  <c r="H61" i="6"/>
  <c r="F501" i="3"/>
  <c r="F500" i="3"/>
  <c r="F499" i="3"/>
  <c r="F264" i="2"/>
  <c r="F263" i="2"/>
  <c r="F261" i="2"/>
  <c r="H263" i="2"/>
  <c r="H255" i="2"/>
  <c r="H218" i="2"/>
  <c r="H193" i="2"/>
  <c r="H192" i="2"/>
  <c r="H190" i="2"/>
  <c r="H158" i="2"/>
  <c r="H140" i="2"/>
  <c r="H43" i="1"/>
  <c r="H42" i="1"/>
  <c r="H41" i="1"/>
  <c r="H40" i="1"/>
  <c r="H39" i="1"/>
  <c r="H38" i="1"/>
  <c r="H37" i="1"/>
  <c r="H36" i="1"/>
  <c r="H35" i="1"/>
  <c r="H34" i="1"/>
  <c r="H33" i="1"/>
  <c r="H32" i="1"/>
  <c r="H315" i="1"/>
  <c r="H329" i="1" s="1"/>
  <c r="B56" i="8" l="1"/>
  <c r="C56" i="8"/>
  <c r="D56" i="8"/>
  <c r="E56" i="8"/>
  <c r="F56" i="8"/>
  <c r="G56" i="8"/>
  <c r="F317" i="1" l="1"/>
  <c r="F316" i="1"/>
  <c r="F498" i="3" l="1"/>
  <c r="F497" i="3"/>
  <c r="F496" i="3"/>
  <c r="F262" i="2"/>
  <c r="F260" i="2"/>
  <c r="F259" i="2"/>
  <c r="H259" i="2" l="1"/>
  <c r="H258" i="2"/>
  <c r="H243" i="2"/>
  <c r="H242" i="2"/>
  <c r="H232" i="2"/>
  <c r="H225" i="2"/>
  <c r="H222" i="2"/>
  <c r="H220" i="2"/>
  <c r="H217" i="2"/>
  <c r="H210" i="2"/>
  <c r="H209" i="2"/>
  <c r="H205" i="2"/>
  <c r="H204" i="2"/>
  <c r="H182" i="2"/>
  <c r="H145" i="4" l="1"/>
  <c r="F145" i="4"/>
  <c r="H219" i="2"/>
  <c r="H45" i="6" l="1"/>
  <c r="F25" i="5"/>
  <c r="H25" i="5"/>
  <c r="H244" i="2"/>
  <c r="H236" i="2"/>
  <c r="H235" i="2"/>
  <c r="H206" i="2"/>
  <c r="H180" i="2"/>
  <c r="H179" i="2"/>
  <c r="H177" i="2"/>
  <c r="H176" i="2"/>
  <c r="H175" i="2"/>
  <c r="H174" i="2"/>
  <c r="H173" i="2"/>
  <c r="H172" i="2"/>
  <c r="H171" i="2"/>
  <c r="H170" i="2"/>
  <c r="H169" i="2"/>
  <c r="H168" i="2"/>
  <c r="H160" i="2"/>
  <c r="H159" i="2"/>
  <c r="H151" i="2"/>
  <c r="H150" i="2"/>
  <c r="H148" i="2"/>
  <c r="H147" i="2"/>
  <c r="H139" i="2"/>
  <c r="H138" i="2"/>
  <c r="H137" i="2"/>
  <c r="H130" i="2"/>
  <c r="H129" i="2"/>
  <c r="H122" i="2"/>
  <c r="H121" i="2"/>
  <c r="H114" i="2"/>
  <c r="H113" i="2"/>
  <c r="H112" i="2"/>
  <c r="H104" i="2"/>
  <c r="H103" i="2"/>
  <c r="H102" i="2"/>
  <c r="H100" i="2"/>
  <c r="H99" i="2"/>
  <c r="H98" i="2"/>
  <c r="H91" i="2"/>
  <c r="H90" i="2"/>
  <c r="H89" i="2"/>
  <c r="H88" i="2"/>
  <c r="H78" i="2"/>
  <c r="H77" i="2"/>
  <c r="H76" i="2"/>
  <c r="H75" i="2"/>
  <c r="H74" i="2"/>
  <c r="H66" i="2"/>
  <c r="H65" i="2"/>
  <c r="H64" i="2"/>
  <c r="H63" i="2"/>
  <c r="H52" i="2"/>
  <c r="H51" i="2"/>
  <c r="H50" i="2"/>
  <c r="H49" i="2"/>
  <c r="H41" i="2"/>
  <c r="H40" i="2"/>
  <c r="H39" i="2"/>
  <c r="H32" i="2"/>
  <c r="H31" i="2"/>
  <c r="H29" i="2"/>
  <c r="H22" i="2"/>
  <c r="H21" i="2"/>
  <c r="H20" i="2"/>
  <c r="H19" i="2"/>
  <c r="H12" i="2"/>
  <c r="H11" i="2"/>
  <c r="H9" i="2"/>
  <c r="H8" i="2"/>
  <c r="H289" i="1" l="1"/>
  <c r="H197" i="1"/>
  <c r="H196" i="1"/>
  <c r="H186" i="1"/>
  <c r="H185" i="1"/>
  <c r="H184" i="1"/>
  <c r="H182" i="1"/>
  <c r="H181" i="1"/>
  <c r="H180" i="1"/>
  <c r="H179" i="1"/>
  <c r="H178" i="1"/>
  <c r="H171" i="1"/>
  <c r="H170" i="1"/>
  <c r="H169" i="1"/>
  <c r="H168" i="1"/>
  <c r="H167" i="1"/>
  <c r="H166" i="1"/>
  <c r="H140" i="1"/>
  <c r="H123" i="1"/>
  <c r="H122" i="1"/>
  <c r="H115" i="1"/>
  <c r="H110" i="1"/>
  <c r="H108" i="1"/>
  <c r="H98" i="1" l="1"/>
  <c r="H97" i="1"/>
  <c r="H93" i="1"/>
  <c r="H89" i="1"/>
  <c r="H87" i="1"/>
  <c r="H73" i="1"/>
  <c r="H70" i="1"/>
  <c r="H68" i="1"/>
  <c r="H59" i="1"/>
  <c r="H51" i="1"/>
  <c r="P24" i="5" l="1"/>
  <c r="F24" i="5" l="1"/>
  <c r="H13" i="5"/>
  <c r="H130" i="4"/>
  <c r="F495" i="3"/>
  <c r="H495" i="3"/>
  <c r="H269" i="3"/>
  <c r="H243" i="3"/>
  <c r="H242" i="3"/>
  <c r="H240" i="3"/>
  <c r="H202" i="3"/>
  <c r="H194" i="3"/>
  <c r="H181" i="3"/>
  <c r="H160" i="3"/>
  <c r="H148" i="3"/>
  <c r="H140" i="3"/>
  <c r="H133" i="3"/>
  <c r="H131" i="3"/>
  <c r="H128" i="3"/>
  <c r="H127" i="3"/>
  <c r="H112" i="3"/>
  <c r="H111" i="3"/>
  <c r="H109" i="3"/>
  <c r="H101" i="3"/>
  <c r="H100" i="3"/>
  <c r="H86" i="3"/>
  <c r="H84" i="3"/>
  <c r="H82" i="3"/>
  <c r="H80" i="3"/>
  <c r="H74" i="3"/>
  <c r="H73" i="3"/>
  <c r="F258" i="2"/>
  <c r="F257" i="2"/>
  <c r="H246" i="2"/>
  <c r="H240" i="2"/>
  <c r="H305" i="1"/>
  <c r="H304" i="1"/>
  <c r="H303" i="1"/>
  <c r="H302" i="1"/>
  <c r="H292" i="1"/>
  <c r="H291" i="1"/>
  <c r="H283" i="1"/>
  <c r="H274" i="1"/>
  <c r="H273" i="1"/>
  <c r="H267" i="1"/>
  <c r="H251" i="1"/>
  <c r="H250" i="1"/>
  <c r="H248" i="1"/>
  <c r="H244" i="1"/>
  <c r="H100" i="1"/>
  <c r="F494" i="3" l="1"/>
  <c r="F493" i="3"/>
  <c r="F256" i="2"/>
  <c r="F255" i="2"/>
  <c r="H178" i="2"/>
  <c r="H101" i="2"/>
  <c r="F315" i="1"/>
  <c r="H306" i="1"/>
  <c r="F306" i="1"/>
  <c r="H272" i="1"/>
  <c r="H270" i="1"/>
  <c r="H208" i="1"/>
  <c r="H204" i="1"/>
  <c r="H201" i="1"/>
  <c r="H200" i="1"/>
  <c r="H198" i="1"/>
  <c r="H183" i="1"/>
  <c r="H54" i="1"/>
  <c r="F273" i="2" l="1"/>
  <c r="G27" i="5"/>
  <c r="I27" i="5" s="1"/>
  <c r="G26" i="5"/>
  <c r="I26" i="5" s="1"/>
  <c r="G25" i="5"/>
  <c r="I25" i="5" s="1"/>
  <c r="G24" i="5"/>
  <c r="I24" i="5" s="1"/>
  <c r="G23" i="5"/>
  <c r="I23" i="5" s="1"/>
  <c r="P305" i="1"/>
  <c r="O305" i="1"/>
  <c r="J23" i="5" l="1"/>
  <c r="K23" i="5"/>
  <c r="J24" i="5"/>
  <c r="K24" i="5"/>
  <c r="J25" i="5"/>
  <c r="K25" i="5"/>
  <c r="J27" i="5"/>
  <c r="K27" i="5"/>
  <c r="J26" i="5"/>
  <c r="K26" i="5"/>
  <c r="F22" i="5" l="1"/>
  <c r="F486" i="3"/>
  <c r="H486" i="3"/>
  <c r="H460" i="3"/>
  <c r="H134" i="3"/>
  <c r="H221" i="2"/>
  <c r="H286" i="1"/>
  <c r="H282" i="1"/>
  <c r="H271" i="1"/>
  <c r="H268" i="1"/>
  <c r="H266" i="1"/>
  <c r="H263" i="1"/>
  <c r="H241" i="1"/>
  <c r="H240" i="1"/>
  <c r="H239" i="1"/>
  <c r="H229" i="1"/>
  <c r="H227" i="1"/>
  <c r="H226" i="1"/>
  <c r="H193" i="1"/>
  <c r="E159" i="4"/>
  <c r="G157" i="4"/>
  <c r="G155" i="4"/>
  <c r="G154" i="4"/>
  <c r="G153" i="4"/>
  <c r="G152" i="4"/>
  <c r="G151" i="4"/>
  <c r="G148" i="4"/>
  <c r="I148" i="4" s="1"/>
  <c r="G147" i="4"/>
  <c r="I147" i="4" s="1"/>
  <c r="G146" i="4"/>
  <c r="I146" i="4" s="1"/>
  <c r="G145" i="4"/>
  <c r="F143" i="4"/>
  <c r="H513" i="3"/>
  <c r="E513" i="3"/>
  <c r="G156" i="4" l="1"/>
  <c r="F159" i="4"/>
  <c r="H159" i="4"/>
  <c r="I151" i="4"/>
  <c r="J151" i="4" s="1"/>
  <c r="I152" i="4"/>
  <c r="J152" i="4" s="1"/>
  <c r="I153" i="4"/>
  <c r="J153" i="4" s="1"/>
  <c r="I154" i="4"/>
  <c r="J154" i="4" s="1"/>
  <c r="I155" i="4"/>
  <c r="J155" i="4" s="1"/>
  <c r="I156" i="4"/>
  <c r="J156" i="4" s="1"/>
  <c r="I157" i="4"/>
  <c r="J157" i="4" s="1"/>
  <c r="J146" i="4"/>
  <c r="K146" i="4"/>
  <c r="J148" i="4"/>
  <c r="K148" i="4"/>
  <c r="J147" i="4"/>
  <c r="K147" i="4"/>
  <c r="K152" i="4"/>
  <c r="I145" i="4"/>
  <c r="G150" i="4"/>
  <c r="I150" i="4" s="1"/>
  <c r="G512" i="3"/>
  <c r="I512" i="3" s="1"/>
  <c r="G511" i="3"/>
  <c r="I511" i="3" s="1"/>
  <c r="G510" i="3"/>
  <c r="I510" i="3" s="1"/>
  <c r="G509" i="3"/>
  <c r="I509" i="3" s="1"/>
  <c r="G508" i="3"/>
  <c r="I508" i="3" s="1"/>
  <c r="G507" i="3"/>
  <c r="I507" i="3" s="1"/>
  <c r="G506" i="3"/>
  <c r="I506" i="3" s="1"/>
  <c r="G505" i="3"/>
  <c r="I505" i="3" s="1"/>
  <c r="G504" i="3"/>
  <c r="I504" i="3" s="1"/>
  <c r="G503" i="3"/>
  <c r="I503" i="3" s="1"/>
  <c r="G502" i="3"/>
  <c r="I502" i="3" s="1"/>
  <c r="G501" i="3"/>
  <c r="I501" i="3" s="1"/>
  <c r="G500" i="3"/>
  <c r="I500" i="3" s="1"/>
  <c r="G499" i="3"/>
  <c r="I499" i="3" s="1"/>
  <c r="J499" i="3" s="1"/>
  <c r="G498" i="3"/>
  <c r="I498" i="3" s="1"/>
  <c r="G497" i="3"/>
  <c r="I497" i="3" s="1"/>
  <c r="G496" i="3"/>
  <c r="I496" i="3" s="1"/>
  <c r="F513" i="3"/>
  <c r="G494" i="3"/>
  <c r="I494" i="3" s="1"/>
  <c r="G493" i="3"/>
  <c r="F491" i="3"/>
  <c r="E273" i="2"/>
  <c r="H273" i="2"/>
  <c r="G272" i="2"/>
  <c r="I272" i="2" s="1"/>
  <c r="G265" i="2"/>
  <c r="I265" i="2" s="1"/>
  <c r="G264" i="2"/>
  <c r="I264" i="2" s="1"/>
  <c r="G263" i="2"/>
  <c r="I263" i="2" s="1"/>
  <c r="G262" i="2"/>
  <c r="I262" i="2" s="1"/>
  <c r="G261" i="2"/>
  <c r="I261" i="2" s="1"/>
  <c r="G260" i="2"/>
  <c r="I260" i="2" s="1"/>
  <c r="G259" i="2"/>
  <c r="I259" i="2" s="1"/>
  <c r="G258" i="2"/>
  <c r="I258" i="2" s="1"/>
  <c r="G257" i="2"/>
  <c r="I257" i="2" s="1"/>
  <c r="G256" i="2"/>
  <c r="I256" i="2" s="1"/>
  <c r="G255" i="2"/>
  <c r="I255" i="2" s="1"/>
  <c r="G254" i="2"/>
  <c r="I254" i="2" s="1"/>
  <c r="F253" i="2"/>
  <c r="G328" i="1"/>
  <c r="I328" i="1" s="1"/>
  <c r="G327" i="1"/>
  <c r="I327" i="1" s="1"/>
  <c r="G326" i="1"/>
  <c r="I326" i="1" s="1"/>
  <c r="G325" i="1"/>
  <c r="I325" i="1" s="1"/>
  <c r="G324" i="1"/>
  <c r="G323" i="1"/>
  <c r="I323" i="1" s="1"/>
  <c r="G322" i="1"/>
  <c r="I322" i="1" s="1"/>
  <c r="G321" i="1"/>
  <c r="I321" i="1" s="1"/>
  <c r="G320" i="1"/>
  <c r="I320" i="1" s="1"/>
  <c r="L320" i="1" s="1"/>
  <c r="G319" i="1"/>
  <c r="I319" i="1" s="1"/>
  <c r="L319" i="1" s="1"/>
  <c r="G318" i="1"/>
  <c r="G317" i="1"/>
  <c r="G316" i="1"/>
  <c r="G315" i="1"/>
  <c r="F313" i="1"/>
  <c r="K155" i="4" l="1"/>
  <c r="K157" i="4"/>
  <c r="K153" i="4"/>
  <c r="K151" i="4"/>
  <c r="I324" i="1"/>
  <c r="K324" i="1" s="1"/>
  <c r="G329" i="1"/>
  <c r="K156" i="4"/>
  <c r="G353" i="1"/>
  <c r="D346" i="1"/>
  <c r="K154" i="4"/>
  <c r="G495" i="3"/>
  <c r="I495" i="3" s="1"/>
  <c r="J495" i="3" s="1"/>
  <c r="I493" i="3"/>
  <c r="I159" i="4"/>
  <c r="J145" i="4"/>
  <c r="K145" i="4"/>
  <c r="J150" i="4"/>
  <c r="K150" i="4"/>
  <c r="G159" i="4"/>
  <c r="K496" i="3"/>
  <c r="J496" i="3"/>
  <c r="K497" i="3"/>
  <c r="J497" i="3"/>
  <c r="K498" i="3"/>
  <c r="J498" i="3"/>
  <c r="J501" i="3"/>
  <c r="K501" i="3"/>
  <c r="J503" i="3"/>
  <c r="K503" i="3"/>
  <c r="K504" i="3"/>
  <c r="J504" i="3"/>
  <c r="K505" i="3"/>
  <c r="J505" i="3"/>
  <c r="K506" i="3"/>
  <c r="J506" i="3"/>
  <c r="K507" i="3"/>
  <c r="J507" i="3"/>
  <c r="K508" i="3"/>
  <c r="J508" i="3"/>
  <c r="K509" i="3"/>
  <c r="J509" i="3"/>
  <c r="K510" i="3"/>
  <c r="J510" i="3"/>
  <c r="K511" i="3"/>
  <c r="J511" i="3"/>
  <c r="K512" i="3"/>
  <c r="J512" i="3"/>
  <c r="J494" i="3"/>
  <c r="K494" i="3"/>
  <c r="J500" i="3"/>
  <c r="K500" i="3"/>
  <c r="J502" i="3"/>
  <c r="K502" i="3"/>
  <c r="K499" i="3"/>
  <c r="I273" i="2"/>
  <c r="G273" i="2"/>
  <c r="K254" i="2"/>
  <c r="J254" i="2"/>
  <c r="J256" i="2"/>
  <c r="K256" i="2"/>
  <c r="K257" i="2"/>
  <c r="J257" i="2"/>
  <c r="K258" i="2"/>
  <c r="J258" i="2"/>
  <c r="K262" i="2"/>
  <c r="J262" i="2"/>
  <c r="K263" i="2"/>
  <c r="J263" i="2"/>
  <c r="K264" i="2"/>
  <c r="J264" i="2"/>
  <c r="K265" i="2"/>
  <c r="J265" i="2"/>
  <c r="K272" i="2"/>
  <c r="J272" i="2"/>
  <c r="J255" i="2"/>
  <c r="K255" i="2"/>
  <c r="K259" i="2"/>
  <c r="J259" i="2"/>
  <c r="K260" i="2"/>
  <c r="J260" i="2"/>
  <c r="K261" i="2"/>
  <c r="J261" i="2"/>
  <c r="I316" i="1"/>
  <c r="K316" i="1" s="1"/>
  <c r="I317" i="1"/>
  <c r="J317" i="1" s="1"/>
  <c r="I318" i="1"/>
  <c r="J318" i="1" s="1"/>
  <c r="J320" i="1"/>
  <c r="K320" i="1"/>
  <c r="J322" i="1"/>
  <c r="K322" i="1"/>
  <c r="J324" i="1"/>
  <c r="J326" i="1"/>
  <c r="K326" i="1"/>
  <c r="J328" i="1"/>
  <c r="K328" i="1"/>
  <c r="K319" i="1"/>
  <c r="J319" i="1"/>
  <c r="J321" i="1"/>
  <c r="K321" i="1"/>
  <c r="J323" i="1"/>
  <c r="K323" i="1"/>
  <c r="J325" i="1"/>
  <c r="K325" i="1"/>
  <c r="J327" i="1"/>
  <c r="K327" i="1"/>
  <c r="F329" i="1"/>
  <c r="I315" i="1"/>
  <c r="I329" i="1" l="1"/>
  <c r="I513" i="3"/>
  <c r="K493" i="3"/>
  <c r="K495" i="3"/>
  <c r="G513" i="3"/>
  <c r="K317" i="1"/>
  <c r="K159" i="4"/>
  <c r="J493" i="3"/>
  <c r="J513" i="3" s="1"/>
  <c r="J159" i="4"/>
  <c r="K273" i="2"/>
  <c r="K318" i="1"/>
  <c r="J316" i="1"/>
  <c r="J273" i="2"/>
  <c r="K315" i="1"/>
  <c r="J315" i="1"/>
  <c r="K329" i="1" l="1"/>
  <c r="J329" i="1"/>
  <c r="K513" i="3"/>
  <c r="N241" i="1"/>
  <c r="N240" i="1"/>
  <c r="N239" i="1"/>
  <c r="O239" i="1" s="1"/>
  <c r="H21" i="5" l="1"/>
  <c r="F21" i="5"/>
  <c r="G21" i="5" s="1"/>
  <c r="G22" i="5"/>
  <c r="I22" i="5" s="1"/>
  <c r="I21" i="5" l="1"/>
  <c r="K21" i="5" s="1"/>
  <c r="K22" i="5"/>
  <c r="J22" i="5"/>
  <c r="J21" i="5" l="1"/>
  <c r="O286" i="1"/>
  <c r="N286" i="1"/>
  <c r="H34" i="5" l="1"/>
  <c r="F34" i="5"/>
  <c r="G34" i="5" s="1"/>
  <c r="I34" i="5" l="1"/>
  <c r="J34" i="5" s="1"/>
  <c r="F61" i="6"/>
  <c r="H24" i="6"/>
  <c r="H23" i="6"/>
  <c r="H22" i="6"/>
  <c r="H21" i="6"/>
  <c r="F35" i="5"/>
  <c r="F20" i="5"/>
  <c r="F19" i="5"/>
  <c r="F18" i="5"/>
  <c r="F17" i="5"/>
  <c r="F16" i="5"/>
  <c r="F14" i="5"/>
  <c r="H35" i="5"/>
  <c r="H20" i="5"/>
  <c r="H19" i="5"/>
  <c r="H18" i="5"/>
  <c r="H17" i="5"/>
  <c r="H16" i="5"/>
  <c r="H15" i="5"/>
  <c r="H7" i="5"/>
  <c r="F35" i="4"/>
  <c r="H35" i="4"/>
  <c r="H34" i="4"/>
  <c r="F27" i="4"/>
  <c r="F24" i="4"/>
  <c r="F23" i="4"/>
  <c r="F21" i="4"/>
  <c r="F20" i="4"/>
  <c r="F18" i="4"/>
  <c r="F8" i="4"/>
  <c r="H27" i="4"/>
  <c r="H26" i="4"/>
  <c r="H25" i="4"/>
  <c r="H8" i="4"/>
  <c r="F137" i="4"/>
  <c r="H137" i="4"/>
  <c r="F485" i="3"/>
  <c r="F484" i="3"/>
  <c r="F480" i="3"/>
  <c r="H485" i="3"/>
  <c r="H484" i="3"/>
  <c r="H480" i="3"/>
  <c r="H476" i="3"/>
  <c r="H475" i="3"/>
  <c r="K34" i="5" l="1"/>
  <c r="F248" i="2"/>
  <c r="F247" i="2"/>
  <c r="F246" i="2"/>
  <c r="F245" i="2"/>
  <c r="F244" i="2"/>
  <c r="H248" i="2"/>
  <c r="H247" i="2"/>
  <c r="F115" i="2"/>
  <c r="F105" i="2"/>
  <c r="H105" i="2"/>
  <c r="F92" i="2"/>
  <c r="H87" i="2"/>
  <c r="H86" i="2"/>
  <c r="H295" i="1"/>
  <c r="H294" i="1"/>
  <c r="H293" i="1"/>
  <c r="H290" i="1"/>
  <c r="H288" i="1"/>
  <c r="H287" i="1"/>
  <c r="H284" i="1"/>
  <c r="H275" i="1"/>
  <c r="H269" i="1"/>
  <c r="H246" i="1"/>
  <c r="H245" i="1"/>
  <c r="H231" i="1"/>
  <c r="H230" i="1"/>
  <c r="H222" i="1"/>
  <c r="H218" i="1"/>
  <c r="H210" i="1"/>
  <c r="H207" i="1"/>
  <c r="H199" i="1"/>
  <c r="G35" i="5" l="1"/>
  <c r="I35" i="5" l="1"/>
  <c r="G20" i="5"/>
  <c r="I20" i="5" s="1"/>
  <c r="K20" i="5" s="1"/>
  <c r="G19" i="5"/>
  <c r="I19" i="5" s="1"/>
  <c r="G18" i="5"/>
  <c r="I18" i="5" s="1"/>
  <c r="K18" i="5" s="1"/>
  <c r="G17" i="5"/>
  <c r="I17" i="5" s="1"/>
  <c r="G16" i="5"/>
  <c r="I16" i="5" s="1"/>
  <c r="K16" i="5" s="1"/>
  <c r="F28" i="4"/>
  <c r="G23" i="4"/>
  <c r="I23" i="4" s="1"/>
  <c r="K23" i="4" s="1"/>
  <c r="G24" i="4"/>
  <c r="I24" i="4" s="1"/>
  <c r="J24" i="4" s="1"/>
  <c r="G25" i="4"/>
  <c r="I25" i="4" s="1"/>
  <c r="K25" i="4" s="1"/>
  <c r="G26" i="4"/>
  <c r="I26" i="4" s="1"/>
  <c r="J26" i="4" s="1"/>
  <c r="G22" i="4"/>
  <c r="I22" i="4" s="1"/>
  <c r="E28" i="4"/>
  <c r="H45" i="4"/>
  <c r="G246" i="2"/>
  <c r="I246" i="2" s="1"/>
  <c r="J246" i="2" s="1"/>
  <c r="G247" i="2"/>
  <c r="I247" i="2" s="1"/>
  <c r="G248" i="2"/>
  <c r="I248" i="2" s="1"/>
  <c r="J248" i="2" s="1"/>
  <c r="E249" i="2"/>
  <c r="K35" i="5" l="1"/>
  <c r="J35" i="5"/>
  <c r="K19" i="5"/>
  <c r="J19" i="5"/>
  <c r="K17" i="5"/>
  <c r="J17" i="5"/>
  <c r="J16" i="5"/>
  <c r="J18" i="5"/>
  <c r="J20" i="5"/>
  <c r="J23" i="4"/>
  <c r="K24" i="4"/>
  <c r="J25" i="4"/>
  <c r="K26" i="4"/>
  <c r="K22" i="4"/>
  <c r="J22" i="4"/>
  <c r="K247" i="2"/>
  <c r="J247" i="2"/>
  <c r="K246" i="2"/>
  <c r="K248" i="2"/>
  <c r="G486" i="3" l="1"/>
  <c r="I486" i="3" s="1"/>
  <c r="K486" i="3" s="1"/>
  <c r="G485" i="3"/>
  <c r="I485" i="3" s="1"/>
  <c r="K485" i="3" s="1"/>
  <c r="J485" i="3" l="1"/>
  <c r="J486" i="3"/>
  <c r="N275" i="1"/>
  <c r="P306" i="1" l="1"/>
  <c r="G484" i="3"/>
  <c r="I484" i="3" s="1"/>
  <c r="K484" i="3" s="1"/>
  <c r="J484" i="3" l="1"/>
  <c r="G245" i="2" l="1"/>
  <c r="I245" i="2" s="1"/>
  <c r="K245" i="2" l="1"/>
  <c r="J245" i="2"/>
  <c r="H33" i="7"/>
  <c r="H41" i="6"/>
  <c r="F136" i="4"/>
  <c r="H136" i="4"/>
  <c r="F483" i="3"/>
  <c r="F482" i="3"/>
  <c r="F481" i="3"/>
  <c r="F479" i="3"/>
  <c r="H483" i="3"/>
  <c r="H482" i="3"/>
  <c r="H481" i="3"/>
  <c r="H479" i="3"/>
  <c r="H477" i="3"/>
  <c r="H385" i="3"/>
  <c r="H241" i="2"/>
  <c r="F243" i="2"/>
  <c r="H247" i="1" l="1"/>
  <c r="H465" i="3" l="1"/>
  <c r="G243" i="2" l="1"/>
  <c r="I243" i="2" s="1"/>
  <c r="K243" i="2" s="1"/>
  <c r="F242" i="2"/>
  <c r="G242" i="2" s="1"/>
  <c r="I242" i="2" s="1"/>
  <c r="G244" i="2"/>
  <c r="I244" i="2" s="1"/>
  <c r="J244" i="2" s="1"/>
  <c r="J243" i="2" l="1"/>
  <c r="K244" i="2"/>
  <c r="K242" i="2"/>
  <c r="J242" i="2"/>
  <c r="G483" i="3" l="1"/>
  <c r="I483" i="3" s="1"/>
  <c r="G482" i="3"/>
  <c r="I482" i="3" s="1"/>
  <c r="G481" i="3"/>
  <c r="I481" i="3" s="1"/>
  <c r="G480" i="3"/>
  <c r="I480" i="3" s="1"/>
  <c r="G479" i="3"/>
  <c r="I479" i="3" s="1"/>
  <c r="J482" i="3" l="1"/>
  <c r="K482" i="3"/>
  <c r="K479" i="3"/>
  <c r="J479" i="3"/>
  <c r="J480" i="3"/>
  <c r="K480" i="3"/>
  <c r="K481" i="3"/>
  <c r="J481" i="3"/>
  <c r="K483" i="3"/>
  <c r="J483" i="3"/>
  <c r="H56" i="6" l="1"/>
  <c r="H53" i="6"/>
  <c r="H54" i="6"/>
  <c r="H52" i="6"/>
  <c r="H42" i="6"/>
  <c r="H43" i="6"/>
  <c r="H44" i="6"/>
  <c r="H28" i="6"/>
  <c r="H27" i="6"/>
  <c r="H26" i="6"/>
  <c r="H25" i="6"/>
  <c r="H20" i="6"/>
  <c r="H19" i="6"/>
  <c r="H18" i="6"/>
  <c r="H17" i="6"/>
  <c r="H10" i="6"/>
  <c r="H9" i="6"/>
  <c r="H8" i="6"/>
  <c r="H7" i="6"/>
  <c r="H6" i="6"/>
  <c r="F13" i="5"/>
  <c r="F478" i="3"/>
  <c r="F477" i="3"/>
  <c r="H478" i="3"/>
  <c r="H456" i="3"/>
  <c r="F305" i="1"/>
  <c r="F263" i="1"/>
  <c r="H255" i="1"/>
  <c r="H256" i="1" s="1"/>
  <c r="H209" i="1"/>
  <c r="H202" i="1"/>
  <c r="H212" i="1" l="1"/>
  <c r="D305" i="1"/>
  <c r="P238" i="2" l="1"/>
  <c r="R235" i="2"/>
  <c r="H474" i="3" l="1"/>
  <c r="F476" i="3"/>
  <c r="F475" i="3"/>
  <c r="F474" i="3"/>
  <c r="F328" i="3"/>
  <c r="F252" i="3"/>
  <c r="F224" i="3"/>
  <c r="F121" i="3"/>
  <c r="F88" i="3"/>
  <c r="F66" i="3"/>
  <c r="F241" i="2"/>
  <c r="F240" i="2"/>
  <c r="F187" i="1"/>
  <c r="F172" i="1"/>
  <c r="F160" i="1"/>
  <c r="F124" i="1"/>
  <c r="F102" i="1"/>
  <c r="F81" i="1"/>
  <c r="F62" i="1"/>
  <c r="F44" i="1"/>
  <c r="G478" i="3" l="1"/>
  <c r="I478" i="3" s="1"/>
  <c r="G477" i="3"/>
  <c r="I477" i="3" s="1"/>
  <c r="G476" i="3"/>
  <c r="I476" i="3" s="1"/>
  <c r="G241" i="2"/>
  <c r="I241" i="2" s="1"/>
  <c r="G240" i="2"/>
  <c r="I240" i="2" s="1"/>
  <c r="K476" i="3" l="1"/>
  <c r="J476" i="3"/>
  <c r="J477" i="3"/>
  <c r="K477" i="3"/>
  <c r="K478" i="3"/>
  <c r="J478" i="3"/>
  <c r="K240" i="2"/>
  <c r="J240" i="2"/>
  <c r="K241" i="2"/>
  <c r="J241" i="2"/>
  <c r="X16" i="8" l="1"/>
  <c r="W16" i="8"/>
  <c r="X15" i="8"/>
  <c r="W15" i="8"/>
  <c r="X14" i="8"/>
  <c r="W14" i="8"/>
  <c r="X13" i="8"/>
  <c r="W13" i="8"/>
  <c r="X12" i="8"/>
  <c r="W12" i="8"/>
  <c r="X11" i="8"/>
  <c r="W11" i="8"/>
  <c r="X10" i="8"/>
  <c r="W10" i="8"/>
  <c r="X9" i="8"/>
  <c r="W9" i="8"/>
  <c r="X8" i="8"/>
  <c r="W8" i="8"/>
  <c r="H135" i="4" l="1"/>
  <c r="F135" i="4"/>
  <c r="H233" i="1"/>
  <c r="F35" i="6" l="1"/>
  <c r="F11" i="6"/>
  <c r="H33" i="6" l="1"/>
  <c r="H32" i="6"/>
  <c r="H31" i="6"/>
  <c r="H30" i="6"/>
  <c r="H29" i="6"/>
  <c r="H16" i="6"/>
  <c r="F134" i="4"/>
  <c r="F133" i="4"/>
  <c r="H134" i="4"/>
  <c r="H117" i="4"/>
  <c r="H108" i="4"/>
  <c r="H106" i="4"/>
  <c r="H89" i="4"/>
  <c r="H88" i="4"/>
  <c r="H54" i="4"/>
  <c r="H52" i="4"/>
  <c r="H55" i="4" s="1"/>
  <c r="H16" i="4"/>
  <c r="H15" i="4"/>
  <c r="H14" i="4"/>
  <c r="H13" i="4"/>
  <c r="H12" i="4"/>
  <c r="H10" i="4"/>
  <c r="G7" i="4"/>
  <c r="G8" i="4"/>
  <c r="G9" i="4"/>
  <c r="G10" i="4"/>
  <c r="G11" i="4"/>
  <c r="G12" i="4"/>
  <c r="G13" i="4"/>
  <c r="G14" i="4"/>
  <c r="G15" i="4"/>
  <c r="G16" i="4"/>
  <c r="G17" i="4"/>
  <c r="G18" i="4"/>
  <c r="G19" i="4"/>
  <c r="G20" i="4"/>
  <c r="G21" i="4"/>
  <c r="G27" i="4"/>
  <c r="H35" i="3"/>
  <c r="H473" i="3"/>
  <c r="H472" i="3"/>
  <c r="F473" i="3"/>
  <c r="F472" i="3"/>
  <c r="F238" i="2"/>
  <c r="F195" i="2"/>
  <c r="H28" i="4" l="1"/>
  <c r="F196" i="2" l="1"/>
  <c r="H196" i="2"/>
  <c r="G63" i="6" l="1"/>
  <c r="I63" i="6" s="1"/>
  <c r="K63" i="6" s="1"/>
  <c r="G64" i="6"/>
  <c r="I64" i="6" s="1"/>
  <c r="J64" i="6" s="1"/>
  <c r="G65" i="6"/>
  <c r="I65" i="6" s="1"/>
  <c r="K65" i="6" s="1"/>
  <c r="G66" i="6"/>
  <c r="I66" i="6" s="1"/>
  <c r="J66" i="6" s="1"/>
  <c r="J63" i="6" l="1"/>
  <c r="K64" i="6"/>
  <c r="J65" i="6"/>
  <c r="K66" i="6"/>
  <c r="E487" i="3"/>
  <c r="E139" i="4"/>
  <c r="G134" i="4"/>
  <c r="G135" i="4"/>
  <c r="G136" i="4"/>
  <c r="G137" i="4"/>
  <c r="G475" i="3" l="1"/>
  <c r="I475" i="3" s="1"/>
  <c r="G474" i="3"/>
  <c r="I474" i="3" s="1"/>
  <c r="G473" i="3"/>
  <c r="I473" i="3" s="1"/>
  <c r="G472" i="3"/>
  <c r="I472" i="3" s="1"/>
  <c r="I134" i="4"/>
  <c r="J134" i="4" s="1"/>
  <c r="I135" i="4"/>
  <c r="J135" i="4" s="1"/>
  <c r="I136" i="4"/>
  <c r="J136" i="4" s="1"/>
  <c r="I137" i="4"/>
  <c r="J137" i="4" s="1"/>
  <c r="H457" i="3"/>
  <c r="K135" i="4" l="1"/>
  <c r="K137" i="4"/>
  <c r="K134" i="4"/>
  <c r="K136" i="4"/>
  <c r="K472" i="3"/>
  <c r="J472" i="3"/>
  <c r="J473" i="3"/>
  <c r="K473" i="3"/>
  <c r="J474" i="3"/>
  <c r="K474" i="3"/>
  <c r="J475" i="3"/>
  <c r="K475" i="3"/>
  <c r="H61" i="4" l="1"/>
  <c r="H143" i="3"/>
  <c r="H139" i="3"/>
  <c r="F143" i="3"/>
  <c r="F139" i="3"/>
  <c r="F54" i="7"/>
  <c r="H54" i="7"/>
  <c r="F132" i="4"/>
  <c r="F131" i="4"/>
  <c r="F130" i="4"/>
  <c r="H132" i="4"/>
  <c r="H131" i="4"/>
  <c r="H471" i="3"/>
  <c r="H470" i="3"/>
  <c r="H469" i="3"/>
  <c r="H468" i="3"/>
  <c r="H467" i="3"/>
  <c r="H466" i="3"/>
  <c r="H459" i="3"/>
  <c r="H458" i="3"/>
  <c r="F471" i="3"/>
  <c r="F470" i="3"/>
  <c r="F469" i="3"/>
  <c r="F468" i="3"/>
  <c r="F467" i="3"/>
  <c r="F466" i="3"/>
  <c r="F460" i="3"/>
  <c r="F457" i="3"/>
  <c r="F178" i="2"/>
  <c r="F239" i="2"/>
  <c r="F237" i="2"/>
  <c r="H239" i="2"/>
  <c r="B36" i="8"/>
  <c r="F233" i="2"/>
  <c r="H139" i="4" l="1"/>
  <c r="F139" i="4"/>
  <c r="G58" i="8"/>
  <c r="F58" i="8"/>
  <c r="E58" i="8"/>
  <c r="D58" i="8"/>
  <c r="C58" i="8"/>
  <c r="B58" i="8"/>
  <c r="F182" i="3"/>
  <c r="F45" i="4"/>
  <c r="F66" i="4"/>
  <c r="F183" i="2"/>
  <c r="E183" i="2"/>
  <c r="H68" i="6"/>
  <c r="E68" i="6"/>
  <c r="G133" i="4"/>
  <c r="I133" i="4" s="1"/>
  <c r="J133" i="4" l="1"/>
  <c r="K133" i="4"/>
  <c r="G62" i="6"/>
  <c r="I62" i="6" s="1"/>
  <c r="G132" i="4"/>
  <c r="I132" i="4" s="1"/>
  <c r="G131" i="4"/>
  <c r="I131" i="4" s="1"/>
  <c r="G130" i="4"/>
  <c r="I130" i="4" s="1"/>
  <c r="J62" i="6" l="1"/>
  <c r="K62" i="6"/>
  <c r="J131" i="4"/>
  <c r="K131" i="4"/>
  <c r="J130" i="4"/>
  <c r="K130" i="4"/>
  <c r="J132" i="4"/>
  <c r="K132" i="4"/>
  <c r="F52" i="7" l="1"/>
  <c r="L16" i="8"/>
  <c r="K16" i="8"/>
  <c r="J16" i="8"/>
  <c r="F53" i="7" l="1"/>
  <c r="H65" i="4"/>
  <c r="F465" i="3"/>
  <c r="F464" i="3"/>
  <c r="F463" i="3"/>
  <c r="F462" i="3"/>
  <c r="F459" i="3"/>
  <c r="H464" i="3"/>
  <c r="H463" i="3"/>
  <c r="H462" i="3"/>
  <c r="F236" i="2"/>
  <c r="F235" i="2"/>
  <c r="H234" i="2"/>
  <c r="H233" i="2"/>
  <c r="H161" i="2"/>
  <c r="F304" i="1"/>
  <c r="F487" i="3" l="1"/>
  <c r="F249" i="2"/>
  <c r="H487" i="3"/>
  <c r="H249" i="2"/>
  <c r="F68" i="6"/>
  <c r="G456" i="3"/>
  <c r="G127" i="4" l="1"/>
  <c r="I127" i="4" s="1"/>
  <c r="G126" i="4"/>
  <c r="I126" i="4" s="1"/>
  <c r="J127" i="4" l="1"/>
  <c r="K127" i="4"/>
  <c r="J126" i="4"/>
  <c r="K126" i="4"/>
  <c r="D275" i="1" l="1"/>
  <c r="G236" i="2"/>
  <c r="C303" i="1" l="1"/>
  <c r="C302" i="1"/>
  <c r="H67" i="7" l="1"/>
  <c r="F67" i="7"/>
  <c r="E67" i="7"/>
  <c r="G66" i="7"/>
  <c r="I66" i="7" s="1"/>
  <c r="G65" i="7"/>
  <c r="I65" i="7" s="1"/>
  <c r="G64" i="7"/>
  <c r="I64" i="7" s="1"/>
  <c r="G63" i="7"/>
  <c r="I63" i="7" s="1"/>
  <c r="G62" i="7"/>
  <c r="I62" i="7" s="1"/>
  <c r="G61" i="7"/>
  <c r="I61" i="7" s="1"/>
  <c r="G60" i="7"/>
  <c r="I60" i="7" s="1"/>
  <c r="G59" i="7"/>
  <c r="I59" i="7" s="1"/>
  <c r="G58" i="7"/>
  <c r="I58" i="7" s="1"/>
  <c r="G57" i="7"/>
  <c r="I57" i="7" s="1"/>
  <c r="G56" i="7"/>
  <c r="I56" i="7" s="1"/>
  <c r="G55" i="7"/>
  <c r="I55" i="7" s="1"/>
  <c r="G54" i="7"/>
  <c r="I54" i="7" s="1"/>
  <c r="L54" i="7" s="1"/>
  <c r="G53" i="7"/>
  <c r="I53" i="7" s="1"/>
  <c r="G52" i="7"/>
  <c r="I52" i="7" s="1"/>
  <c r="G51" i="7"/>
  <c r="I51" i="7" s="1"/>
  <c r="L51" i="7" s="1"/>
  <c r="F49" i="7"/>
  <c r="F2" i="7"/>
  <c r="F2" i="6"/>
  <c r="G2" i="5"/>
  <c r="F59" i="4"/>
  <c r="G2" i="4"/>
  <c r="G2" i="3"/>
  <c r="G2" i="2"/>
  <c r="G471" i="3"/>
  <c r="I471" i="3" s="1"/>
  <c r="K471" i="3" s="1"/>
  <c r="G470" i="3"/>
  <c r="I470" i="3" s="1"/>
  <c r="K470" i="3" s="1"/>
  <c r="G469" i="3"/>
  <c r="I469" i="3" s="1"/>
  <c r="G468" i="3"/>
  <c r="I468" i="3" s="1"/>
  <c r="K468" i="3" s="1"/>
  <c r="G467" i="3"/>
  <c r="I467" i="3" s="1"/>
  <c r="K467" i="3" s="1"/>
  <c r="G466" i="3"/>
  <c r="I466" i="3" s="1"/>
  <c r="K466" i="3" s="1"/>
  <c r="G465" i="3"/>
  <c r="I465" i="3" s="1"/>
  <c r="G464" i="3"/>
  <c r="I464" i="3" s="1"/>
  <c r="K464" i="3" s="1"/>
  <c r="G463" i="3"/>
  <c r="I463" i="3" s="1"/>
  <c r="K463" i="3" s="1"/>
  <c r="G462" i="3"/>
  <c r="I462" i="3" s="1"/>
  <c r="K462" i="3" s="1"/>
  <c r="G461" i="3"/>
  <c r="I461" i="3" s="1"/>
  <c r="K461" i="3" s="1"/>
  <c r="G460" i="3"/>
  <c r="I460" i="3" s="1"/>
  <c r="G459" i="3"/>
  <c r="I459" i="3" s="1"/>
  <c r="G458" i="3"/>
  <c r="I458" i="3" s="1"/>
  <c r="K458" i="3" s="1"/>
  <c r="G457" i="3"/>
  <c r="I457" i="3" s="1"/>
  <c r="K457" i="3" s="1"/>
  <c r="I456" i="3"/>
  <c r="G455" i="3"/>
  <c r="F453" i="3"/>
  <c r="O15" i="8"/>
  <c r="N15" i="8"/>
  <c r="M15" i="8"/>
  <c r="H36" i="5"/>
  <c r="E12" i="8" s="1"/>
  <c r="E53" i="8" s="1"/>
  <c r="F36" i="5"/>
  <c r="B12" i="8"/>
  <c r="B53" i="8" s="1"/>
  <c r="G15" i="5"/>
  <c r="I15" i="5" s="1"/>
  <c r="J15" i="5" s="1"/>
  <c r="G14" i="5"/>
  <c r="I14" i="5" s="1"/>
  <c r="K14" i="5" s="1"/>
  <c r="G13" i="5"/>
  <c r="I13" i="5" s="1"/>
  <c r="J13" i="5" s="1"/>
  <c r="G128" i="4"/>
  <c r="I128" i="4" s="1"/>
  <c r="G125" i="4"/>
  <c r="F123" i="4"/>
  <c r="C12" i="8" l="1"/>
  <c r="C53" i="8" s="1"/>
  <c r="G139" i="4"/>
  <c r="G487" i="3"/>
  <c r="K459" i="3"/>
  <c r="K465" i="3"/>
  <c r="M465" i="3"/>
  <c r="K469" i="3"/>
  <c r="C33" i="8"/>
  <c r="K456" i="3"/>
  <c r="K460" i="3"/>
  <c r="M460" i="3"/>
  <c r="J14" i="5"/>
  <c r="I125" i="4"/>
  <c r="I139" i="4" s="1"/>
  <c r="K52" i="7"/>
  <c r="J52" i="7"/>
  <c r="K51" i="7"/>
  <c r="I67" i="7"/>
  <c r="J51" i="7"/>
  <c r="K53" i="7"/>
  <c r="J53" i="7"/>
  <c r="K55" i="7"/>
  <c r="J55" i="7"/>
  <c r="K57" i="7"/>
  <c r="J57" i="7"/>
  <c r="K59" i="7"/>
  <c r="J59" i="7"/>
  <c r="K61" i="7"/>
  <c r="J61" i="7"/>
  <c r="K63" i="7"/>
  <c r="J63" i="7"/>
  <c r="K65" i="7"/>
  <c r="J65" i="7"/>
  <c r="K54" i="7"/>
  <c r="J54" i="7"/>
  <c r="K56" i="7"/>
  <c r="J56" i="7"/>
  <c r="K58" i="7"/>
  <c r="J58" i="7"/>
  <c r="K60" i="7"/>
  <c r="J60" i="7"/>
  <c r="K62" i="7"/>
  <c r="J62" i="7"/>
  <c r="K64" i="7"/>
  <c r="J64" i="7"/>
  <c r="K66" i="7"/>
  <c r="J66" i="7"/>
  <c r="G67" i="7"/>
  <c r="I455" i="3"/>
  <c r="J456" i="3"/>
  <c r="J457" i="3"/>
  <c r="J458" i="3"/>
  <c r="J459" i="3"/>
  <c r="J460" i="3"/>
  <c r="J461" i="3"/>
  <c r="J462" i="3"/>
  <c r="J463" i="3"/>
  <c r="J464" i="3"/>
  <c r="J465" i="3"/>
  <c r="J466" i="3"/>
  <c r="J467" i="3"/>
  <c r="J468" i="3"/>
  <c r="J469" i="3"/>
  <c r="J470" i="3"/>
  <c r="J471" i="3"/>
  <c r="K13" i="5"/>
  <c r="K15" i="5"/>
  <c r="K125" i="4"/>
  <c r="K128" i="4"/>
  <c r="J128" i="4"/>
  <c r="D12" i="8" l="1"/>
  <c r="D53" i="8" s="1"/>
  <c r="J125" i="4"/>
  <c r="J139" i="4" s="1"/>
  <c r="I487" i="3"/>
  <c r="K139" i="4"/>
  <c r="J67" i="7"/>
  <c r="K67" i="7"/>
  <c r="J455" i="3"/>
  <c r="J487" i="3" s="1"/>
  <c r="K455" i="3"/>
  <c r="K487" i="3" s="1"/>
  <c r="G239" i="2" l="1"/>
  <c r="I239" i="2" s="1"/>
  <c r="G238" i="2"/>
  <c r="I238" i="2" s="1"/>
  <c r="G237" i="2"/>
  <c r="I237" i="2" s="1"/>
  <c r="I236" i="2"/>
  <c r="G235" i="2"/>
  <c r="I235" i="2" s="1"/>
  <c r="M235" i="2" s="1"/>
  <c r="G234" i="2"/>
  <c r="I234" i="2" s="1"/>
  <c r="G233" i="2"/>
  <c r="I233" i="2" s="1"/>
  <c r="G232" i="2"/>
  <c r="I232" i="2" s="1"/>
  <c r="G231" i="2"/>
  <c r="I231" i="2" s="1"/>
  <c r="F230" i="2"/>
  <c r="F309" i="1"/>
  <c r="E309" i="1"/>
  <c r="G308" i="1"/>
  <c r="I308" i="1" s="1"/>
  <c r="H309" i="1"/>
  <c r="I307" i="1"/>
  <c r="G306" i="1"/>
  <c r="I306" i="1" s="1"/>
  <c r="G305" i="1"/>
  <c r="I305" i="1" s="1"/>
  <c r="G304" i="1"/>
  <c r="I304" i="1" s="1"/>
  <c r="G303" i="1"/>
  <c r="I303" i="1" s="1"/>
  <c r="G302" i="1"/>
  <c r="F300" i="1"/>
  <c r="I249" i="2" l="1"/>
  <c r="K231" i="2"/>
  <c r="J231" i="2"/>
  <c r="K233" i="2"/>
  <c r="J233" i="2"/>
  <c r="K235" i="2"/>
  <c r="J235" i="2"/>
  <c r="K237" i="2"/>
  <c r="J237" i="2"/>
  <c r="K239" i="2"/>
  <c r="J239" i="2"/>
  <c r="K232" i="2"/>
  <c r="J232" i="2"/>
  <c r="K234" i="2"/>
  <c r="J234" i="2"/>
  <c r="K236" i="2"/>
  <c r="J236" i="2"/>
  <c r="K238" i="2"/>
  <c r="J238" i="2"/>
  <c r="G249" i="2"/>
  <c r="G309" i="1"/>
  <c r="J304" i="1"/>
  <c r="K304" i="1"/>
  <c r="J306" i="1"/>
  <c r="K306" i="1"/>
  <c r="K308" i="1"/>
  <c r="J308" i="1"/>
  <c r="J303" i="1"/>
  <c r="K303" i="1"/>
  <c r="J305" i="1"/>
  <c r="K305" i="1"/>
  <c r="J307" i="1"/>
  <c r="K307" i="1"/>
  <c r="I302" i="1"/>
  <c r="M302" i="1" s="1"/>
  <c r="J249" i="2" l="1"/>
  <c r="K249" i="2"/>
  <c r="J302" i="1"/>
  <c r="J309" i="1" s="1"/>
  <c r="I309" i="1"/>
  <c r="K302" i="1"/>
  <c r="K309" i="1" s="1"/>
  <c r="G44" i="7" l="1"/>
  <c r="I44" i="7" s="1"/>
  <c r="G43" i="7"/>
  <c r="I43" i="7" s="1"/>
  <c r="G42" i="7"/>
  <c r="I42" i="7" s="1"/>
  <c r="L42" i="7" s="1"/>
  <c r="G41" i="7"/>
  <c r="I41" i="7" s="1"/>
  <c r="L41" i="7" s="1"/>
  <c r="G40" i="7"/>
  <c r="I40" i="7" s="1"/>
  <c r="G39" i="7"/>
  <c r="I39" i="7" s="1"/>
  <c r="L39" i="7" s="1"/>
  <c r="G38" i="7"/>
  <c r="I38" i="7" s="1"/>
  <c r="L38" i="7" s="1"/>
  <c r="G37" i="7"/>
  <c r="I37" i="7" s="1"/>
  <c r="G36" i="7"/>
  <c r="I36" i="7" s="1"/>
  <c r="G35" i="7"/>
  <c r="I35" i="7" s="1"/>
  <c r="G34" i="7"/>
  <c r="I34" i="7" s="1"/>
  <c r="G33" i="7"/>
  <c r="I33" i="7" s="1"/>
  <c r="G32" i="7"/>
  <c r="I32" i="7" s="1"/>
  <c r="G31" i="7"/>
  <c r="I31" i="7" s="1"/>
  <c r="G30" i="7"/>
  <c r="I30" i="7" s="1"/>
  <c r="G29" i="7"/>
  <c r="I29" i="7" s="1"/>
  <c r="F27" i="7"/>
  <c r="G22" i="7"/>
  <c r="I22" i="7" s="1"/>
  <c r="G21" i="7"/>
  <c r="I21" i="7" s="1"/>
  <c r="G20" i="7"/>
  <c r="I20" i="7" s="1"/>
  <c r="J20" i="7" s="1"/>
  <c r="G19" i="7"/>
  <c r="I19" i="7" s="1"/>
  <c r="J19" i="7" s="1"/>
  <c r="G18" i="7"/>
  <c r="I18" i="7" s="1"/>
  <c r="G17" i="7"/>
  <c r="I17" i="7" s="1"/>
  <c r="J17" i="7" s="1"/>
  <c r="G16" i="7"/>
  <c r="I16" i="7" s="1"/>
  <c r="J16" i="7" s="1"/>
  <c r="G15" i="7"/>
  <c r="I15" i="7" s="1"/>
  <c r="J15" i="7" s="1"/>
  <c r="G14" i="7"/>
  <c r="I14" i="7" s="1"/>
  <c r="G13" i="7"/>
  <c r="I13" i="7" s="1"/>
  <c r="G12" i="7"/>
  <c r="I12" i="7" s="1"/>
  <c r="J12" i="7" s="1"/>
  <c r="G11" i="7"/>
  <c r="I11" i="7" s="1"/>
  <c r="J11" i="7" s="1"/>
  <c r="G10" i="7"/>
  <c r="I10" i="7" s="1"/>
  <c r="J10" i="7" s="1"/>
  <c r="G9" i="7"/>
  <c r="I9" i="7" s="1"/>
  <c r="J9" i="7" s="1"/>
  <c r="G8" i="7"/>
  <c r="I8" i="7" s="1"/>
  <c r="J8" i="7" s="1"/>
  <c r="G7" i="7"/>
  <c r="I7" i="7" s="1"/>
  <c r="F5" i="7"/>
  <c r="G61" i="6"/>
  <c r="I61" i="6" s="1"/>
  <c r="G60" i="6"/>
  <c r="I60" i="6" s="1"/>
  <c r="G59" i="6"/>
  <c r="I59" i="6" s="1"/>
  <c r="G58" i="6"/>
  <c r="I58" i="6" s="1"/>
  <c r="G57" i="6"/>
  <c r="I57" i="6" s="1"/>
  <c r="J57" i="6" s="1"/>
  <c r="G56" i="6"/>
  <c r="I56" i="6" s="1"/>
  <c r="J56" i="6" s="1"/>
  <c r="G55" i="6"/>
  <c r="I55" i="6" s="1"/>
  <c r="J55" i="6" s="1"/>
  <c r="G54" i="6"/>
  <c r="I54" i="6" s="1"/>
  <c r="J54" i="6" s="1"/>
  <c r="G53" i="6"/>
  <c r="I53" i="6" s="1"/>
  <c r="J53" i="6" s="1"/>
  <c r="G52" i="6"/>
  <c r="F50" i="6"/>
  <c r="F46" i="6"/>
  <c r="G45" i="6"/>
  <c r="I45" i="6" s="1"/>
  <c r="J45" i="6" s="1"/>
  <c r="G44" i="6"/>
  <c r="I44" i="6" s="1"/>
  <c r="J44" i="6" s="1"/>
  <c r="G43" i="6"/>
  <c r="I43" i="6" s="1"/>
  <c r="J43" i="6" s="1"/>
  <c r="G42" i="6"/>
  <c r="I42" i="6" s="1"/>
  <c r="J42" i="6" s="1"/>
  <c r="F39" i="6"/>
  <c r="G34" i="6"/>
  <c r="I34" i="6" s="1"/>
  <c r="G33" i="6"/>
  <c r="I33" i="6" s="1"/>
  <c r="G32" i="6"/>
  <c r="I32" i="6" s="1"/>
  <c r="G31" i="6"/>
  <c r="I31" i="6" s="1"/>
  <c r="G30" i="6"/>
  <c r="I30" i="6" s="1"/>
  <c r="G29" i="6"/>
  <c r="I29" i="6" s="1"/>
  <c r="G28" i="6"/>
  <c r="I28" i="6" s="1"/>
  <c r="G27" i="6"/>
  <c r="I27" i="6" s="1"/>
  <c r="G26" i="6"/>
  <c r="I26" i="6" s="1"/>
  <c r="G25" i="6"/>
  <c r="I25" i="6" s="1"/>
  <c r="G24" i="6"/>
  <c r="I24" i="6" s="1"/>
  <c r="G23" i="6"/>
  <c r="I23" i="6" s="1"/>
  <c r="G22" i="6"/>
  <c r="I22" i="6" s="1"/>
  <c r="G21" i="6"/>
  <c r="I21" i="6" s="1"/>
  <c r="G20" i="6"/>
  <c r="I20" i="6" s="1"/>
  <c r="G19" i="6"/>
  <c r="I19" i="6" s="1"/>
  <c r="G18" i="6"/>
  <c r="I18" i="6" s="1"/>
  <c r="G17" i="6"/>
  <c r="I17" i="6" s="1"/>
  <c r="G16" i="6"/>
  <c r="I16" i="6" s="1"/>
  <c r="F15" i="6"/>
  <c r="G10" i="6"/>
  <c r="I10" i="6" s="1"/>
  <c r="G9" i="6"/>
  <c r="I9" i="6" s="1"/>
  <c r="G8" i="6"/>
  <c r="I8" i="6" s="1"/>
  <c r="G7" i="6"/>
  <c r="I7" i="6" s="1"/>
  <c r="G6" i="6"/>
  <c r="I6" i="6" s="1"/>
  <c r="F5" i="6"/>
  <c r="G12" i="5"/>
  <c r="I12" i="5" s="1"/>
  <c r="J12" i="5" s="1"/>
  <c r="G11" i="5"/>
  <c r="I11" i="5" s="1"/>
  <c r="J11" i="5" s="1"/>
  <c r="G10" i="5"/>
  <c r="I10" i="5" s="1"/>
  <c r="J10" i="5" s="1"/>
  <c r="G9" i="5"/>
  <c r="I9" i="5" s="1"/>
  <c r="J9" i="5" s="1"/>
  <c r="G8" i="5"/>
  <c r="I8" i="5" s="1"/>
  <c r="J8" i="5" s="1"/>
  <c r="G7" i="5"/>
  <c r="F5" i="5"/>
  <c r="G118" i="4"/>
  <c r="I118" i="4" s="1"/>
  <c r="G117" i="4"/>
  <c r="I117" i="4" s="1"/>
  <c r="F111" i="4"/>
  <c r="H111" i="4"/>
  <c r="E111" i="4"/>
  <c r="F115" i="4"/>
  <c r="G110" i="4"/>
  <c r="I110" i="4" s="1"/>
  <c r="G109" i="4"/>
  <c r="I109" i="4" s="1"/>
  <c r="G108" i="4"/>
  <c r="I108" i="4" s="1"/>
  <c r="G107" i="4"/>
  <c r="I107" i="4" s="1"/>
  <c r="G106" i="4"/>
  <c r="I106" i="4" s="1"/>
  <c r="L106" i="4" s="1"/>
  <c r="F104" i="4"/>
  <c r="G99" i="4"/>
  <c r="I99" i="4" s="1"/>
  <c r="G98" i="4"/>
  <c r="I98" i="4" s="1"/>
  <c r="F96" i="4"/>
  <c r="G91" i="4"/>
  <c r="I91" i="4" s="1"/>
  <c r="L91" i="4" s="1"/>
  <c r="G90" i="4"/>
  <c r="I90" i="4" s="1"/>
  <c r="G89" i="4"/>
  <c r="I89" i="4" s="1"/>
  <c r="G88" i="4"/>
  <c r="I88" i="4" s="1"/>
  <c r="L88" i="4" s="1"/>
  <c r="F86" i="4"/>
  <c r="G81" i="4"/>
  <c r="I81" i="4" s="1"/>
  <c r="G79" i="4"/>
  <c r="F77" i="4"/>
  <c r="G72" i="4"/>
  <c r="F70" i="4"/>
  <c r="G65" i="4"/>
  <c r="I65" i="4" s="1"/>
  <c r="G64" i="4"/>
  <c r="I64" i="4" s="1"/>
  <c r="J64" i="4" s="1"/>
  <c r="G63" i="4"/>
  <c r="I63" i="4" s="1"/>
  <c r="J63" i="4" s="1"/>
  <c r="G62" i="4"/>
  <c r="I62" i="4" s="1"/>
  <c r="J62" i="4" s="1"/>
  <c r="G61" i="4"/>
  <c r="I61" i="4" s="1"/>
  <c r="G54" i="4"/>
  <c r="G53" i="4"/>
  <c r="I53" i="4" s="1"/>
  <c r="G52" i="4"/>
  <c r="I52" i="4" s="1"/>
  <c r="G51" i="4"/>
  <c r="I51" i="4" s="1"/>
  <c r="F49" i="4"/>
  <c r="G44" i="4"/>
  <c r="I44" i="4" s="1"/>
  <c r="G43" i="4"/>
  <c r="I43" i="4" s="1"/>
  <c r="G42" i="4"/>
  <c r="I42" i="4" s="1"/>
  <c r="G41" i="4"/>
  <c r="I41" i="4" s="1"/>
  <c r="G40" i="4"/>
  <c r="I40" i="4" s="1"/>
  <c r="G39" i="4"/>
  <c r="I39" i="4" s="1"/>
  <c r="J39" i="4" s="1"/>
  <c r="G38" i="4"/>
  <c r="I38" i="4" s="1"/>
  <c r="J38" i="4" s="1"/>
  <c r="G37" i="4"/>
  <c r="I37" i="4" s="1"/>
  <c r="J37" i="4" s="1"/>
  <c r="G36" i="4"/>
  <c r="I36" i="4" s="1"/>
  <c r="J36" i="4" s="1"/>
  <c r="G35" i="4"/>
  <c r="I35" i="4" s="1"/>
  <c r="L35" i="4" s="1"/>
  <c r="G34" i="4"/>
  <c r="I34" i="4" s="1"/>
  <c r="J34" i="4" s="1"/>
  <c r="F32" i="4"/>
  <c r="I27" i="4"/>
  <c r="I21" i="4"/>
  <c r="I20" i="4"/>
  <c r="I19" i="4"/>
  <c r="I18" i="4"/>
  <c r="I17" i="4"/>
  <c r="I16" i="4"/>
  <c r="I15" i="4"/>
  <c r="I14" i="4"/>
  <c r="I13" i="4"/>
  <c r="I12" i="4"/>
  <c r="I11" i="4"/>
  <c r="I10" i="4"/>
  <c r="J10" i="4" s="1"/>
  <c r="I9" i="4"/>
  <c r="J9" i="4" s="1"/>
  <c r="I8" i="4"/>
  <c r="J8" i="4" s="1"/>
  <c r="I7" i="4"/>
  <c r="J7" i="4" s="1"/>
  <c r="F5" i="4"/>
  <c r="G448" i="3"/>
  <c r="I448" i="3" s="1"/>
  <c r="G446" i="3"/>
  <c r="I446" i="3" s="1"/>
  <c r="M446" i="3" s="1"/>
  <c r="G445" i="3"/>
  <c r="I445" i="3" s="1"/>
  <c r="M445" i="3" s="1"/>
  <c r="G444" i="3"/>
  <c r="I444" i="3" s="1"/>
  <c r="G443" i="3"/>
  <c r="I443" i="3" s="1"/>
  <c r="G442" i="3"/>
  <c r="I442" i="3" s="1"/>
  <c r="J442" i="3" s="1"/>
  <c r="G441" i="3"/>
  <c r="I441" i="3" s="1"/>
  <c r="G440" i="3"/>
  <c r="I440" i="3" s="1"/>
  <c r="M440" i="3" s="1"/>
  <c r="G439" i="3"/>
  <c r="I439" i="3" s="1"/>
  <c r="G438" i="3"/>
  <c r="I438" i="3" s="1"/>
  <c r="G437" i="3"/>
  <c r="I437" i="3" s="1"/>
  <c r="J437" i="3" s="1"/>
  <c r="G436" i="3"/>
  <c r="I436" i="3" s="1"/>
  <c r="J436" i="3" s="1"/>
  <c r="G435" i="3"/>
  <c r="I435" i="3" s="1"/>
  <c r="J435" i="3" s="1"/>
  <c r="G434" i="3"/>
  <c r="I434" i="3" s="1"/>
  <c r="G433" i="3"/>
  <c r="I433" i="3" s="1"/>
  <c r="G432" i="3"/>
  <c r="I432" i="3" s="1"/>
  <c r="G431" i="3"/>
  <c r="I431" i="3" s="1"/>
  <c r="F429" i="3"/>
  <c r="G424" i="3"/>
  <c r="I424" i="3" s="1"/>
  <c r="G423" i="3"/>
  <c r="I423" i="3" s="1"/>
  <c r="G422" i="3"/>
  <c r="I422" i="3" s="1"/>
  <c r="G421" i="3"/>
  <c r="I421" i="3" s="1"/>
  <c r="G420" i="3"/>
  <c r="I420" i="3" s="1"/>
  <c r="G419" i="3"/>
  <c r="I419" i="3" s="1"/>
  <c r="G418" i="3"/>
  <c r="I418" i="3" s="1"/>
  <c r="J418" i="3" s="1"/>
  <c r="G417" i="3"/>
  <c r="I417" i="3" s="1"/>
  <c r="G416" i="3"/>
  <c r="I416" i="3" s="1"/>
  <c r="G415" i="3"/>
  <c r="I415" i="3" s="1"/>
  <c r="G414" i="3"/>
  <c r="I414" i="3" s="1"/>
  <c r="J414" i="3" s="1"/>
  <c r="G413" i="3"/>
  <c r="I413" i="3" s="1"/>
  <c r="J413" i="3" s="1"/>
  <c r="G412" i="3"/>
  <c r="I412" i="3" s="1"/>
  <c r="J412" i="3" s="1"/>
  <c r="G411" i="3"/>
  <c r="I411" i="3" s="1"/>
  <c r="J411" i="3" s="1"/>
  <c r="G410" i="3"/>
  <c r="I410" i="3" s="1"/>
  <c r="J410" i="3" s="1"/>
  <c r="G409" i="3"/>
  <c r="I409" i="3" s="1"/>
  <c r="J409" i="3" s="1"/>
  <c r="G408" i="3"/>
  <c r="I408" i="3" s="1"/>
  <c r="J408" i="3" s="1"/>
  <c r="H425" i="3"/>
  <c r="E425" i="3"/>
  <c r="F406" i="3"/>
  <c r="G391" i="3"/>
  <c r="I391" i="3" s="1"/>
  <c r="G390" i="3"/>
  <c r="I390" i="3" s="1"/>
  <c r="G389" i="3"/>
  <c r="I389" i="3" s="1"/>
  <c r="G388" i="3"/>
  <c r="I388" i="3" s="1"/>
  <c r="G387" i="3"/>
  <c r="I387" i="3" s="1"/>
  <c r="G386" i="3"/>
  <c r="I386" i="3" s="1"/>
  <c r="G385" i="3"/>
  <c r="I385" i="3" s="1"/>
  <c r="G384" i="3"/>
  <c r="I384" i="3" s="1"/>
  <c r="G383" i="3"/>
  <c r="I383" i="3" s="1"/>
  <c r="G382" i="3"/>
  <c r="I382" i="3" s="1"/>
  <c r="G381" i="3"/>
  <c r="I381" i="3" s="1"/>
  <c r="G380" i="3"/>
  <c r="I380" i="3" s="1"/>
  <c r="G379" i="3"/>
  <c r="I379" i="3" s="1"/>
  <c r="G378" i="3"/>
  <c r="I378" i="3" s="1"/>
  <c r="G377" i="3"/>
  <c r="I377" i="3" s="1"/>
  <c r="G376" i="3"/>
  <c r="I376" i="3" s="1"/>
  <c r="J376" i="3" s="1"/>
  <c r="G375" i="3"/>
  <c r="I375" i="3" s="1"/>
  <c r="F373" i="3"/>
  <c r="G345" i="3"/>
  <c r="I345" i="3" s="1"/>
  <c r="G344" i="3"/>
  <c r="I344" i="3" s="1"/>
  <c r="G343" i="3"/>
  <c r="I343" i="3" s="1"/>
  <c r="G342" i="3"/>
  <c r="I342" i="3" s="1"/>
  <c r="G341" i="3"/>
  <c r="I341" i="3" s="1"/>
  <c r="G340" i="3"/>
  <c r="I340" i="3" s="1"/>
  <c r="G339" i="3"/>
  <c r="I339" i="3" s="1"/>
  <c r="G338" i="3"/>
  <c r="I338" i="3" s="1"/>
  <c r="J338" i="3" s="1"/>
  <c r="G336" i="3"/>
  <c r="I336" i="3" s="1"/>
  <c r="J336" i="3" s="1"/>
  <c r="G335" i="3"/>
  <c r="I335" i="3" s="1"/>
  <c r="J335" i="3" s="1"/>
  <c r="G334" i="3"/>
  <c r="I334" i="3" s="1"/>
  <c r="J334" i="3" s="1"/>
  <c r="F332" i="3"/>
  <c r="G287" i="3"/>
  <c r="I287" i="3" s="1"/>
  <c r="J287" i="3" s="1"/>
  <c r="G286" i="3"/>
  <c r="I286" i="3" s="1"/>
  <c r="J286" i="3" s="1"/>
  <c r="G285" i="3"/>
  <c r="I285" i="3" s="1"/>
  <c r="J285" i="3" s="1"/>
  <c r="G284" i="3"/>
  <c r="I284" i="3" s="1"/>
  <c r="J284" i="3" s="1"/>
  <c r="G283" i="3"/>
  <c r="I283" i="3" s="1"/>
  <c r="J283" i="3" s="1"/>
  <c r="G282" i="3"/>
  <c r="I282" i="3" s="1"/>
  <c r="J282" i="3" s="1"/>
  <c r="G281" i="3"/>
  <c r="I281" i="3" s="1"/>
  <c r="J281" i="3" s="1"/>
  <c r="G280" i="3"/>
  <c r="I280" i="3" s="1"/>
  <c r="J280" i="3" s="1"/>
  <c r="G279" i="3"/>
  <c r="I279" i="3" s="1"/>
  <c r="J279" i="3" s="1"/>
  <c r="G278" i="3"/>
  <c r="I278" i="3" s="1"/>
  <c r="J278" i="3" s="1"/>
  <c r="G277" i="3"/>
  <c r="I277" i="3" s="1"/>
  <c r="J277" i="3" s="1"/>
  <c r="G276" i="3"/>
  <c r="I276" i="3" s="1"/>
  <c r="J276" i="3" s="1"/>
  <c r="G275" i="3"/>
  <c r="I275" i="3" s="1"/>
  <c r="J275" i="3" s="1"/>
  <c r="G274" i="3"/>
  <c r="I274" i="3" s="1"/>
  <c r="J274" i="3" s="1"/>
  <c r="G273" i="3"/>
  <c r="I273" i="3" s="1"/>
  <c r="J273" i="3" s="1"/>
  <c r="G272" i="3"/>
  <c r="I272" i="3" s="1"/>
  <c r="J272" i="3" s="1"/>
  <c r="G271" i="3"/>
  <c r="I271" i="3" s="1"/>
  <c r="J271" i="3" s="1"/>
  <c r="G270" i="3"/>
  <c r="I270" i="3" s="1"/>
  <c r="J270" i="3" s="1"/>
  <c r="G269" i="3"/>
  <c r="I269" i="3" s="1"/>
  <c r="J269" i="3" s="1"/>
  <c r="G268" i="3"/>
  <c r="I268" i="3" s="1"/>
  <c r="J268" i="3" s="1"/>
  <c r="G267" i="3"/>
  <c r="I267" i="3" s="1"/>
  <c r="J267" i="3" s="1"/>
  <c r="G266" i="3"/>
  <c r="I266" i="3" s="1"/>
  <c r="J266" i="3" s="1"/>
  <c r="G265" i="3"/>
  <c r="I265" i="3" s="1"/>
  <c r="J265" i="3" s="1"/>
  <c r="G264" i="3"/>
  <c r="I264" i="3" s="1"/>
  <c r="J264" i="3" s="1"/>
  <c r="G263" i="3"/>
  <c r="I263" i="3" s="1"/>
  <c r="J263" i="3" s="1"/>
  <c r="G262" i="3"/>
  <c r="I262" i="3" s="1"/>
  <c r="J262" i="3" s="1"/>
  <c r="G261" i="3"/>
  <c r="I261" i="3" s="1"/>
  <c r="G260" i="3"/>
  <c r="I260" i="3" s="1"/>
  <c r="G259" i="3"/>
  <c r="I259" i="3" s="1"/>
  <c r="G258" i="3"/>
  <c r="I258" i="3" s="1"/>
  <c r="F256" i="3"/>
  <c r="G251" i="3"/>
  <c r="I251" i="3" s="1"/>
  <c r="G250" i="3"/>
  <c r="I250" i="3" s="1"/>
  <c r="G249" i="3"/>
  <c r="I249" i="3" s="1"/>
  <c r="G248" i="3"/>
  <c r="I248" i="3" s="1"/>
  <c r="G247" i="3"/>
  <c r="I247" i="3" s="1"/>
  <c r="G246" i="3"/>
  <c r="I246" i="3" s="1"/>
  <c r="G245" i="3"/>
  <c r="I245" i="3" s="1"/>
  <c r="G244" i="3"/>
  <c r="I244" i="3" s="1"/>
  <c r="G243" i="3"/>
  <c r="I243" i="3" s="1"/>
  <c r="G242" i="3"/>
  <c r="I242" i="3" s="1"/>
  <c r="G241" i="3"/>
  <c r="I241" i="3" s="1"/>
  <c r="G240" i="3"/>
  <c r="I240" i="3" s="1"/>
  <c r="G239" i="3"/>
  <c r="I239" i="3" s="1"/>
  <c r="G238" i="3"/>
  <c r="I238" i="3" s="1"/>
  <c r="G237" i="3"/>
  <c r="I237" i="3" s="1"/>
  <c r="G236" i="3"/>
  <c r="I236" i="3" s="1"/>
  <c r="G235" i="3"/>
  <c r="I235" i="3" s="1"/>
  <c r="G234" i="3"/>
  <c r="I234" i="3" s="1"/>
  <c r="G233" i="3"/>
  <c r="I233" i="3" s="1"/>
  <c r="G232" i="3"/>
  <c r="I232" i="3" s="1"/>
  <c r="J232" i="3" s="1"/>
  <c r="G231" i="3"/>
  <c r="I231" i="3" s="1"/>
  <c r="J231" i="3" s="1"/>
  <c r="G230" i="3"/>
  <c r="I230" i="3" s="1"/>
  <c r="J230" i="3" s="1"/>
  <c r="F228" i="3"/>
  <c r="G223" i="3"/>
  <c r="I223" i="3" s="1"/>
  <c r="G222" i="3"/>
  <c r="I222" i="3" s="1"/>
  <c r="G221" i="3"/>
  <c r="I221" i="3" s="1"/>
  <c r="G220" i="3"/>
  <c r="I220" i="3" s="1"/>
  <c r="G219" i="3"/>
  <c r="I219" i="3" s="1"/>
  <c r="G218" i="3"/>
  <c r="I218" i="3" s="1"/>
  <c r="G217" i="3"/>
  <c r="I217" i="3" s="1"/>
  <c r="G216" i="3"/>
  <c r="I216" i="3" s="1"/>
  <c r="G215" i="3"/>
  <c r="I215" i="3" s="1"/>
  <c r="J215" i="3" s="1"/>
  <c r="G214" i="3"/>
  <c r="I214" i="3" s="1"/>
  <c r="J214" i="3" s="1"/>
  <c r="G213" i="3"/>
  <c r="I213" i="3" s="1"/>
  <c r="J213" i="3" s="1"/>
  <c r="G212" i="3"/>
  <c r="I212" i="3" s="1"/>
  <c r="G211" i="3"/>
  <c r="I211" i="3" s="1"/>
  <c r="J211" i="3" s="1"/>
  <c r="G210" i="3"/>
  <c r="I210" i="3" s="1"/>
  <c r="G209" i="3"/>
  <c r="I209" i="3" s="1"/>
  <c r="G208" i="3"/>
  <c r="I208" i="3" s="1"/>
  <c r="G207" i="3"/>
  <c r="I207" i="3" s="1"/>
  <c r="G206" i="3"/>
  <c r="I206" i="3" s="1"/>
  <c r="G205" i="3"/>
  <c r="I205" i="3" s="1"/>
  <c r="J205" i="3" s="1"/>
  <c r="G204" i="3"/>
  <c r="I204" i="3" s="1"/>
  <c r="J204" i="3" s="1"/>
  <c r="G203" i="3"/>
  <c r="I203" i="3" s="1"/>
  <c r="J203" i="3" s="1"/>
  <c r="G202" i="3"/>
  <c r="I202" i="3" s="1"/>
  <c r="J202" i="3" s="1"/>
  <c r="G201" i="3"/>
  <c r="I201" i="3" s="1"/>
  <c r="J201" i="3" s="1"/>
  <c r="G200" i="3"/>
  <c r="I200" i="3" s="1"/>
  <c r="G199" i="3"/>
  <c r="I199" i="3" s="1"/>
  <c r="J199" i="3" s="1"/>
  <c r="G198" i="3"/>
  <c r="I198" i="3" s="1"/>
  <c r="J198" i="3" s="1"/>
  <c r="G197" i="3"/>
  <c r="I197" i="3" s="1"/>
  <c r="G196" i="3"/>
  <c r="I196" i="3" s="1"/>
  <c r="G195" i="3"/>
  <c r="I195" i="3" s="1"/>
  <c r="G194" i="3"/>
  <c r="I194" i="3" s="1"/>
  <c r="G193" i="3"/>
  <c r="I193" i="3" s="1"/>
  <c r="G192" i="3"/>
  <c r="I192" i="3" s="1"/>
  <c r="J192" i="3" s="1"/>
  <c r="G191" i="3"/>
  <c r="I191" i="3" s="1"/>
  <c r="J191" i="3" s="1"/>
  <c r="G190" i="3"/>
  <c r="I190" i="3" s="1"/>
  <c r="J190" i="3" s="1"/>
  <c r="G189" i="3"/>
  <c r="I189" i="3" s="1"/>
  <c r="J189" i="3" s="1"/>
  <c r="G188" i="3"/>
  <c r="I188" i="3" s="1"/>
  <c r="J188" i="3" s="1"/>
  <c r="F186" i="3"/>
  <c r="G181" i="3"/>
  <c r="I181" i="3" s="1"/>
  <c r="G180" i="3"/>
  <c r="I180" i="3" s="1"/>
  <c r="G179" i="3"/>
  <c r="I179" i="3" s="1"/>
  <c r="G178" i="3"/>
  <c r="I178" i="3" s="1"/>
  <c r="G177" i="3"/>
  <c r="I177" i="3" s="1"/>
  <c r="G176" i="3"/>
  <c r="I176" i="3" s="1"/>
  <c r="J176" i="3" s="1"/>
  <c r="G175" i="3"/>
  <c r="I175" i="3" s="1"/>
  <c r="J175" i="3" s="1"/>
  <c r="G174" i="3"/>
  <c r="I174" i="3" s="1"/>
  <c r="J174" i="3" s="1"/>
  <c r="G173" i="3"/>
  <c r="I173" i="3" s="1"/>
  <c r="J173" i="3" s="1"/>
  <c r="G172" i="3"/>
  <c r="I172" i="3" s="1"/>
  <c r="J172" i="3" s="1"/>
  <c r="G171" i="3"/>
  <c r="I171" i="3" s="1"/>
  <c r="J171" i="3" s="1"/>
  <c r="G170" i="3"/>
  <c r="I170" i="3" s="1"/>
  <c r="J170" i="3" s="1"/>
  <c r="G169" i="3"/>
  <c r="I169" i="3" s="1"/>
  <c r="J169" i="3" s="1"/>
  <c r="G168" i="3"/>
  <c r="I168" i="3" s="1"/>
  <c r="J168" i="3" s="1"/>
  <c r="G167" i="3"/>
  <c r="I167" i="3" s="1"/>
  <c r="J167" i="3" s="1"/>
  <c r="G166" i="3"/>
  <c r="I166" i="3" s="1"/>
  <c r="J166" i="3" s="1"/>
  <c r="G165" i="3"/>
  <c r="I165" i="3" s="1"/>
  <c r="J165" i="3" s="1"/>
  <c r="G164" i="3"/>
  <c r="I164" i="3" s="1"/>
  <c r="J164" i="3" s="1"/>
  <c r="G163" i="3"/>
  <c r="I163" i="3" s="1"/>
  <c r="J163" i="3" s="1"/>
  <c r="G162" i="3"/>
  <c r="I162" i="3" s="1"/>
  <c r="J162" i="3" s="1"/>
  <c r="G161" i="3"/>
  <c r="I161" i="3" s="1"/>
  <c r="G160" i="3"/>
  <c r="I160" i="3" s="1"/>
  <c r="J160" i="3" s="1"/>
  <c r="G159" i="3"/>
  <c r="I159" i="3" s="1"/>
  <c r="J159" i="3" s="1"/>
  <c r="G158" i="3"/>
  <c r="I158" i="3" s="1"/>
  <c r="J158" i="3" s="1"/>
  <c r="G157" i="3"/>
  <c r="I157" i="3" s="1"/>
  <c r="J157" i="3" s="1"/>
  <c r="G156" i="3"/>
  <c r="I156" i="3" s="1"/>
  <c r="J156" i="3" s="1"/>
  <c r="G155" i="3"/>
  <c r="I155" i="3" s="1"/>
  <c r="J155" i="3" s="1"/>
  <c r="G154" i="3"/>
  <c r="I154" i="3" s="1"/>
  <c r="J154" i="3" s="1"/>
  <c r="G153" i="3"/>
  <c r="I153" i="3" s="1"/>
  <c r="J153" i="3" s="1"/>
  <c r="G152" i="3"/>
  <c r="I152" i="3" s="1"/>
  <c r="G151" i="3"/>
  <c r="I151" i="3" s="1"/>
  <c r="J151" i="3" s="1"/>
  <c r="G150" i="3"/>
  <c r="I150" i="3" s="1"/>
  <c r="J150" i="3" s="1"/>
  <c r="G149" i="3"/>
  <c r="I149" i="3" s="1"/>
  <c r="G148" i="3"/>
  <c r="I148" i="3" s="1"/>
  <c r="G147" i="3"/>
  <c r="I147" i="3" s="1"/>
  <c r="G146" i="3"/>
  <c r="I146" i="3" s="1"/>
  <c r="J146" i="3" s="1"/>
  <c r="G145" i="3"/>
  <c r="I145" i="3" s="1"/>
  <c r="J145" i="3" s="1"/>
  <c r="G144" i="3"/>
  <c r="I144" i="3" s="1"/>
  <c r="J144" i="3" s="1"/>
  <c r="G143" i="3"/>
  <c r="I143" i="3" s="1"/>
  <c r="J143" i="3" s="1"/>
  <c r="G142" i="3"/>
  <c r="I142" i="3" s="1"/>
  <c r="J142" i="3" s="1"/>
  <c r="G140" i="3"/>
  <c r="I140" i="3" s="1"/>
  <c r="J140" i="3" s="1"/>
  <c r="G139" i="3"/>
  <c r="I139" i="3" s="1"/>
  <c r="J139" i="3" s="1"/>
  <c r="G138" i="3"/>
  <c r="I138" i="3" s="1"/>
  <c r="J138" i="3" s="1"/>
  <c r="G137" i="3"/>
  <c r="I137" i="3" s="1"/>
  <c r="J137" i="3" s="1"/>
  <c r="G136" i="3"/>
  <c r="I136" i="3" s="1"/>
  <c r="G135" i="3"/>
  <c r="I135" i="3" s="1"/>
  <c r="G134" i="3"/>
  <c r="I134" i="3" s="1"/>
  <c r="G133" i="3"/>
  <c r="I133" i="3" s="1"/>
  <c r="G132" i="3"/>
  <c r="I132" i="3" s="1"/>
  <c r="G131" i="3"/>
  <c r="I131" i="3" s="1"/>
  <c r="G130" i="3"/>
  <c r="I130" i="3" s="1"/>
  <c r="G129" i="3"/>
  <c r="I129" i="3" s="1"/>
  <c r="J129" i="3" s="1"/>
  <c r="G128" i="3"/>
  <c r="I128" i="3" s="1"/>
  <c r="J128" i="3" s="1"/>
  <c r="G127" i="3"/>
  <c r="I127" i="3" s="1"/>
  <c r="J127" i="3" s="1"/>
  <c r="F125" i="3"/>
  <c r="G120" i="3"/>
  <c r="I120" i="3" s="1"/>
  <c r="G119" i="3"/>
  <c r="I119" i="3" s="1"/>
  <c r="G118" i="3"/>
  <c r="I118" i="3" s="1"/>
  <c r="G117" i="3"/>
  <c r="I117" i="3" s="1"/>
  <c r="G116" i="3"/>
  <c r="I116" i="3" s="1"/>
  <c r="G115" i="3"/>
  <c r="I115" i="3" s="1"/>
  <c r="G114" i="3"/>
  <c r="I114" i="3" s="1"/>
  <c r="G113" i="3"/>
  <c r="I113" i="3" s="1"/>
  <c r="G112" i="3"/>
  <c r="I112" i="3" s="1"/>
  <c r="J112" i="3" s="1"/>
  <c r="G111" i="3"/>
  <c r="I111" i="3" s="1"/>
  <c r="J111" i="3" s="1"/>
  <c r="G110" i="3"/>
  <c r="I110" i="3" s="1"/>
  <c r="J110" i="3" s="1"/>
  <c r="G109" i="3"/>
  <c r="I109" i="3" s="1"/>
  <c r="J109" i="3" s="1"/>
  <c r="G108" i="3"/>
  <c r="I108" i="3" s="1"/>
  <c r="J108" i="3" s="1"/>
  <c r="G107" i="3"/>
  <c r="I107" i="3" s="1"/>
  <c r="J107" i="3" s="1"/>
  <c r="G106" i="3"/>
  <c r="I106" i="3" s="1"/>
  <c r="J106" i="3" s="1"/>
  <c r="G105" i="3"/>
  <c r="I105" i="3" s="1"/>
  <c r="J105" i="3" s="1"/>
  <c r="G104" i="3"/>
  <c r="I104" i="3" s="1"/>
  <c r="J104" i="3" s="1"/>
  <c r="G103" i="3"/>
  <c r="I103" i="3" s="1"/>
  <c r="J103" i="3" s="1"/>
  <c r="G102" i="3"/>
  <c r="I102" i="3" s="1"/>
  <c r="J102" i="3" s="1"/>
  <c r="G101" i="3"/>
  <c r="I101" i="3" s="1"/>
  <c r="J101" i="3" s="1"/>
  <c r="G100" i="3"/>
  <c r="I100" i="3" s="1"/>
  <c r="J100" i="3" s="1"/>
  <c r="G99" i="3"/>
  <c r="I99" i="3" s="1"/>
  <c r="J99" i="3" s="1"/>
  <c r="G98" i="3"/>
  <c r="I98" i="3" s="1"/>
  <c r="J98" i="3" s="1"/>
  <c r="G97" i="3"/>
  <c r="I97" i="3" s="1"/>
  <c r="J97" i="3" s="1"/>
  <c r="G96" i="3"/>
  <c r="I96" i="3" s="1"/>
  <c r="J96" i="3" s="1"/>
  <c r="G94" i="3"/>
  <c r="I94" i="3" s="1"/>
  <c r="J94" i="3" s="1"/>
  <c r="F92" i="3"/>
  <c r="G87" i="3"/>
  <c r="I87" i="3" s="1"/>
  <c r="G86" i="3"/>
  <c r="I86" i="3" s="1"/>
  <c r="G85" i="3"/>
  <c r="I85" i="3" s="1"/>
  <c r="G84" i="3"/>
  <c r="I84" i="3" s="1"/>
  <c r="G83" i="3"/>
  <c r="I83" i="3" s="1"/>
  <c r="G82" i="3"/>
  <c r="I82" i="3" s="1"/>
  <c r="G81" i="3"/>
  <c r="I81" i="3" s="1"/>
  <c r="G80" i="3"/>
  <c r="I80" i="3" s="1"/>
  <c r="G79" i="3"/>
  <c r="I79" i="3" s="1"/>
  <c r="G78" i="3"/>
  <c r="I78" i="3" s="1"/>
  <c r="G76" i="3"/>
  <c r="I76" i="3" s="1"/>
  <c r="G75" i="3"/>
  <c r="I75" i="3" s="1"/>
  <c r="G74" i="3"/>
  <c r="I74" i="3" s="1"/>
  <c r="G73" i="3"/>
  <c r="I73" i="3" s="1"/>
  <c r="G72" i="3"/>
  <c r="I72" i="3" s="1"/>
  <c r="F70" i="3"/>
  <c r="F48" i="3"/>
  <c r="G65" i="3"/>
  <c r="I65" i="3" s="1"/>
  <c r="G64" i="3"/>
  <c r="I64" i="3" s="1"/>
  <c r="G63" i="3"/>
  <c r="I63" i="3" s="1"/>
  <c r="G62" i="3"/>
  <c r="I62" i="3" s="1"/>
  <c r="G61" i="3"/>
  <c r="I61" i="3" s="1"/>
  <c r="G60" i="3"/>
  <c r="I60" i="3" s="1"/>
  <c r="G59" i="3"/>
  <c r="I59" i="3" s="1"/>
  <c r="G58" i="3"/>
  <c r="I58" i="3" s="1"/>
  <c r="G57" i="3"/>
  <c r="I57" i="3" s="1"/>
  <c r="G56" i="3"/>
  <c r="I56" i="3" s="1"/>
  <c r="G55" i="3"/>
  <c r="I55" i="3" s="1"/>
  <c r="G54" i="3"/>
  <c r="I54" i="3" s="1"/>
  <c r="G53" i="3"/>
  <c r="I53" i="3" s="1"/>
  <c r="G51" i="3"/>
  <c r="I51" i="3" s="1"/>
  <c r="G50" i="3"/>
  <c r="I50" i="3" s="1"/>
  <c r="J50" i="3" s="1"/>
  <c r="F44" i="3"/>
  <c r="G43" i="3"/>
  <c r="I43" i="3" s="1"/>
  <c r="G42" i="3"/>
  <c r="I42" i="3" s="1"/>
  <c r="G41" i="3"/>
  <c r="I41" i="3" s="1"/>
  <c r="G40" i="3"/>
  <c r="I40" i="3" s="1"/>
  <c r="G39" i="3"/>
  <c r="I39" i="3" s="1"/>
  <c r="G38" i="3"/>
  <c r="I38" i="3" s="1"/>
  <c r="G37" i="3"/>
  <c r="I37" i="3" s="1"/>
  <c r="G36" i="3"/>
  <c r="I36" i="3" s="1"/>
  <c r="G35" i="3"/>
  <c r="I35" i="3" s="1"/>
  <c r="G34" i="3"/>
  <c r="I34" i="3" s="1"/>
  <c r="G33" i="3"/>
  <c r="I33" i="3" s="1"/>
  <c r="G32" i="3"/>
  <c r="I32" i="3" s="1"/>
  <c r="F30" i="3"/>
  <c r="I72" i="4" l="1"/>
  <c r="J72" i="4" s="1"/>
  <c r="G73" i="4"/>
  <c r="I79" i="4"/>
  <c r="G82" i="4"/>
  <c r="I54" i="4"/>
  <c r="I55" i="4" s="1"/>
  <c r="G55" i="4"/>
  <c r="G36" i="5"/>
  <c r="J444" i="3"/>
  <c r="M444" i="3"/>
  <c r="J61" i="4"/>
  <c r="L61" i="4"/>
  <c r="J65" i="4"/>
  <c r="L65" i="4"/>
  <c r="J60" i="6"/>
  <c r="J441" i="3"/>
  <c r="M441" i="3"/>
  <c r="J443" i="3"/>
  <c r="M443" i="3"/>
  <c r="J35" i="4"/>
  <c r="J61" i="6"/>
  <c r="I7" i="5"/>
  <c r="I52" i="6"/>
  <c r="G68" i="6"/>
  <c r="I111" i="4"/>
  <c r="G111" i="4"/>
  <c r="J30" i="7"/>
  <c r="K30" i="7"/>
  <c r="J32" i="7"/>
  <c r="K32" i="7"/>
  <c r="J34" i="7"/>
  <c r="K34" i="7"/>
  <c r="J36" i="7"/>
  <c r="K36" i="7"/>
  <c r="J38" i="7"/>
  <c r="K38" i="7"/>
  <c r="J40" i="7"/>
  <c r="K40" i="7"/>
  <c r="J42" i="7"/>
  <c r="K42" i="7"/>
  <c r="J44" i="7"/>
  <c r="K44" i="7"/>
  <c r="J29" i="7"/>
  <c r="K29" i="7"/>
  <c r="J31" i="7"/>
  <c r="K31" i="7"/>
  <c r="J33" i="7"/>
  <c r="K33" i="7"/>
  <c r="J35" i="7"/>
  <c r="K35" i="7"/>
  <c r="J37" i="7"/>
  <c r="K37" i="7"/>
  <c r="J39" i="7"/>
  <c r="K39" i="7"/>
  <c r="J41" i="7"/>
  <c r="K41" i="7"/>
  <c r="J43" i="7"/>
  <c r="K43" i="7"/>
  <c r="J13" i="7"/>
  <c r="K13" i="7"/>
  <c r="J18" i="7"/>
  <c r="K18" i="7"/>
  <c r="J22" i="7"/>
  <c r="K22" i="7"/>
  <c r="J7" i="7"/>
  <c r="K7" i="7"/>
  <c r="J14" i="7"/>
  <c r="K14" i="7"/>
  <c r="J21" i="7"/>
  <c r="K21" i="7"/>
  <c r="K8" i="7"/>
  <c r="K9" i="7"/>
  <c r="K10" i="7"/>
  <c r="K11" i="7"/>
  <c r="K12" i="7"/>
  <c r="K15" i="7"/>
  <c r="K16" i="7"/>
  <c r="K17" i="7"/>
  <c r="K19" i="7"/>
  <c r="K20" i="7"/>
  <c r="K55" i="6"/>
  <c r="K56" i="6"/>
  <c r="K57" i="6"/>
  <c r="K58" i="6"/>
  <c r="K59" i="6"/>
  <c r="K60" i="6"/>
  <c r="K61" i="6"/>
  <c r="J16" i="6"/>
  <c r="K16" i="6"/>
  <c r="J18" i="6"/>
  <c r="K18" i="6"/>
  <c r="J20" i="6"/>
  <c r="K20" i="6"/>
  <c r="J22" i="6"/>
  <c r="K22" i="6"/>
  <c r="J24" i="6"/>
  <c r="K24" i="6"/>
  <c r="J26" i="6"/>
  <c r="K26" i="6"/>
  <c r="J28" i="6"/>
  <c r="K28" i="6"/>
  <c r="J30" i="6"/>
  <c r="K30" i="6"/>
  <c r="J32" i="6"/>
  <c r="K32" i="6"/>
  <c r="J34" i="6"/>
  <c r="J17" i="6"/>
  <c r="K17" i="6"/>
  <c r="J19" i="6"/>
  <c r="K19" i="6"/>
  <c r="J21" i="6"/>
  <c r="K21" i="6"/>
  <c r="J23" i="6"/>
  <c r="K23" i="6"/>
  <c r="J25" i="6"/>
  <c r="K25" i="6"/>
  <c r="J27" i="6"/>
  <c r="K27" i="6"/>
  <c r="J29" i="6"/>
  <c r="K29" i="6"/>
  <c r="J31" i="6"/>
  <c r="K31" i="6"/>
  <c r="J33" i="6"/>
  <c r="K33" i="6"/>
  <c r="J6" i="6"/>
  <c r="K6" i="6"/>
  <c r="J8" i="6"/>
  <c r="K8" i="6"/>
  <c r="J10" i="6"/>
  <c r="K10" i="6"/>
  <c r="J7" i="6"/>
  <c r="K7" i="6"/>
  <c r="J9" i="6"/>
  <c r="K9" i="6"/>
  <c r="K8" i="5"/>
  <c r="K9" i="5"/>
  <c r="K10" i="5"/>
  <c r="K11" i="5"/>
  <c r="J118" i="4"/>
  <c r="K118" i="4"/>
  <c r="J117" i="4"/>
  <c r="K117" i="4"/>
  <c r="J110" i="4"/>
  <c r="K110" i="4"/>
  <c r="J109" i="4"/>
  <c r="K109" i="4"/>
  <c r="J106" i="4"/>
  <c r="K106" i="4"/>
  <c r="J108" i="4"/>
  <c r="K108" i="4"/>
  <c r="J107" i="4"/>
  <c r="K107" i="4"/>
  <c r="K99" i="4"/>
  <c r="J99" i="4"/>
  <c r="K98" i="4"/>
  <c r="J98" i="4"/>
  <c r="J100" i="4" s="1"/>
  <c r="J89" i="4"/>
  <c r="K89" i="4"/>
  <c r="J91" i="4"/>
  <c r="K91" i="4"/>
  <c r="J88" i="4"/>
  <c r="K88" i="4"/>
  <c r="J90" i="4"/>
  <c r="K90" i="4"/>
  <c r="J81" i="4"/>
  <c r="K81" i="4"/>
  <c r="J79" i="4"/>
  <c r="K79" i="4"/>
  <c r="K62" i="4"/>
  <c r="K64" i="4"/>
  <c r="K65" i="4"/>
  <c r="J52" i="4"/>
  <c r="J54" i="4"/>
  <c r="K54" i="4"/>
  <c r="J51" i="4"/>
  <c r="J53" i="4"/>
  <c r="J40" i="4"/>
  <c r="K40" i="4"/>
  <c r="J42" i="4"/>
  <c r="J44" i="4"/>
  <c r="K44" i="4"/>
  <c r="J41" i="4"/>
  <c r="K41" i="4"/>
  <c r="J43" i="4"/>
  <c r="K43" i="4"/>
  <c r="K34" i="4"/>
  <c r="K35" i="4"/>
  <c r="K36" i="4"/>
  <c r="K37" i="4"/>
  <c r="K39" i="4"/>
  <c r="J12" i="4"/>
  <c r="K12" i="4"/>
  <c r="J14" i="4"/>
  <c r="K14" i="4"/>
  <c r="J16" i="4"/>
  <c r="K16" i="4"/>
  <c r="J18" i="4"/>
  <c r="K18" i="4"/>
  <c r="J20" i="4"/>
  <c r="K20" i="4"/>
  <c r="J27" i="4"/>
  <c r="K27" i="4"/>
  <c r="J11" i="4"/>
  <c r="K11" i="4"/>
  <c r="J13" i="4"/>
  <c r="K13" i="4"/>
  <c r="J15" i="4"/>
  <c r="K15" i="4"/>
  <c r="J17" i="4"/>
  <c r="K17" i="4"/>
  <c r="J19" i="4"/>
  <c r="K19" i="4"/>
  <c r="J21" i="4"/>
  <c r="K21" i="4"/>
  <c r="K7" i="4"/>
  <c r="K8" i="4"/>
  <c r="K9" i="4"/>
  <c r="K10" i="4"/>
  <c r="J431" i="3"/>
  <c r="K431" i="3"/>
  <c r="J433" i="3"/>
  <c r="K433" i="3"/>
  <c r="J438" i="3"/>
  <c r="K438" i="3"/>
  <c r="J440" i="3"/>
  <c r="K440" i="3"/>
  <c r="J446" i="3"/>
  <c r="K446" i="3"/>
  <c r="J432" i="3"/>
  <c r="K432" i="3"/>
  <c r="J434" i="3"/>
  <c r="K434" i="3"/>
  <c r="J439" i="3"/>
  <c r="K439" i="3"/>
  <c r="J445" i="3"/>
  <c r="K445" i="3"/>
  <c r="J448" i="3"/>
  <c r="K448" i="3"/>
  <c r="K435" i="3"/>
  <c r="K436" i="3"/>
  <c r="K437" i="3"/>
  <c r="K441" i="3"/>
  <c r="K442" i="3"/>
  <c r="K443" i="3"/>
  <c r="K444" i="3"/>
  <c r="G425" i="3"/>
  <c r="J415" i="3"/>
  <c r="K415" i="3"/>
  <c r="J417" i="3"/>
  <c r="K417" i="3"/>
  <c r="J420" i="3"/>
  <c r="K420" i="3"/>
  <c r="J422" i="3"/>
  <c r="K422" i="3"/>
  <c r="J424" i="3"/>
  <c r="K424" i="3"/>
  <c r="J416" i="3"/>
  <c r="K416" i="3"/>
  <c r="J419" i="3"/>
  <c r="K419" i="3"/>
  <c r="J421" i="3"/>
  <c r="K421" i="3"/>
  <c r="J423" i="3"/>
  <c r="K423" i="3"/>
  <c r="K408" i="3"/>
  <c r="K409" i="3"/>
  <c r="K410" i="3"/>
  <c r="K411" i="3"/>
  <c r="K412" i="3"/>
  <c r="K413" i="3"/>
  <c r="K414" i="3"/>
  <c r="K418" i="3"/>
  <c r="I425" i="3"/>
  <c r="J388" i="3"/>
  <c r="K388" i="3"/>
  <c r="J390" i="3"/>
  <c r="K390" i="3"/>
  <c r="K399" i="3"/>
  <c r="J389" i="3"/>
  <c r="J391" i="3"/>
  <c r="K391" i="3"/>
  <c r="K340" i="3"/>
  <c r="K342" i="3"/>
  <c r="K344" i="3"/>
  <c r="K339" i="3"/>
  <c r="K341" i="3"/>
  <c r="K343" i="3"/>
  <c r="J345" i="3"/>
  <c r="K345" i="3"/>
  <c r="K334" i="3"/>
  <c r="K335" i="3"/>
  <c r="K336" i="3"/>
  <c r="J259" i="3"/>
  <c r="K259" i="3"/>
  <c r="J261" i="3"/>
  <c r="K261" i="3"/>
  <c r="J258" i="3"/>
  <c r="K258" i="3"/>
  <c r="J260" i="3"/>
  <c r="K260" i="3"/>
  <c r="K262" i="3"/>
  <c r="K263" i="3"/>
  <c r="K264" i="3"/>
  <c r="K265" i="3"/>
  <c r="K266" i="3"/>
  <c r="K267" i="3"/>
  <c r="K269" i="3"/>
  <c r="K270" i="3"/>
  <c r="K271" i="3"/>
  <c r="K272" i="3"/>
  <c r="K273" i="3"/>
  <c r="K274" i="3"/>
  <c r="K275" i="3"/>
  <c r="K276" i="3"/>
  <c r="K277" i="3"/>
  <c r="K278" i="3"/>
  <c r="K279" i="3"/>
  <c r="K280" i="3"/>
  <c r="K281" i="3"/>
  <c r="K282" i="3"/>
  <c r="K283" i="3"/>
  <c r="K284" i="3"/>
  <c r="J233" i="3"/>
  <c r="J235" i="3"/>
  <c r="J237" i="3"/>
  <c r="J239" i="3"/>
  <c r="J241" i="3"/>
  <c r="J243" i="3"/>
  <c r="J245" i="3"/>
  <c r="J247" i="3"/>
  <c r="J249" i="3"/>
  <c r="J251" i="3"/>
  <c r="J234" i="3"/>
  <c r="J236" i="3"/>
  <c r="J238" i="3"/>
  <c r="J240" i="3"/>
  <c r="J242" i="3"/>
  <c r="K242" i="3"/>
  <c r="J244" i="3"/>
  <c r="J246" i="3"/>
  <c r="J248" i="3"/>
  <c r="J250" i="3"/>
  <c r="J194" i="3"/>
  <c r="K194" i="3"/>
  <c r="J196" i="3"/>
  <c r="K196" i="3"/>
  <c r="J200" i="3"/>
  <c r="K200" i="3"/>
  <c r="J207" i="3"/>
  <c r="K207" i="3"/>
  <c r="J209" i="3"/>
  <c r="K209" i="3"/>
  <c r="J212" i="3"/>
  <c r="K212" i="3"/>
  <c r="J217" i="3"/>
  <c r="K217" i="3"/>
  <c r="J219" i="3"/>
  <c r="K219" i="3"/>
  <c r="J221" i="3"/>
  <c r="J223" i="3"/>
  <c r="K223" i="3"/>
  <c r="J193" i="3"/>
  <c r="K193" i="3"/>
  <c r="J195" i="3"/>
  <c r="K195" i="3"/>
  <c r="J197" i="3"/>
  <c r="K197" i="3"/>
  <c r="J206" i="3"/>
  <c r="K206" i="3"/>
  <c r="J208" i="3"/>
  <c r="K208" i="3"/>
  <c r="J210" i="3"/>
  <c r="K210" i="3"/>
  <c r="J216" i="3"/>
  <c r="K216" i="3"/>
  <c r="J218" i="3"/>
  <c r="K218" i="3"/>
  <c r="J220" i="3"/>
  <c r="J222" i="3"/>
  <c r="K222" i="3"/>
  <c r="K188" i="3"/>
  <c r="K189" i="3"/>
  <c r="K190" i="3"/>
  <c r="K191" i="3"/>
  <c r="K192" i="3"/>
  <c r="K198" i="3"/>
  <c r="K199" i="3"/>
  <c r="K201" i="3"/>
  <c r="K202" i="3"/>
  <c r="K203" i="3"/>
  <c r="K204" i="3"/>
  <c r="K205" i="3"/>
  <c r="K211" i="3"/>
  <c r="K213" i="3"/>
  <c r="K214" i="3"/>
  <c r="K215" i="3"/>
  <c r="J130" i="3"/>
  <c r="K130" i="3"/>
  <c r="J132" i="3"/>
  <c r="K132" i="3"/>
  <c r="J134" i="3"/>
  <c r="K134" i="3"/>
  <c r="J136" i="3"/>
  <c r="K136" i="3"/>
  <c r="J148" i="3"/>
  <c r="K148" i="3"/>
  <c r="J152" i="3"/>
  <c r="K152" i="3"/>
  <c r="J177" i="3"/>
  <c r="K177" i="3"/>
  <c r="J179" i="3"/>
  <c r="K179" i="3"/>
  <c r="J181" i="3"/>
  <c r="K181" i="3"/>
  <c r="J131" i="3"/>
  <c r="K131" i="3"/>
  <c r="J133" i="3"/>
  <c r="K133" i="3"/>
  <c r="J135" i="3"/>
  <c r="K135" i="3"/>
  <c r="J147" i="3"/>
  <c r="K147" i="3"/>
  <c r="J149" i="3"/>
  <c r="K149" i="3"/>
  <c r="J161" i="3"/>
  <c r="K161" i="3"/>
  <c r="J178" i="3"/>
  <c r="K178" i="3"/>
  <c r="J180" i="3"/>
  <c r="K180" i="3"/>
  <c r="K127" i="3"/>
  <c r="K128" i="3"/>
  <c r="K129" i="3"/>
  <c r="K137" i="3"/>
  <c r="K138" i="3"/>
  <c r="K139" i="3"/>
  <c r="K140" i="3"/>
  <c r="K142" i="3"/>
  <c r="K143" i="3"/>
  <c r="K144" i="3"/>
  <c r="K145" i="3"/>
  <c r="K146" i="3"/>
  <c r="K150" i="3"/>
  <c r="K151" i="3"/>
  <c r="K153" i="3"/>
  <c r="K154" i="3"/>
  <c r="K155" i="3"/>
  <c r="K156" i="3"/>
  <c r="K157" i="3"/>
  <c r="K158" i="3"/>
  <c r="K159" i="3"/>
  <c r="K160" i="3"/>
  <c r="K162" i="3"/>
  <c r="K163" i="3"/>
  <c r="K164" i="3"/>
  <c r="K165" i="3"/>
  <c r="K166" i="3"/>
  <c r="K167" i="3"/>
  <c r="K168" i="3"/>
  <c r="K169" i="3"/>
  <c r="K170" i="3"/>
  <c r="K171" i="3"/>
  <c r="K172" i="3"/>
  <c r="K173" i="3"/>
  <c r="K174" i="3"/>
  <c r="K175" i="3"/>
  <c r="K176" i="3"/>
  <c r="J114" i="3"/>
  <c r="K114" i="3"/>
  <c r="J116" i="3"/>
  <c r="K116" i="3"/>
  <c r="J118" i="3"/>
  <c r="K118" i="3"/>
  <c r="J120" i="3"/>
  <c r="J113" i="3"/>
  <c r="K113" i="3"/>
  <c r="J115" i="3"/>
  <c r="K115" i="3"/>
  <c r="J117" i="3"/>
  <c r="K117" i="3"/>
  <c r="J119" i="3"/>
  <c r="K119" i="3"/>
  <c r="K96" i="3"/>
  <c r="K97" i="3"/>
  <c r="K98" i="3"/>
  <c r="K99" i="3"/>
  <c r="K100" i="3"/>
  <c r="K101" i="3"/>
  <c r="K102" i="3"/>
  <c r="K103" i="3"/>
  <c r="K104" i="3"/>
  <c r="K105" i="3"/>
  <c r="K106" i="3"/>
  <c r="K107" i="3"/>
  <c r="K108" i="3"/>
  <c r="K109" i="3"/>
  <c r="K110" i="3"/>
  <c r="K111" i="3"/>
  <c r="K112" i="3"/>
  <c r="K94" i="3"/>
  <c r="K72" i="3"/>
  <c r="J72" i="3"/>
  <c r="K74" i="3"/>
  <c r="J74" i="3"/>
  <c r="K76" i="3"/>
  <c r="J76" i="3"/>
  <c r="K78" i="3"/>
  <c r="J78" i="3"/>
  <c r="K80" i="3"/>
  <c r="J80" i="3"/>
  <c r="K82" i="3"/>
  <c r="J82" i="3"/>
  <c r="K84" i="3"/>
  <c r="J84" i="3"/>
  <c r="K86" i="3"/>
  <c r="J86" i="3"/>
  <c r="K73" i="3"/>
  <c r="J73" i="3"/>
  <c r="K75" i="3"/>
  <c r="J75" i="3"/>
  <c r="J79" i="3"/>
  <c r="K79" i="3"/>
  <c r="K81" i="3"/>
  <c r="J81" i="3"/>
  <c r="K83" i="3"/>
  <c r="J83" i="3"/>
  <c r="K85" i="3"/>
  <c r="J85" i="3"/>
  <c r="K87" i="3"/>
  <c r="J87" i="3"/>
  <c r="J51" i="3"/>
  <c r="K51" i="3"/>
  <c r="J53" i="3"/>
  <c r="K53" i="3"/>
  <c r="J55" i="3"/>
  <c r="K55" i="3"/>
  <c r="J57" i="3"/>
  <c r="K57" i="3"/>
  <c r="J59" i="3"/>
  <c r="K59" i="3"/>
  <c r="J61" i="3"/>
  <c r="K61" i="3"/>
  <c r="J63" i="3"/>
  <c r="K63" i="3"/>
  <c r="J65" i="3"/>
  <c r="K65" i="3"/>
  <c r="J54" i="3"/>
  <c r="K54" i="3"/>
  <c r="J56" i="3"/>
  <c r="K56" i="3"/>
  <c r="J58" i="3"/>
  <c r="K58" i="3"/>
  <c r="J60" i="3"/>
  <c r="K60" i="3"/>
  <c r="J62" i="3"/>
  <c r="K62" i="3"/>
  <c r="J64" i="3"/>
  <c r="K64" i="3"/>
  <c r="K50" i="3"/>
  <c r="J32" i="3"/>
  <c r="K32" i="3"/>
  <c r="K34" i="3"/>
  <c r="J34" i="3"/>
  <c r="K36" i="3"/>
  <c r="J36" i="3"/>
  <c r="K38" i="3"/>
  <c r="J38" i="3"/>
  <c r="K40" i="3"/>
  <c r="J40" i="3"/>
  <c r="K42" i="3"/>
  <c r="J42" i="3"/>
  <c r="J33" i="3"/>
  <c r="K33" i="3"/>
  <c r="K35" i="3"/>
  <c r="J35" i="3"/>
  <c r="J37" i="3"/>
  <c r="K37" i="3"/>
  <c r="K39" i="3"/>
  <c r="J39" i="3"/>
  <c r="K41" i="3"/>
  <c r="J41" i="3"/>
  <c r="J43" i="3"/>
  <c r="K43" i="3"/>
  <c r="F5" i="3"/>
  <c r="G25" i="3"/>
  <c r="I25" i="3" s="1"/>
  <c r="J25" i="3" s="1"/>
  <c r="G24" i="3"/>
  <c r="I24" i="3" s="1"/>
  <c r="J24" i="3" s="1"/>
  <c r="G23" i="3"/>
  <c r="I23" i="3" s="1"/>
  <c r="J23" i="3" s="1"/>
  <c r="G22" i="3"/>
  <c r="I22" i="3" s="1"/>
  <c r="J22" i="3" s="1"/>
  <c r="G21" i="3"/>
  <c r="I21" i="3" s="1"/>
  <c r="J21" i="3" s="1"/>
  <c r="G20" i="3"/>
  <c r="I20" i="3" s="1"/>
  <c r="J20" i="3" s="1"/>
  <c r="G19" i="3"/>
  <c r="I19" i="3" s="1"/>
  <c r="J19" i="3" s="1"/>
  <c r="G18" i="3"/>
  <c r="I18" i="3" s="1"/>
  <c r="J18" i="3" s="1"/>
  <c r="G17" i="3"/>
  <c r="I17" i="3" s="1"/>
  <c r="J17" i="3" s="1"/>
  <c r="G16" i="3"/>
  <c r="I16" i="3" s="1"/>
  <c r="J16" i="3" s="1"/>
  <c r="G15" i="3"/>
  <c r="I15" i="3" s="1"/>
  <c r="J15" i="3" s="1"/>
  <c r="G14" i="3"/>
  <c r="I14" i="3" s="1"/>
  <c r="J14" i="3" s="1"/>
  <c r="G13" i="3"/>
  <c r="I13" i="3" s="1"/>
  <c r="J13" i="3" s="1"/>
  <c r="G12" i="3"/>
  <c r="I12" i="3" s="1"/>
  <c r="J12" i="3" s="1"/>
  <c r="G11" i="3"/>
  <c r="I11" i="3" s="1"/>
  <c r="J11" i="3" s="1"/>
  <c r="G10" i="3"/>
  <c r="I10" i="3" s="1"/>
  <c r="J10" i="3" s="1"/>
  <c r="G9" i="3"/>
  <c r="I9" i="3" s="1"/>
  <c r="J9" i="3" s="1"/>
  <c r="G8" i="3"/>
  <c r="I8" i="3" s="1"/>
  <c r="J8" i="3" s="1"/>
  <c r="G7" i="3"/>
  <c r="I7" i="3" s="1"/>
  <c r="J7" i="3" s="1"/>
  <c r="F215" i="2"/>
  <c r="G216" i="2"/>
  <c r="I216" i="2" s="1"/>
  <c r="G225" i="2"/>
  <c r="I225" i="2" s="1"/>
  <c r="G224" i="2"/>
  <c r="I224" i="2" s="1"/>
  <c r="G223" i="2"/>
  <c r="I223" i="2" s="1"/>
  <c r="J223" i="2" s="1"/>
  <c r="G222" i="2"/>
  <c r="I222" i="2" s="1"/>
  <c r="J222" i="2" s="1"/>
  <c r="G221" i="2"/>
  <c r="I221" i="2" s="1"/>
  <c r="J221" i="2" s="1"/>
  <c r="G220" i="2"/>
  <c r="I220" i="2" s="1"/>
  <c r="J220" i="2" s="1"/>
  <c r="G219" i="2"/>
  <c r="I219" i="2" s="1"/>
  <c r="J219" i="2" s="1"/>
  <c r="G218" i="2"/>
  <c r="I218" i="2" s="1"/>
  <c r="J218" i="2" s="1"/>
  <c r="G217" i="2"/>
  <c r="I217" i="2" s="1"/>
  <c r="J217" i="2" s="1"/>
  <c r="F200" i="2"/>
  <c r="F211" i="2"/>
  <c r="H211" i="2"/>
  <c r="G210" i="2"/>
  <c r="I210" i="2" s="1"/>
  <c r="G209" i="2"/>
  <c r="I209" i="2" s="1"/>
  <c r="G208" i="2"/>
  <c r="I208" i="2" s="1"/>
  <c r="G206" i="2"/>
  <c r="I206" i="2" s="1"/>
  <c r="J206" i="2" s="1"/>
  <c r="G205" i="2"/>
  <c r="I205" i="2" s="1"/>
  <c r="J205" i="2" s="1"/>
  <c r="G204" i="2"/>
  <c r="I204" i="2" s="1"/>
  <c r="J204" i="2" s="1"/>
  <c r="G203" i="2"/>
  <c r="I203" i="2" s="1"/>
  <c r="J203" i="2" s="1"/>
  <c r="G202" i="2"/>
  <c r="I202" i="2" s="1"/>
  <c r="J202" i="2" s="1"/>
  <c r="F187" i="2"/>
  <c r="G195" i="2"/>
  <c r="I195" i="2" s="1"/>
  <c r="G194" i="2"/>
  <c r="I194" i="2" s="1"/>
  <c r="G193" i="2"/>
  <c r="I193" i="2" s="1"/>
  <c r="G192" i="2"/>
  <c r="I192" i="2" s="1"/>
  <c r="G191" i="2"/>
  <c r="I191" i="2" s="1"/>
  <c r="G190" i="2"/>
  <c r="I190" i="2" s="1"/>
  <c r="J190" i="2" s="1"/>
  <c r="G189" i="2"/>
  <c r="F166" i="2"/>
  <c r="G182" i="2"/>
  <c r="I182" i="2" s="1"/>
  <c r="G181" i="2"/>
  <c r="I181" i="2" s="1"/>
  <c r="J181" i="2" s="1"/>
  <c r="G180" i="2"/>
  <c r="I180" i="2" s="1"/>
  <c r="J180" i="2" s="1"/>
  <c r="G179" i="2"/>
  <c r="I179" i="2" s="1"/>
  <c r="G178" i="2"/>
  <c r="I178" i="2" s="1"/>
  <c r="G177" i="2"/>
  <c r="I177" i="2" s="1"/>
  <c r="G176" i="2"/>
  <c r="I176" i="2" s="1"/>
  <c r="G175" i="2"/>
  <c r="I175" i="2" s="1"/>
  <c r="G174" i="2"/>
  <c r="I174" i="2" s="1"/>
  <c r="G173" i="2"/>
  <c r="I173" i="2" s="1"/>
  <c r="G172" i="2"/>
  <c r="I172" i="2" s="1"/>
  <c r="G171" i="2"/>
  <c r="I171" i="2" s="1"/>
  <c r="G170" i="2"/>
  <c r="I170" i="2" s="1"/>
  <c r="J170" i="2" s="1"/>
  <c r="G169" i="2"/>
  <c r="I169" i="2" s="1"/>
  <c r="J169" i="2" s="1"/>
  <c r="G168" i="2"/>
  <c r="F156" i="2"/>
  <c r="G161" i="2"/>
  <c r="I161" i="2" s="1"/>
  <c r="G160" i="2"/>
  <c r="I160" i="2" s="1"/>
  <c r="G159" i="2"/>
  <c r="I159" i="2" s="1"/>
  <c r="G158" i="2"/>
  <c r="I158" i="2" s="1"/>
  <c r="G151" i="2"/>
  <c r="I151" i="2" s="1"/>
  <c r="G150" i="2"/>
  <c r="I150" i="2" s="1"/>
  <c r="G149" i="2"/>
  <c r="I149" i="2" s="1"/>
  <c r="G148" i="2"/>
  <c r="I148" i="2" s="1"/>
  <c r="G147" i="2"/>
  <c r="I147" i="2" s="1"/>
  <c r="F145" i="2"/>
  <c r="G140" i="2"/>
  <c r="I140" i="2" s="1"/>
  <c r="J140" i="2" s="1"/>
  <c r="G139" i="2"/>
  <c r="I139" i="2" s="1"/>
  <c r="J139" i="2" s="1"/>
  <c r="G138" i="2"/>
  <c r="I138" i="2" s="1"/>
  <c r="J138" i="2" s="1"/>
  <c r="G137" i="2"/>
  <c r="I137" i="2" s="1"/>
  <c r="J137" i="2" s="1"/>
  <c r="F135" i="2"/>
  <c r="G130" i="2"/>
  <c r="I130" i="2" s="1"/>
  <c r="G129" i="2"/>
  <c r="I129" i="2" s="1"/>
  <c r="F127" i="2"/>
  <c r="G122" i="2"/>
  <c r="I122" i="2" s="1"/>
  <c r="J122" i="2" s="1"/>
  <c r="G121" i="2"/>
  <c r="I121" i="2" s="1"/>
  <c r="J121" i="2" s="1"/>
  <c r="G114" i="2"/>
  <c r="I114" i="2" s="1"/>
  <c r="J114" i="2" s="1"/>
  <c r="G113" i="2"/>
  <c r="I113" i="2" s="1"/>
  <c r="J113" i="2" s="1"/>
  <c r="G112" i="2"/>
  <c r="I112" i="2" s="1"/>
  <c r="J112" i="2" s="1"/>
  <c r="F119" i="2"/>
  <c r="F42" i="2"/>
  <c r="F13" i="2"/>
  <c r="C12" i="2"/>
  <c r="C246" i="1"/>
  <c r="C242" i="1"/>
  <c r="C225" i="1"/>
  <c r="K100" i="4" l="1"/>
  <c r="J425" i="3"/>
  <c r="J55" i="4"/>
  <c r="J449" i="3"/>
  <c r="I189" i="2"/>
  <c r="J189" i="2" s="1"/>
  <c r="G196" i="2"/>
  <c r="J7" i="5"/>
  <c r="J36" i="5" s="1"/>
  <c r="I36" i="5"/>
  <c r="K7" i="5"/>
  <c r="J52" i="6"/>
  <c r="I68" i="6"/>
  <c r="I168" i="2"/>
  <c r="J168" i="2" s="1"/>
  <c r="G183" i="2"/>
  <c r="J111" i="4"/>
  <c r="K111" i="4"/>
  <c r="K425" i="3"/>
  <c r="K7" i="3"/>
  <c r="K8" i="3"/>
  <c r="K9" i="3"/>
  <c r="K10" i="3"/>
  <c r="K11" i="3"/>
  <c r="K12" i="3"/>
  <c r="K13" i="3"/>
  <c r="K14" i="3"/>
  <c r="K15" i="3"/>
  <c r="K16" i="3"/>
  <c r="K17" i="3"/>
  <c r="K18" i="3"/>
  <c r="K19" i="3"/>
  <c r="K20" i="3"/>
  <c r="K21" i="3"/>
  <c r="K22" i="3"/>
  <c r="K23" i="3"/>
  <c r="K24" i="3"/>
  <c r="K25" i="3"/>
  <c r="J216" i="2"/>
  <c r="K216" i="2"/>
  <c r="J225" i="2"/>
  <c r="K225" i="2"/>
  <c r="J224" i="2"/>
  <c r="K224" i="2"/>
  <c r="K217" i="2"/>
  <c r="K218" i="2"/>
  <c r="K219" i="2"/>
  <c r="K220" i="2"/>
  <c r="K221" i="2"/>
  <c r="K222" i="2"/>
  <c r="K223" i="2"/>
  <c r="J208" i="2"/>
  <c r="K208" i="2"/>
  <c r="J210" i="2"/>
  <c r="K210" i="2"/>
  <c r="J209" i="2"/>
  <c r="K209" i="2"/>
  <c r="K203" i="2"/>
  <c r="K204" i="2"/>
  <c r="K205" i="2"/>
  <c r="K206" i="2"/>
  <c r="K202" i="2"/>
  <c r="K194" i="2"/>
  <c r="K195" i="2"/>
  <c r="J158" i="2"/>
  <c r="K158" i="2"/>
  <c r="J160" i="2"/>
  <c r="K160" i="2"/>
  <c r="J159" i="2"/>
  <c r="K159" i="2"/>
  <c r="J161" i="2"/>
  <c r="K161" i="2"/>
  <c r="K147" i="2"/>
  <c r="J147" i="2"/>
  <c r="K149" i="2"/>
  <c r="J149" i="2"/>
  <c r="K151" i="2"/>
  <c r="J151" i="2"/>
  <c r="J148" i="2"/>
  <c r="K150" i="2"/>
  <c r="J150" i="2"/>
  <c r="K137" i="2"/>
  <c r="K138" i="2"/>
  <c r="K140" i="2"/>
  <c r="J130" i="2"/>
  <c r="K130" i="2"/>
  <c r="J129" i="2"/>
  <c r="K129" i="2"/>
  <c r="K121" i="2"/>
  <c r="K122" i="2"/>
  <c r="K114" i="2"/>
  <c r="K112" i="2"/>
  <c r="K113" i="2"/>
  <c r="L37" i="5" l="1"/>
  <c r="F12" i="8"/>
  <c r="M37" i="5"/>
  <c r="G12" i="8"/>
  <c r="G53" i="8" s="1"/>
  <c r="F110" i="2"/>
  <c r="G104" i="2"/>
  <c r="I104" i="2" s="1"/>
  <c r="G103" i="2"/>
  <c r="I103" i="2" s="1"/>
  <c r="G102" i="2"/>
  <c r="I102" i="2" s="1"/>
  <c r="G101" i="2"/>
  <c r="I101" i="2" s="1"/>
  <c r="G100" i="2"/>
  <c r="I100" i="2" s="1"/>
  <c r="G99" i="2"/>
  <c r="I99" i="2" s="1"/>
  <c r="G98" i="2"/>
  <c r="F96" i="2"/>
  <c r="G91" i="2"/>
  <c r="I91" i="2" s="1"/>
  <c r="G90" i="2"/>
  <c r="I90" i="2" s="1"/>
  <c r="G89" i="2"/>
  <c r="I89" i="2" s="1"/>
  <c r="G88" i="2"/>
  <c r="I88" i="2" s="1"/>
  <c r="G87" i="2"/>
  <c r="I87" i="2" s="1"/>
  <c r="G86" i="2"/>
  <c r="I86" i="2" s="1"/>
  <c r="G85" i="2"/>
  <c r="I85" i="2" s="1"/>
  <c r="F83" i="2"/>
  <c r="G78" i="2"/>
  <c r="I78" i="2" s="1"/>
  <c r="G77" i="2"/>
  <c r="I77" i="2" s="1"/>
  <c r="G76" i="2"/>
  <c r="I76" i="2" s="1"/>
  <c r="G75" i="2"/>
  <c r="I75" i="2" s="1"/>
  <c r="G74" i="2"/>
  <c r="I74" i="2" s="1"/>
  <c r="G73" i="2"/>
  <c r="I73" i="2" s="1"/>
  <c r="F71" i="2"/>
  <c r="G66" i="2"/>
  <c r="I66" i="2" s="1"/>
  <c r="G65" i="2"/>
  <c r="I65" i="2" s="1"/>
  <c r="G64" i="2"/>
  <c r="I64" i="2" s="1"/>
  <c r="G63" i="2"/>
  <c r="I63" i="2" s="1"/>
  <c r="G62" i="2"/>
  <c r="I62" i="2" s="1"/>
  <c r="F60" i="2"/>
  <c r="G52" i="2"/>
  <c r="I52" i="2" s="1"/>
  <c r="G51" i="2"/>
  <c r="I51" i="2" s="1"/>
  <c r="G50" i="2"/>
  <c r="I50" i="2" s="1"/>
  <c r="G49" i="2"/>
  <c r="I49" i="2" s="1"/>
  <c r="G48" i="2"/>
  <c r="I48" i="2" s="1"/>
  <c r="F46" i="2"/>
  <c r="G41" i="2"/>
  <c r="I41" i="2" s="1"/>
  <c r="G40" i="2"/>
  <c r="I40" i="2" s="1"/>
  <c r="G39" i="2"/>
  <c r="I39" i="2" s="1"/>
  <c r="G32" i="2"/>
  <c r="I32" i="2" s="1"/>
  <c r="G31" i="2"/>
  <c r="I31" i="2" s="1"/>
  <c r="G30" i="2"/>
  <c r="I30" i="2" s="1"/>
  <c r="G29" i="2"/>
  <c r="I29" i="2" s="1"/>
  <c r="F37" i="2"/>
  <c r="F27" i="2"/>
  <c r="G22" i="2"/>
  <c r="I22" i="2" s="1"/>
  <c r="G21" i="2"/>
  <c r="I21" i="2" s="1"/>
  <c r="G20" i="2"/>
  <c r="I20" i="2" s="1"/>
  <c r="G19" i="2"/>
  <c r="I19" i="2" s="1"/>
  <c r="F17" i="2"/>
  <c r="G12" i="2"/>
  <c r="I12" i="2" s="1"/>
  <c r="G11" i="2"/>
  <c r="I11" i="2" s="1"/>
  <c r="G10" i="2"/>
  <c r="I10" i="2" s="1"/>
  <c r="J10" i="2" s="1"/>
  <c r="G9" i="2"/>
  <c r="I9" i="2" s="1"/>
  <c r="J9" i="2" s="1"/>
  <c r="G8" i="2"/>
  <c r="I8" i="2" s="1"/>
  <c r="G7" i="2"/>
  <c r="I7" i="2" s="1"/>
  <c r="J7" i="2" s="1"/>
  <c r="F5" i="2"/>
  <c r="G295" i="1"/>
  <c r="I295" i="1" s="1"/>
  <c r="M295" i="1" s="1"/>
  <c r="G294" i="1"/>
  <c r="I294" i="1" s="1"/>
  <c r="G293" i="1"/>
  <c r="I293" i="1" s="1"/>
  <c r="G292" i="1"/>
  <c r="I292" i="1" s="1"/>
  <c r="G291" i="1"/>
  <c r="I291" i="1" s="1"/>
  <c r="G290" i="1"/>
  <c r="I290" i="1" s="1"/>
  <c r="G289" i="1"/>
  <c r="I289" i="1" s="1"/>
  <c r="J289" i="1" s="1"/>
  <c r="G288" i="1"/>
  <c r="I288" i="1" s="1"/>
  <c r="G287" i="1"/>
  <c r="I287" i="1" s="1"/>
  <c r="G286" i="1"/>
  <c r="I286" i="1" s="1"/>
  <c r="G285" i="1"/>
  <c r="I285" i="1" s="1"/>
  <c r="J285" i="1" s="1"/>
  <c r="G284" i="1"/>
  <c r="I284" i="1" s="1"/>
  <c r="G283" i="1"/>
  <c r="I283" i="1" s="1"/>
  <c r="J283" i="1" s="1"/>
  <c r="G282" i="1"/>
  <c r="I282" i="1" s="1"/>
  <c r="K282" i="1" s="1"/>
  <c r="F280" i="1"/>
  <c r="F260" i="1"/>
  <c r="G275" i="1"/>
  <c r="G274" i="1"/>
  <c r="I274" i="1" s="1"/>
  <c r="G273" i="1"/>
  <c r="I273" i="1" s="1"/>
  <c r="J273" i="1" s="1"/>
  <c r="G272" i="1"/>
  <c r="I272" i="1" s="1"/>
  <c r="J272" i="1" s="1"/>
  <c r="G271" i="1"/>
  <c r="I271" i="1" s="1"/>
  <c r="J271" i="1" s="1"/>
  <c r="G270" i="1"/>
  <c r="I270" i="1" s="1"/>
  <c r="J270" i="1" s="1"/>
  <c r="G269" i="1"/>
  <c r="I269" i="1" s="1"/>
  <c r="J269" i="1" s="1"/>
  <c r="G268" i="1"/>
  <c r="I268" i="1" s="1"/>
  <c r="G267" i="1"/>
  <c r="I267" i="1" s="1"/>
  <c r="G266" i="1"/>
  <c r="I266" i="1" s="1"/>
  <c r="J266" i="1" s="1"/>
  <c r="G265" i="1"/>
  <c r="I265" i="1" s="1"/>
  <c r="J265" i="1" s="1"/>
  <c r="G264" i="1"/>
  <c r="I264" i="1" s="1"/>
  <c r="J264" i="1" s="1"/>
  <c r="G263" i="1"/>
  <c r="I263" i="1" s="1"/>
  <c r="J263" i="1" s="1"/>
  <c r="G262" i="1"/>
  <c r="I262" i="1" s="1"/>
  <c r="F237" i="1"/>
  <c r="G255" i="1"/>
  <c r="I255" i="1" s="1"/>
  <c r="J255" i="1" s="1"/>
  <c r="G251" i="1"/>
  <c r="I251" i="1" s="1"/>
  <c r="J251" i="1" s="1"/>
  <c r="G250" i="1"/>
  <c r="I250" i="1" s="1"/>
  <c r="J250" i="1" s="1"/>
  <c r="G249" i="1"/>
  <c r="I249" i="1" s="1"/>
  <c r="G248" i="1"/>
  <c r="I248" i="1" s="1"/>
  <c r="J248" i="1" s="1"/>
  <c r="G247" i="1"/>
  <c r="I247" i="1" s="1"/>
  <c r="J247" i="1" s="1"/>
  <c r="G246" i="1"/>
  <c r="I246" i="1" s="1"/>
  <c r="J246" i="1" s="1"/>
  <c r="G245" i="1"/>
  <c r="I245" i="1" s="1"/>
  <c r="J245" i="1" s="1"/>
  <c r="G244" i="1"/>
  <c r="I244" i="1" s="1"/>
  <c r="G243" i="1"/>
  <c r="I243" i="1" s="1"/>
  <c r="G242" i="1"/>
  <c r="I242" i="1" s="1"/>
  <c r="J242" i="1" s="1"/>
  <c r="G241" i="1"/>
  <c r="I241" i="1" s="1"/>
  <c r="J241" i="1" s="1"/>
  <c r="G240" i="1"/>
  <c r="I240" i="1" s="1"/>
  <c r="J240" i="1" s="1"/>
  <c r="G239" i="1"/>
  <c r="I239" i="1" s="1"/>
  <c r="G231" i="1"/>
  <c r="I231" i="1" s="1"/>
  <c r="G230" i="1"/>
  <c r="I230" i="1" s="1"/>
  <c r="G229" i="1"/>
  <c r="I229" i="1" s="1"/>
  <c r="G228" i="1"/>
  <c r="I228" i="1" s="1"/>
  <c r="G226" i="1"/>
  <c r="I226" i="1" s="1"/>
  <c r="G225" i="1"/>
  <c r="I225" i="1" s="1"/>
  <c r="G224" i="1"/>
  <c r="I224" i="1" s="1"/>
  <c r="G223" i="1"/>
  <c r="I223" i="1" s="1"/>
  <c r="G222" i="1"/>
  <c r="I222" i="1" s="1"/>
  <c r="G221" i="1"/>
  <c r="I221" i="1" s="1"/>
  <c r="G220" i="1"/>
  <c r="I220" i="1" s="1"/>
  <c r="G219" i="1"/>
  <c r="I219" i="1" s="1"/>
  <c r="G218" i="1"/>
  <c r="F216" i="1"/>
  <c r="G210" i="1"/>
  <c r="G209" i="1"/>
  <c r="I209" i="1" s="1"/>
  <c r="G208" i="1"/>
  <c r="I208" i="1" s="1"/>
  <c r="G207" i="1"/>
  <c r="I207" i="1" s="1"/>
  <c r="G206" i="1"/>
  <c r="I206" i="1" s="1"/>
  <c r="G205" i="1"/>
  <c r="I205" i="1" s="1"/>
  <c r="G204" i="1"/>
  <c r="I204" i="1" s="1"/>
  <c r="G203" i="1"/>
  <c r="I203" i="1" s="1"/>
  <c r="G202" i="1"/>
  <c r="I202" i="1" s="1"/>
  <c r="G201" i="1"/>
  <c r="I201" i="1" s="1"/>
  <c r="G200" i="1"/>
  <c r="I200" i="1" s="1"/>
  <c r="G199" i="1"/>
  <c r="I199" i="1" s="1"/>
  <c r="G198" i="1"/>
  <c r="I198" i="1" s="1"/>
  <c r="G197" i="1"/>
  <c r="I197" i="1" s="1"/>
  <c r="G196" i="1"/>
  <c r="I196" i="1" s="1"/>
  <c r="G195" i="1"/>
  <c r="I195" i="1" s="1"/>
  <c r="G194" i="1"/>
  <c r="I194" i="1" s="1"/>
  <c r="G193" i="1"/>
  <c r="I193" i="1" s="1"/>
  <c r="F191" i="1"/>
  <c r="G186" i="1"/>
  <c r="I186" i="1" s="1"/>
  <c r="G185" i="1"/>
  <c r="I185" i="1" s="1"/>
  <c r="G184" i="1"/>
  <c r="I184" i="1" s="1"/>
  <c r="G183" i="1"/>
  <c r="I183" i="1" s="1"/>
  <c r="G182" i="1"/>
  <c r="I182" i="1" s="1"/>
  <c r="G181" i="1"/>
  <c r="I181" i="1" s="1"/>
  <c r="G180" i="1"/>
  <c r="I180" i="1" s="1"/>
  <c r="J180" i="1" s="1"/>
  <c r="G179" i="1"/>
  <c r="I179" i="1" s="1"/>
  <c r="J179" i="1" s="1"/>
  <c r="G178" i="1"/>
  <c r="I178" i="1" s="1"/>
  <c r="J178" i="1" s="1"/>
  <c r="F176" i="1"/>
  <c r="G171" i="1"/>
  <c r="I171" i="1" s="1"/>
  <c r="G170" i="1"/>
  <c r="I170" i="1" s="1"/>
  <c r="G169" i="1"/>
  <c r="I169" i="1" s="1"/>
  <c r="G168" i="1"/>
  <c r="I168" i="1" s="1"/>
  <c r="G167" i="1"/>
  <c r="I167" i="1" s="1"/>
  <c r="G166" i="1"/>
  <c r="I166" i="1" s="1"/>
  <c r="F164" i="1"/>
  <c r="G159" i="1"/>
  <c r="I159" i="1" s="1"/>
  <c r="G158" i="1"/>
  <c r="I158" i="1" s="1"/>
  <c r="G157" i="1"/>
  <c r="I157" i="1" s="1"/>
  <c r="G156" i="1"/>
  <c r="I156" i="1" s="1"/>
  <c r="G155" i="1"/>
  <c r="I155" i="1" s="1"/>
  <c r="G154" i="1"/>
  <c r="I154" i="1" s="1"/>
  <c r="G153" i="1"/>
  <c r="I153" i="1" s="1"/>
  <c r="G152" i="1"/>
  <c r="I152" i="1" s="1"/>
  <c r="G151" i="1"/>
  <c r="I151" i="1" s="1"/>
  <c r="J151" i="1" s="1"/>
  <c r="G150" i="1"/>
  <c r="I150" i="1" s="1"/>
  <c r="J150" i="1" s="1"/>
  <c r="G149" i="1"/>
  <c r="I149" i="1" s="1"/>
  <c r="J149" i="1" s="1"/>
  <c r="G148" i="1"/>
  <c r="I148" i="1" s="1"/>
  <c r="J148" i="1" s="1"/>
  <c r="G147" i="1"/>
  <c r="I147" i="1" s="1"/>
  <c r="J147" i="1" s="1"/>
  <c r="G146" i="1"/>
  <c r="I146" i="1" s="1"/>
  <c r="J146" i="1" s="1"/>
  <c r="G145" i="1"/>
  <c r="I145" i="1" s="1"/>
  <c r="J145" i="1" s="1"/>
  <c r="G144" i="1"/>
  <c r="I144" i="1" s="1"/>
  <c r="J144" i="1" s="1"/>
  <c r="G143" i="1"/>
  <c r="I143" i="1" s="1"/>
  <c r="J143" i="1" s="1"/>
  <c r="G142" i="1"/>
  <c r="I142" i="1" s="1"/>
  <c r="J142" i="1" s="1"/>
  <c r="G141" i="1"/>
  <c r="I141" i="1" s="1"/>
  <c r="J141" i="1" s="1"/>
  <c r="G140" i="1"/>
  <c r="I140" i="1" s="1"/>
  <c r="J140" i="1" s="1"/>
  <c r="G139" i="1"/>
  <c r="I139" i="1" s="1"/>
  <c r="J139" i="1" s="1"/>
  <c r="G138" i="1"/>
  <c r="I138" i="1" s="1"/>
  <c r="J138" i="1" s="1"/>
  <c r="G137" i="1"/>
  <c r="I137" i="1" s="1"/>
  <c r="J137" i="1" s="1"/>
  <c r="G136" i="1"/>
  <c r="I136" i="1" s="1"/>
  <c r="J136" i="1" s="1"/>
  <c r="G135" i="1"/>
  <c r="I135" i="1" s="1"/>
  <c r="J135" i="1" s="1"/>
  <c r="G134" i="1"/>
  <c r="I134" i="1" s="1"/>
  <c r="J134" i="1" s="1"/>
  <c r="G133" i="1"/>
  <c r="I133" i="1" s="1"/>
  <c r="J133" i="1" s="1"/>
  <c r="G132" i="1"/>
  <c r="I132" i="1" s="1"/>
  <c r="J132" i="1" s="1"/>
  <c r="G131" i="1"/>
  <c r="I131" i="1" s="1"/>
  <c r="J131" i="1" s="1"/>
  <c r="G130" i="1"/>
  <c r="I130" i="1" s="1"/>
  <c r="J130" i="1" s="1"/>
  <c r="F128" i="1"/>
  <c r="G123" i="1"/>
  <c r="I123" i="1" s="1"/>
  <c r="G122" i="1"/>
  <c r="I122" i="1" s="1"/>
  <c r="G121" i="1"/>
  <c r="I121" i="1" s="1"/>
  <c r="J121" i="1" s="1"/>
  <c r="G120" i="1"/>
  <c r="I120" i="1" s="1"/>
  <c r="J120" i="1" s="1"/>
  <c r="G119" i="1"/>
  <c r="I119" i="1" s="1"/>
  <c r="J119" i="1" s="1"/>
  <c r="G118" i="1"/>
  <c r="I118" i="1" s="1"/>
  <c r="J118" i="1" s="1"/>
  <c r="G117" i="1"/>
  <c r="I117" i="1" s="1"/>
  <c r="J117" i="1" s="1"/>
  <c r="G116" i="1"/>
  <c r="I116" i="1" s="1"/>
  <c r="J116" i="1" s="1"/>
  <c r="G115" i="1"/>
  <c r="I115" i="1" s="1"/>
  <c r="J115" i="1" s="1"/>
  <c r="G114" i="1"/>
  <c r="I114" i="1" s="1"/>
  <c r="J114" i="1" s="1"/>
  <c r="G113" i="1"/>
  <c r="I113" i="1" s="1"/>
  <c r="J113" i="1" s="1"/>
  <c r="G112" i="1"/>
  <c r="I112" i="1" s="1"/>
  <c r="J112" i="1" s="1"/>
  <c r="G111" i="1"/>
  <c r="I111" i="1" s="1"/>
  <c r="J111" i="1" s="1"/>
  <c r="G109" i="1"/>
  <c r="I109" i="1" s="1"/>
  <c r="J109" i="1" s="1"/>
  <c r="G108" i="1"/>
  <c r="I108" i="1" s="1"/>
  <c r="J108" i="1" s="1"/>
  <c r="F106" i="1"/>
  <c r="G101" i="1"/>
  <c r="I101" i="1" s="1"/>
  <c r="G100" i="1"/>
  <c r="I100" i="1" s="1"/>
  <c r="G99" i="1"/>
  <c r="I99" i="1" s="1"/>
  <c r="G98" i="1"/>
  <c r="I98" i="1" s="1"/>
  <c r="G97" i="1"/>
  <c r="I97" i="1" s="1"/>
  <c r="G96" i="1"/>
  <c r="I96" i="1" s="1"/>
  <c r="G95" i="1"/>
  <c r="I95" i="1" s="1"/>
  <c r="G94" i="1"/>
  <c r="I94" i="1" s="1"/>
  <c r="G93" i="1"/>
  <c r="I93" i="1" s="1"/>
  <c r="G92" i="1"/>
  <c r="I92" i="1" s="1"/>
  <c r="G91" i="1"/>
  <c r="I91" i="1" s="1"/>
  <c r="G90" i="1"/>
  <c r="I90" i="1" s="1"/>
  <c r="G89" i="1"/>
  <c r="I89" i="1" s="1"/>
  <c r="G88" i="1"/>
  <c r="I88" i="1" s="1"/>
  <c r="G87" i="1"/>
  <c r="I87" i="1" s="1"/>
  <c r="F85" i="1"/>
  <c r="G80" i="1"/>
  <c r="I80" i="1" s="1"/>
  <c r="G79" i="1"/>
  <c r="I79" i="1" s="1"/>
  <c r="G78" i="1"/>
  <c r="I78" i="1" s="1"/>
  <c r="G77" i="1"/>
  <c r="I77" i="1" s="1"/>
  <c r="G76" i="1"/>
  <c r="I76" i="1" s="1"/>
  <c r="G75" i="1"/>
  <c r="I75" i="1" s="1"/>
  <c r="G74" i="1"/>
  <c r="I74" i="1" s="1"/>
  <c r="G73" i="1"/>
  <c r="I73" i="1" s="1"/>
  <c r="J73" i="1" s="1"/>
  <c r="G72" i="1"/>
  <c r="I72" i="1" s="1"/>
  <c r="J72" i="1" s="1"/>
  <c r="G71" i="1"/>
  <c r="I71" i="1" s="1"/>
  <c r="J71" i="1" s="1"/>
  <c r="G70" i="1"/>
  <c r="I70" i="1" s="1"/>
  <c r="J70" i="1" s="1"/>
  <c r="G69" i="1"/>
  <c r="I69" i="1" s="1"/>
  <c r="J69" i="1" s="1"/>
  <c r="G68" i="1"/>
  <c r="I68" i="1" s="1"/>
  <c r="J68" i="1" s="1"/>
  <c r="F66" i="1"/>
  <c r="G61" i="1"/>
  <c r="I61" i="1" s="1"/>
  <c r="G60" i="1"/>
  <c r="I60" i="1" s="1"/>
  <c r="G59" i="1"/>
  <c r="I59" i="1" s="1"/>
  <c r="G58" i="1"/>
  <c r="I58" i="1" s="1"/>
  <c r="G57" i="1"/>
  <c r="I57" i="1" s="1"/>
  <c r="G56" i="1"/>
  <c r="I56" i="1" s="1"/>
  <c r="G55" i="1"/>
  <c r="I55" i="1" s="1"/>
  <c r="J55" i="1" s="1"/>
  <c r="G54" i="1"/>
  <c r="I54" i="1" s="1"/>
  <c r="J54" i="1" s="1"/>
  <c r="G53" i="1"/>
  <c r="I53" i="1" s="1"/>
  <c r="J53" i="1" s="1"/>
  <c r="G52" i="1"/>
  <c r="I52" i="1" s="1"/>
  <c r="J52" i="1" s="1"/>
  <c r="G51" i="1"/>
  <c r="I51" i="1" s="1"/>
  <c r="J51" i="1" s="1"/>
  <c r="G50" i="1"/>
  <c r="I50" i="1" s="1"/>
  <c r="J50" i="1" s="1"/>
  <c r="F48" i="1"/>
  <c r="G43" i="1"/>
  <c r="I43" i="1" s="1"/>
  <c r="K43" i="1" s="1"/>
  <c r="G42" i="1"/>
  <c r="I42" i="1" s="1"/>
  <c r="K42" i="1" s="1"/>
  <c r="G41" i="1"/>
  <c r="I41" i="1" s="1"/>
  <c r="K41" i="1" s="1"/>
  <c r="G40" i="1"/>
  <c r="I40" i="1" s="1"/>
  <c r="K40" i="1" s="1"/>
  <c r="G39" i="1"/>
  <c r="I39" i="1" s="1"/>
  <c r="K39" i="1" s="1"/>
  <c r="G38" i="1"/>
  <c r="I38" i="1" s="1"/>
  <c r="K38" i="1" s="1"/>
  <c r="G37" i="1"/>
  <c r="I37" i="1" s="1"/>
  <c r="K37" i="1" s="1"/>
  <c r="G36" i="1"/>
  <c r="I36" i="1" s="1"/>
  <c r="K36" i="1" s="1"/>
  <c r="G35" i="1"/>
  <c r="I35" i="1" s="1"/>
  <c r="K35" i="1" s="1"/>
  <c r="G34" i="1"/>
  <c r="I34" i="1" s="1"/>
  <c r="K34" i="1" s="1"/>
  <c r="G33" i="1"/>
  <c r="I33" i="1" s="1"/>
  <c r="K33" i="1" s="1"/>
  <c r="G32" i="1"/>
  <c r="I32" i="1" s="1"/>
  <c r="K32" i="1" s="1"/>
  <c r="G31" i="1"/>
  <c r="I31" i="1" s="1"/>
  <c r="K31" i="1" s="1"/>
  <c r="G30" i="1"/>
  <c r="I30" i="1" s="1"/>
  <c r="K30" i="1" s="1"/>
  <c r="G29" i="1"/>
  <c r="I29" i="1" s="1"/>
  <c r="K29" i="1" s="1"/>
  <c r="G28" i="1"/>
  <c r="I28" i="1" s="1"/>
  <c r="K28" i="1" s="1"/>
  <c r="G27" i="1"/>
  <c r="I27" i="1" s="1"/>
  <c r="K27" i="1" s="1"/>
  <c r="G26" i="1"/>
  <c r="I26" i="1" s="1"/>
  <c r="K26" i="1" s="1"/>
  <c r="G25" i="1"/>
  <c r="I25" i="1" s="1"/>
  <c r="K25" i="1" s="1"/>
  <c r="G24" i="1"/>
  <c r="I24" i="1" s="1"/>
  <c r="K24" i="1" s="1"/>
  <c r="G23" i="1"/>
  <c r="I23" i="1" s="1"/>
  <c r="K23" i="1" s="1"/>
  <c r="G22" i="1"/>
  <c r="I22" i="1" s="1"/>
  <c r="G21" i="1"/>
  <c r="I21" i="1" s="1"/>
  <c r="K21" i="1" s="1"/>
  <c r="G20" i="1"/>
  <c r="I20" i="1" s="1"/>
  <c r="K20" i="1" s="1"/>
  <c r="G19" i="1"/>
  <c r="I19" i="1" s="1"/>
  <c r="J19" i="1" s="1"/>
  <c r="G18" i="1"/>
  <c r="I18" i="1" s="1"/>
  <c r="J18" i="1" s="1"/>
  <c r="G17" i="1"/>
  <c r="I17" i="1" s="1"/>
  <c r="J17" i="1" s="1"/>
  <c r="G16" i="1"/>
  <c r="I16" i="1" s="1"/>
  <c r="J16" i="1" s="1"/>
  <c r="G15" i="1"/>
  <c r="I15" i="1" s="1"/>
  <c r="J15" i="1" s="1"/>
  <c r="G14" i="1"/>
  <c r="I14" i="1" s="1"/>
  <c r="J14" i="1" s="1"/>
  <c r="G13" i="1"/>
  <c r="I13" i="1" s="1"/>
  <c r="K13" i="1" s="1"/>
  <c r="G12" i="1"/>
  <c r="I12" i="1" s="1"/>
  <c r="J12" i="1" s="1"/>
  <c r="G11" i="1"/>
  <c r="I11" i="1" s="1"/>
  <c r="K11" i="1" s="1"/>
  <c r="G10" i="1"/>
  <c r="I10" i="1" s="1"/>
  <c r="K10" i="1" s="1"/>
  <c r="G9" i="1"/>
  <c r="I9" i="1" s="1"/>
  <c r="J9" i="1" s="1"/>
  <c r="G8" i="1"/>
  <c r="I8" i="1" s="1"/>
  <c r="J8" i="1" s="1"/>
  <c r="G7" i="1"/>
  <c r="I7" i="1" s="1"/>
  <c r="K7" i="1" s="1"/>
  <c r="G256" i="1" l="1"/>
  <c r="I218" i="1"/>
  <c r="J218" i="1" s="1"/>
  <c r="I210" i="1"/>
  <c r="I212" i="1" s="1"/>
  <c r="G212" i="1"/>
  <c r="F53" i="8"/>
  <c r="M12" i="8"/>
  <c r="I275" i="1"/>
  <c r="J275" i="1" s="1"/>
  <c r="J262" i="1"/>
  <c r="I98" i="2"/>
  <c r="J98" i="2" s="1"/>
  <c r="G105" i="2"/>
  <c r="J267" i="1"/>
  <c r="J287" i="1"/>
  <c r="M287" i="1"/>
  <c r="K293" i="1"/>
  <c r="M293" i="1"/>
  <c r="J268" i="1"/>
  <c r="J274" i="1"/>
  <c r="K284" i="1"/>
  <c r="M284" i="1"/>
  <c r="K286" i="1"/>
  <c r="M286" i="1"/>
  <c r="K288" i="1"/>
  <c r="M288" i="1"/>
  <c r="K290" i="1"/>
  <c r="M290" i="1"/>
  <c r="K292" i="1"/>
  <c r="K294" i="1"/>
  <c r="K291" i="1"/>
  <c r="J291" i="1"/>
  <c r="K295" i="1"/>
  <c r="J295" i="1"/>
  <c r="J293" i="1"/>
  <c r="J100" i="2"/>
  <c r="K100" i="2"/>
  <c r="J102" i="2"/>
  <c r="K102" i="2"/>
  <c r="J104" i="2"/>
  <c r="K104" i="2"/>
  <c r="J99" i="2"/>
  <c r="K99" i="2"/>
  <c r="J101" i="2"/>
  <c r="K101" i="2"/>
  <c r="J103" i="2"/>
  <c r="K103" i="2"/>
  <c r="J85" i="2"/>
  <c r="K85" i="2"/>
  <c r="J87" i="2"/>
  <c r="K87" i="2"/>
  <c r="J89" i="2"/>
  <c r="K89" i="2"/>
  <c r="J91" i="2"/>
  <c r="K91" i="2"/>
  <c r="J86" i="2"/>
  <c r="K86" i="2"/>
  <c r="J88" i="2"/>
  <c r="K88" i="2"/>
  <c r="J90" i="2"/>
  <c r="K90" i="2"/>
  <c r="J73" i="2"/>
  <c r="K73" i="2"/>
  <c r="J75" i="2"/>
  <c r="K75" i="2"/>
  <c r="J77" i="2"/>
  <c r="J74" i="2"/>
  <c r="K74" i="2"/>
  <c r="J76" i="2"/>
  <c r="K76" i="2"/>
  <c r="J78" i="2"/>
  <c r="K78" i="2"/>
  <c r="J62" i="2"/>
  <c r="K62" i="2"/>
  <c r="J64" i="2"/>
  <c r="K64" i="2"/>
  <c r="J66" i="2"/>
  <c r="K66" i="2"/>
  <c r="J63" i="2"/>
  <c r="K63" i="2"/>
  <c r="J65" i="2"/>
  <c r="K65" i="2"/>
  <c r="J48" i="2"/>
  <c r="K48" i="2"/>
  <c r="J50" i="2"/>
  <c r="K50" i="2"/>
  <c r="J52" i="2"/>
  <c r="K52" i="2"/>
  <c r="J49" i="2"/>
  <c r="K49" i="2"/>
  <c r="J51" i="2"/>
  <c r="K51" i="2"/>
  <c r="J39" i="2"/>
  <c r="K39" i="2"/>
  <c r="J41" i="2"/>
  <c r="K41" i="2"/>
  <c r="J40" i="2"/>
  <c r="K40" i="2"/>
  <c r="J30" i="2"/>
  <c r="K30" i="2"/>
  <c r="J32" i="2"/>
  <c r="K32" i="2"/>
  <c r="J29" i="2"/>
  <c r="K29" i="2"/>
  <c r="J31" i="2"/>
  <c r="K31" i="2"/>
  <c r="J20" i="2"/>
  <c r="K20" i="2"/>
  <c r="J22" i="2"/>
  <c r="K22" i="2"/>
  <c r="J19" i="2"/>
  <c r="K19" i="2"/>
  <c r="J21" i="2"/>
  <c r="K21" i="2"/>
  <c r="J8" i="2"/>
  <c r="K8" i="2"/>
  <c r="J12" i="2"/>
  <c r="K12" i="2"/>
  <c r="J11" i="2"/>
  <c r="K11" i="2"/>
  <c r="K9" i="2"/>
  <c r="K10" i="2"/>
  <c r="K7" i="2"/>
  <c r="J282" i="1"/>
  <c r="K283" i="1"/>
  <c r="J284" i="1"/>
  <c r="K285" i="1"/>
  <c r="J286" i="1"/>
  <c r="K287" i="1"/>
  <c r="J288" i="1"/>
  <c r="K289" i="1"/>
  <c r="J290" i="1"/>
  <c r="J292" i="1"/>
  <c r="J294" i="1"/>
  <c r="K240" i="1"/>
  <c r="K241" i="1"/>
  <c r="K250" i="1"/>
  <c r="K251" i="1"/>
  <c r="J219" i="1"/>
  <c r="J221" i="1"/>
  <c r="J223" i="1"/>
  <c r="J229" i="1"/>
  <c r="J231" i="1"/>
  <c r="J220" i="1"/>
  <c r="J222" i="1"/>
  <c r="J224" i="1"/>
  <c r="J226" i="1"/>
  <c r="J230" i="1"/>
  <c r="J194" i="1"/>
  <c r="K194" i="1"/>
  <c r="J196" i="1"/>
  <c r="K196" i="1"/>
  <c r="J198" i="1"/>
  <c r="K198" i="1"/>
  <c r="J200" i="1"/>
  <c r="K200" i="1"/>
  <c r="J202" i="1"/>
  <c r="K202" i="1"/>
  <c r="J204" i="1"/>
  <c r="K204" i="1"/>
  <c r="J206" i="1"/>
  <c r="K206" i="1"/>
  <c r="J208" i="1"/>
  <c r="K208" i="1"/>
  <c r="J193" i="1"/>
  <c r="K193" i="1"/>
  <c r="J195" i="1"/>
  <c r="K195" i="1"/>
  <c r="J197" i="1"/>
  <c r="K197" i="1"/>
  <c r="J199" i="1"/>
  <c r="K199" i="1"/>
  <c r="J201" i="1"/>
  <c r="K201" i="1"/>
  <c r="J203" i="1"/>
  <c r="K203" i="1"/>
  <c r="J205" i="1"/>
  <c r="K205" i="1"/>
  <c r="J207" i="1"/>
  <c r="K207" i="1"/>
  <c r="J209" i="1"/>
  <c r="K209" i="1"/>
  <c r="J182" i="1"/>
  <c r="K182" i="1"/>
  <c r="J184" i="1"/>
  <c r="K184" i="1"/>
  <c r="J186" i="1"/>
  <c r="K186" i="1"/>
  <c r="J181" i="1"/>
  <c r="K181" i="1"/>
  <c r="J183" i="1"/>
  <c r="K183" i="1"/>
  <c r="J185" i="1"/>
  <c r="K185" i="1"/>
  <c r="K178" i="1"/>
  <c r="K179" i="1"/>
  <c r="K180" i="1"/>
  <c r="J167" i="1"/>
  <c r="K167" i="1"/>
  <c r="J169" i="1"/>
  <c r="K169" i="1"/>
  <c r="J171" i="1"/>
  <c r="K171" i="1"/>
  <c r="J166" i="1"/>
  <c r="K166" i="1"/>
  <c r="J168" i="1"/>
  <c r="K168" i="1"/>
  <c r="J170" i="1"/>
  <c r="K170" i="1"/>
  <c r="J153" i="1"/>
  <c r="K153" i="1"/>
  <c r="J155" i="1"/>
  <c r="K155" i="1"/>
  <c r="J157" i="1"/>
  <c r="K157" i="1"/>
  <c r="J159" i="1"/>
  <c r="K159" i="1"/>
  <c r="J152" i="1"/>
  <c r="K152" i="1"/>
  <c r="J154" i="1"/>
  <c r="K154" i="1"/>
  <c r="J156" i="1"/>
  <c r="K156" i="1"/>
  <c r="J158" i="1"/>
  <c r="K158" i="1"/>
  <c r="K130" i="1"/>
  <c r="K131" i="1"/>
  <c r="K132" i="1"/>
  <c r="K133" i="1"/>
  <c r="K134" i="1"/>
  <c r="K135" i="1"/>
  <c r="K136" i="1"/>
  <c r="K137" i="1"/>
  <c r="K138" i="1"/>
  <c r="K139" i="1"/>
  <c r="K140" i="1"/>
  <c r="K141" i="1"/>
  <c r="K142" i="1"/>
  <c r="K143" i="1"/>
  <c r="K144" i="1"/>
  <c r="K145" i="1"/>
  <c r="K146" i="1"/>
  <c r="K147" i="1"/>
  <c r="K148" i="1"/>
  <c r="K149" i="1"/>
  <c r="K150" i="1"/>
  <c r="K151" i="1"/>
  <c r="K9" i="1"/>
  <c r="K15" i="1"/>
  <c r="K17" i="1"/>
  <c r="K19" i="1"/>
  <c r="K8" i="1"/>
  <c r="K12" i="1"/>
  <c r="K14" i="1"/>
  <c r="K16" i="1"/>
  <c r="K18" i="1"/>
  <c r="J122" i="1"/>
  <c r="K122" i="1"/>
  <c r="J123" i="1"/>
  <c r="K123" i="1"/>
  <c r="K108" i="1"/>
  <c r="K109" i="1"/>
  <c r="K111" i="1"/>
  <c r="K112" i="1"/>
  <c r="K113" i="1"/>
  <c r="K114" i="1"/>
  <c r="K117" i="1"/>
  <c r="K118" i="1"/>
  <c r="K119" i="1"/>
  <c r="K120" i="1"/>
  <c r="K121" i="1"/>
  <c r="J87" i="1"/>
  <c r="K87" i="1"/>
  <c r="J89" i="1"/>
  <c r="K89" i="1"/>
  <c r="K91" i="1"/>
  <c r="J91" i="1"/>
  <c r="J93" i="1"/>
  <c r="K93" i="1"/>
  <c r="J95" i="1"/>
  <c r="J97" i="1"/>
  <c r="K99" i="1"/>
  <c r="J99" i="1"/>
  <c r="J101" i="1"/>
  <c r="K101" i="1"/>
  <c r="J88" i="1"/>
  <c r="K88" i="1"/>
  <c r="J90" i="1"/>
  <c r="K90" i="1"/>
  <c r="K92" i="1"/>
  <c r="J92" i="1"/>
  <c r="J94" i="1"/>
  <c r="J96" i="1"/>
  <c r="J98" i="1"/>
  <c r="J100" i="1"/>
  <c r="K100" i="1"/>
  <c r="J74" i="1"/>
  <c r="K74" i="1"/>
  <c r="J76" i="1"/>
  <c r="J78" i="1"/>
  <c r="K78" i="1"/>
  <c r="J80" i="1"/>
  <c r="J75" i="1"/>
  <c r="K75" i="1"/>
  <c r="J77" i="1"/>
  <c r="K77" i="1"/>
  <c r="J79" i="1"/>
  <c r="K79" i="1"/>
  <c r="K68" i="1"/>
  <c r="K69" i="1"/>
  <c r="K70" i="1"/>
  <c r="K71" i="1"/>
  <c r="K72" i="1"/>
  <c r="K73" i="1"/>
  <c r="J56" i="1"/>
  <c r="K56" i="1"/>
  <c r="J58" i="1"/>
  <c r="K58" i="1"/>
  <c r="J60" i="1"/>
  <c r="K60" i="1"/>
  <c r="J57" i="1"/>
  <c r="K57" i="1"/>
  <c r="J59" i="1"/>
  <c r="K59" i="1"/>
  <c r="J61" i="1"/>
  <c r="K61" i="1"/>
  <c r="K50" i="1"/>
  <c r="K51" i="1"/>
  <c r="K52" i="1"/>
  <c r="K53" i="1"/>
  <c r="K54" i="1"/>
  <c r="K55" i="1"/>
  <c r="J20" i="1"/>
  <c r="J24" i="1"/>
  <c r="J10" i="1"/>
  <c r="J13" i="1"/>
  <c r="J21" i="1"/>
  <c r="J23" i="1"/>
  <c r="J25" i="1"/>
  <c r="J27" i="1"/>
  <c r="J29" i="1"/>
  <c r="J31" i="1"/>
  <c r="J33" i="1"/>
  <c r="J35" i="1"/>
  <c r="J37" i="1"/>
  <c r="J39" i="1"/>
  <c r="J41" i="1"/>
  <c r="J43" i="1"/>
  <c r="J11" i="1"/>
  <c r="J22" i="1"/>
  <c r="J26" i="1"/>
  <c r="J28" i="1"/>
  <c r="J30" i="1"/>
  <c r="J32" i="1"/>
  <c r="J34" i="1"/>
  <c r="J36" i="1"/>
  <c r="J38" i="1"/>
  <c r="J40" i="1"/>
  <c r="J42" i="1"/>
  <c r="H45" i="7"/>
  <c r="F45" i="7"/>
  <c r="E45" i="7"/>
  <c r="I256" i="1" l="1"/>
  <c r="L239" i="1"/>
  <c r="J239" i="1"/>
  <c r="K210" i="1"/>
  <c r="K212" i="1" s="1"/>
  <c r="J210" i="1"/>
  <c r="J212" i="1" s="1"/>
  <c r="K239" i="1"/>
  <c r="K98" i="2"/>
  <c r="I276" i="1"/>
  <c r="F72" i="7"/>
  <c r="H449" i="3"/>
  <c r="F449" i="3"/>
  <c r="F516" i="3" s="1"/>
  <c r="C10" i="8" s="1"/>
  <c r="C51" i="8" s="1"/>
  <c r="E449" i="3"/>
  <c r="C14" i="8" l="1"/>
  <c r="C55" i="8" s="1"/>
  <c r="H296" i="1"/>
  <c r="F296" i="1"/>
  <c r="E296" i="1"/>
  <c r="D389" i="3"/>
  <c r="K389" i="3" s="1"/>
  <c r="D338" i="3"/>
  <c r="K338" i="3" s="1"/>
  <c r="G337" i="3"/>
  <c r="I337" i="3" s="1"/>
  <c r="J337" i="3" s="1"/>
  <c r="G141" i="3"/>
  <c r="I141" i="3" s="1"/>
  <c r="J141" i="3" l="1"/>
  <c r="K141" i="3"/>
  <c r="F226" i="2" l="1"/>
  <c r="F276" i="2" s="1"/>
  <c r="C9" i="8" s="1"/>
  <c r="C50" i="8" s="1"/>
  <c r="H226" i="2"/>
  <c r="E226" i="2"/>
  <c r="K296" i="1" l="1"/>
  <c r="G45" i="7" l="1"/>
  <c r="K45" i="7"/>
  <c r="K11" i="6" l="1"/>
  <c r="K119" i="4"/>
  <c r="J119" i="4"/>
  <c r="I119" i="4"/>
  <c r="K82" i="4"/>
  <c r="K92" i="4"/>
  <c r="K28" i="4"/>
  <c r="K162" i="2"/>
  <c r="K131" i="2"/>
  <c r="K123" i="2"/>
  <c r="K56" i="2"/>
  <c r="K42" i="2"/>
  <c r="K33" i="2"/>
  <c r="K23" i="2"/>
  <c r="K13" i="2"/>
  <c r="K182" i="3" l="1"/>
  <c r="K105" i="2"/>
  <c r="K115" i="2"/>
  <c r="K92" i="2"/>
  <c r="K67" i="2"/>
  <c r="K44" i="3"/>
  <c r="K26" i="3"/>
  <c r="I402" i="3"/>
  <c r="K226" i="2"/>
  <c r="K187" i="1" l="1"/>
  <c r="K62" i="1"/>
  <c r="J7" i="1"/>
  <c r="I45" i="7"/>
  <c r="F119" i="4"/>
  <c r="F162" i="4" s="1"/>
  <c r="E119" i="4"/>
  <c r="K160" i="1" l="1"/>
  <c r="G449" i="3"/>
  <c r="K172" i="1"/>
  <c r="G296" i="1"/>
  <c r="H119" i="4"/>
  <c r="J45" i="7"/>
  <c r="G119" i="4"/>
  <c r="C11" i="8" l="1"/>
  <c r="C52" i="8" s="1"/>
  <c r="I449" i="3"/>
  <c r="K449" i="3"/>
  <c r="G226" i="2"/>
  <c r="I296" i="1"/>
  <c r="J296" i="1"/>
  <c r="J226" i="2" l="1"/>
  <c r="I226" i="2"/>
  <c r="F276" i="1"/>
  <c r="E276" i="1"/>
  <c r="K275" i="1"/>
  <c r="D274" i="1"/>
  <c r="K274" i="1" s="1"/>
  <c r="D273" i="1"/>
  <c r="K273" i="1" s="1"/>
  <c r="D272" i="1"/>
  <c r="K272" i="1" s="1"/>
  <c r="D271" i="1"/>
  <c r="K271" i="1" s="1"/>
  <c r="D270" i="1"/>
  <c r="K270" i="1" s="1"/>
  <c r="D269" i="1"/>
  <c r="K269" i="1" s="1"/>
  <c r="D268" i="1"/>
  <c r="K268" i="1" s="1"/>
  <c r="D267" i="1"/>
  <c r="K267" i="1" s="1"/>
  <c r="D266" i="1"/>
  <c r="K266" i="1" s="1"/>
  <c r="D265" i="1"/>
  <c r="K265" i="1" s="1"/>
  <c r="D264" i="1"/>
  <c r="K264" i="1" s="1"/>
  <c r="D263" i="1"/>
  <c r="K263" i="1" s="1"/>
  <c r="D262" i="1"/>
  <c r="K262" i="1" s="1"/>
  <c r="D255" i="1"/>
  <c r="K255" i="1" s="1"/>
  <c r="D249" i="1"/>
  <c r="K249" i="1" s="1"/>
  <c r="D248" i="1"/>
  <c r="K248" i="1" s="1"/>
  <c r="D247" i="1"/>
  <c r="K247" i="1" s="1"/>
  <c r="D246" i="1"/>
  <c r="K246" i="1" s="1"/>
  <c r="D244" i="1"/>
  <c r="K244" i="1" s="1"/>
  <c r="D242" i="1"/>
  <c r="K242" i="1" s="1"/>
  <c r="K225" i="1"/>
  <c r="G77" i="3"/>
  <c r="I77" i="3" s="1"/>
  <c r="G41" i="6"/>
  <c r="I41" i="6" s="1"/>
  <c r="J41" i="6" s="1"/>
  <c r="E52" i="3"/>
  <c r="G52" i="3" s="1"/>
  <c r="I52" i="3" s="1"/>
  <c r="G95" i="3"/>
  <c r="I95" i="3" s="1"/>
  <c r="G110" i="1"/>
  <c r="I110" i="1" s="1"/>
  <c r="E23" i="7"/>
  <c r="E72" i="7" s="1"/>
  <c r="B14" i="8" s="1"/>
  <c r="E402" i="3"/>
  <c r="E369" i="3"/>
  <c r="E44" i="3"/>
  <c r="E33" i="2"/>
  <c r="C59" i="6"/>
  <c r="J59" i="6" s="1"/>
  <c r="C58" i="6"/>
  <c r="J58" i="6" s="1"/>
  <c r="K54" i="6"/>
  <c r="K53" i="6"/>
  <c r="K52" i="6"/>
  <c r="E46" i="6"/>
  <c r="D45" i="6"/>
  <c r="K45" i="6" s="1"/>
  <c r="D44" i="6"/>
  <c r="K44" i="6" s="1"/>
  <c r="D43" i="6"/>
  <c r="K43" i="6" s="1"/>
  <c r="D42" i="6"/>
  <c r="K42" i="6" s="1"/>
  <c r="D41" i="6"/>
  <c r="E35" i="6"/>
  <c r="D34" i="6"/>
  <c r="K34" i="6" s="1"/>
  <c r="E11" i="6"/>
  <c r="D12" i="5"/>
  <c r="E100" i="4"/>
  <c r="G100" i="4"/>
  <c r="E92" i="4"/>
  <c r="E82" i="4"/>
  <c r="I82" i="4"/>
  <c r="E73" i="4"/>
  <c r="D72" i="4"/>
  <c r="E66" i="4"/>
  <c r="D63" i="4"/>
  <c r="K63" i="4" s="1"/>
  <c r="D61" i="4"/>
  <c r="K61" i="4" s="1"/>
  <c r="E55" i="4"/>
  <c r="D53" i="4"/>
  <c r="K53" i="4" s="1"/>
  <c r="D52" i="4"/>
  <c r="K52" i="4" s="1"/>
  <c r="D51" i="4"/>
  <c r="K51" i="4" s="1"/>
  <c r="E45" i="4"/>
  <c r="D42" i="4"/>
  <c r="K42" i="4" s="1"/>
  <c r="D38" i="4"/>
  <c r="J28" i="4"/>
  <c r="C387" i="3"/>
  <c r="K386" i="3"/>
  <c r="C386" i="3"/>
  <c r="J386" i="3" s="1"/>
  <c r="K385" i="3"/>
  <c r="C385" i="3"/>
  <c r="J385" i="3" s="1"/>
  <c r="K384" i="3"/>
  <c r="C384" i="3"/>
  <c r="J384" i="3" s="1"/>
  <c r="K383" i="3"/>
  <c r="C383" i="3"/>
  <c r="J383" i="3" s="1"/>
  <c r="K382" i="3"/>
  <c r="C382" i="3"/>
  <c r="J382" i="3" s="1"/>
  <c r="K381" i="3"/>
  <c r="C381" i="3"/>
  <c r="J381" i="3" s="1"/>
  <c r="D380" i="3"/>
  <c r="K380" i="3" s="1"/>
  <c r="C380" i="3"/>
  <c r="J380" i="3" s="1"/>
  <c r="D379" i="3"/>
  <c r="K379" i="3" s="1"/>
  <c r="C379" i="3"/>
  <c r="J379" i="3" s="1"/>
  <c r="D378" i="3"/>
  <c r="K378" i="3" s="1"/>
  <c r="C378" i="3"/>
  <c r="J378" i="3" s="1"/>
  <c r="D377" i="3"/>
  <c r="K377" i="3" s="1"/>
  <c r="C377" i="3"/>
  <c r="J377" i="3" s="1"/>
  <c r="D376" i="3"/>
  <c r="K376" i="3" s="1"/>
  <c r="D375" i="3"/>
  <c r="K375" i="3" s="1"/>
  <c r="C375" i="3"/>
  <c r="J375" i="3" s="1"/>
  <c r="C344" i="3"/>
  <c r="J344" i="3" s="1"/>
  <c r="B344" i="3"/>
  <c r="C343" i="3"/>
  <c r="J343" i="3" s="1"/>
  <c r="B343" i="3"/>
  <c r="C342" i="3"/>
  <c r="J342" i="3" s="1"/>
  <c r="C341" i="3"/>
  <c r="J341" i="3" s="1"/>
  <c r="C340" i="3"/>
  <c r="J340" i="3" s="1"/>
  <c r="C339" i="3"/>
  <c r="J339" i="3" s="1"/>
  <c r="D337" i="3"/>
  <c r="K337" i="3" s="1"/>
  <c r="E328" i="3"/>
  <c r="D287" i="3"/>
  <c r="K287" i="3" s="1"/>
  <c r="D286" i="3"/>
  <c r="K286" i="3" s="1"/>
  <c r="D285" i="3"/>
  <c r="K285" i="3" s="1"/>
  <c r="D268" i="3"/>
  <c r="K268" i="3" s="1"/>
  <c r="E252" i="3"/>
  <c r="D251" i="3"/>
  <c r="K251" i="3" s="1"/>
  <c r="D250" i="3"/>
  <c r="K250" i="3" s="1"/>
  <c r="D249" i="3"/>
  <c r="K249" i="3" s="1"/>
  <c r="D248" i="3"/>
  <c r="K248" i="3" s="1"/>
  <c r="D247" i="3"/>
  <c r="K247" i="3" s="1"/>
  <c r="D246" i="3"/>
  <c r="K246" i="3" s="1"/>
  <c r="D245" i="3"/>
  <c r="K245" i="3" s="1"/>
  <c r="D244" i="3"/>
  <c r="K244" i="3" s="1"/>
  <c r="D243" i="3"/>
  <c r="K243" i="3" s="1"/>
  <c r="D241" i="3"/>
  <c r="K241" i="3" s="1"/>
  <c r="D240" i="3"/>
  <c r="K240" i="3" s="1"/>
  <c r="D239" i="3"/>
  <c r="K239" i="3" s="1"/>
  <c r="D238" i="3"/>
  <c r="K238" i="3" s="1"/>
  <c r="D237" i="3"/>
  <c r="K237" i="3" s="1"/>
  <c r="D236" i="3"/>
  <c r="K236" i="3" s="1"/>
  <c r="D235" i="3"/>
  <c r="K235" i="3" s="1"/>
  <c r="D234" i="3"/>
  <c r="K234" i="3" s="1"/>
  <c r="D233" i="3"/>
  <c r="K233" i="3" s="1"/>
  <c r="D232" i="3"/>
  <c r="K232" i="3" s="1"/>
  <c r="D231" i="3"/>
  <c r="K231" i="3" s="1"/>
  <c r="D230" i="3"/>
  <c r="K230" i="3" s="1"/>
  <c r="E224" i="3"/>
  <c r="J224" i="3"/>
  <c r="D221" i="3"/>
  <c r="K221" i="3" s="1"/>
  <c r="D220" i="3"/>
  <c r="E182" i="3"/>
  <c r="D120" i="3"/>
  <c r="K120" i="3" s="1"/>
  <c r="E26" i="3"/>
  <c r="B204" i="2"/>
  <c r="E196" i="2"/>
  <c r="C195" i="2"/>
  <c r="J195" i="2" s="1"/>
  <c r="C194" i="2"/>
  <c r="J194" i="2" s="1"/>
  <c r="K193" i="2"/>
  <c r="C193" i="2"/>
  <c r="J193" i="2" s="1"/>
  <c r="K192" i="2"/>
  <c r="C192" i="2"/>
  <c r="J192" i="2" s="1"/>
  <c r="K191" i="2"/>
  <c r="C191" i="2"/>
  <c r="J191" i="2" s="1"/>
  <c r="K190" i="2"/>
  <c r="K189" i="2"/>
  <c r="K182" i="2"/>
  <c r="C182" i="2"/>
  <c r="J182" i="2" s="1"/>
  <c r="K181" i="2"/>
  <c r="K180" i="2"/>
  <c r="K179" i="2"/>
  <c r="J179" i="2"/>
  <c r="K178" i="2"/>
  <c r="J178" i="2"/>
  <c r="K177" i="2"/>
  <c r="J177" i="2"/>
  <c r="K176" i="2"/>
  <c r="J176" i="2"/>
  <c r="K175" i="2"/>
  <c r="J175" i="2"/>
  <c r="K174" i="2"/>
  <c r="J174" i="2"/>
  <c r="K173" i="2"/>
  <c r="J173" i="2"/>
  <c r="K172" i="2"/>
  <c r="J172" i="2"/>
  <c r="K171" i="2"/>
  <c r="J171" i="2"/>
  <c r="K170" i="2"/>
  <c r="K169" i="2"/>
  <c r="K168" i="2"/>
  <c r="E162" i="2"/>
  <c r="J162" i="2"/>
  <c r="E152" i="2"/>
  <c r="D148" i="2"/>
  <c r="K148" i="2" s="1"/>
  <c r="E141" i="2"/>
  <c r="J141" i="2"/>
  <c r="D139" i="2"/>
  <c r="K139" i="2" s="1"/>
  <c r="E131" i="2"/>
  <c r="E123" i="2"/>
  <c r="E115" i="2"/>
  <c r="J115" i="2"/>
  <c r="E105" i="2"/>
  <c r="E92" i="2"/>
  <c r="E79" i="2"/>
  <c r="D77" i="2"/>
  <c r="K77" i="2" s="1"/>
  <c r="E67" i="2"/>
  <c r="E56" i="2"/>
  <c r="E42" i="2"/>
  <c r="J42" i="2"/>
  <c r="E23" i="2"/>
  <c r="E13" i="2"/>
  <c r="C249" i="1"/>
  <c r="J249" i="1" s="1"/>
  <c r="D245" i="1"/>
  <c r="K245" i="1" s="1"/>
  <c r="C244" i="1"/>
  <c r="J244" i="1" s="1"/>
  <c r="D243" i="1"/>
  <c r="K243" i="1" s="1"/>
  <c r="C243" i="1"/>
  <c r="J243" i="1" s="1"/>
  <c r="K231" i="1"/>
  <c r="K230" i="1"/>
  <c r="K229" i="1"/>
  <c r="K228" i="1"/>
  <c r="J228" i="1"/>
  <c r="K226" i="1"/>
  <c r="J225" i="1"/>
  <c r="K224" i="1"/>
  <c r="K223" i="1"/>
  <c r="K222" i="1"/>
  <c r="K221" i="1"/>
  <c r="K220" i="1"/>
  <c r="K219" i="1"/>
  <c r="K218" i="1"/>
  <c r="E187" i="1"/>
  <c r="J172" i="1"/>
  <c r="E172" i="1"/>
  <c r="E160" i="1"/>
  <c r="K115" i="1"/>
  <c r="E102" i="1"/>
  <c r="D98" i="1"/>
  <c r="K98" i="1" s="1"/>
  <c r="D97" i="1"/>
  <c r="K97" i="1" s="1"/>
  <c r="D96" i="1"/>
  <c r="K96" i="1" s="1"/>
  <c r="D95" i="1"/>
  <c r="K95" i="1" s="1"/>
  <c r="D94" i="1"/>
  <c r="E81" i="1"/>
  <c r="D80" i="1"/>
  <c r="K80" i="1" s="1"/>
  <c r="D76" i="1"/>
  <c r="J62" i="1"/>
  <c r="E62" i="1"/>
  <c r="J44" i="1"/>
  <c r="E44" i="1"/>
  <c r="F5" i="1"/>
  <c r="D22" i="1"/>
  <c r="J256" i="1" l="1"/>
  <c r="K256" i="1"/>
  <c r="J369" i="3"/>
  <c r="D14" i="8"/>
  <c r="D55" i="8" s="1"/>
  <c r="B55" i="8"/>
  <c r="E162" i="4"/>
  <c r="F332" i="1"/>
  <c r="C8" i="8" s="1"/>
  <c r="C49" i="8" s="1"/>
  <c r="C35" i="8"/>
  <c r="E71" i="6"/>
  <c r="B13" i="8" s="1"/>
  <c r="B54" i="8" s="1"/>
  <c r="K12" i="5"/>
  <c r="K36" i="5" s="1"/>
  <c r="N37" i="5" s="1"/>
  <c r="K41" i="6"/>
  <c r="K46" i="6" s="1"/>
  <c r="J68" i="6"/>
  <c r="K68" i="6"/>
  <c r="B11" i="8"/>
  <c r="F71" i="6"/>
  <c r="D35" i="6"/>
  <c r="K72" i="4"/>
  <c r="K73" i="4" s="1"/>
  <c r="K38" i="4"/>
  <c r="K45" i="4" s="1"/>
  <c r="J52" i="3"/>
  <c r="J66" i="3" s="1"/>
  <c r="K52" i="3"/>
  <c r="K66" i="3" s="1"/>
  <c r="K77" i="3"/>
  <c r="K88" i="3" s="1"/>
  <c r="J77" i="3"/>
  <c r="J88" i="3" s="1"/>
  <c r="K220" i="3"/>
  <c r="K224" i="3" s="1"/>
  <c r="J95" i="3"/>
  <c r="J121" i="3" s="1"/>
  <c r="K95" i="3"/>
  <c r="K121" i="3" s="1"/>
  <c r="G207" i="2"/>
  <c r="E211" i="2"/>
  <c r="E276" i="2" s="1"/>
  <c r="B9" i="8" s="1"/>
  <c r="G227" i="1"/>
  <c r="K76" i="1"/>
  <c r="K81" i="1" s="1"/>
  <c r="K22" i="1"/>
  <c r="K44" i="1" s="1"/>
  <c r="K94" i="1"/>
  <c r="K102" i="1" s="1"/>
  <c r="J110" i="1"/>
  <c r="J124" i="1" s="1"/>
  <c r="K110" i="1"/>
  <c r="J123" i="2"/>
  <c r="K152" i="2"/>
  <c r="K196" i="2"/>
  <c r="J328" i="3"/>
  <c r="J13" i="2"/>
  <c r="J67" i="2"/>
  <c r="K79" i="2"/>
  <c r="J92" i="2"/>
  <c r="J152" i="2"/>
  <c r="J182" i="3"/>
  <c r="K252" i="3"/>
  <c r="K328" i="3"/>
  <c r="K66" i="4"/>
  <c r="G131" i="2"/>
  <c r="J131" i="2"/>
  <c r="J33" i="2"/>
  <c r="K369" i="3"/>
  <c r="J45" i="4"/>
  <c r="K55" i="4"/>
  <c r="J23" i="2"/>
  <c r="J56" i="2"/>
  <c r="J79" i="2"/>
  <c r="J105" i="2"/>
  <c r="K141" i="2"/>
  <c r="J26" i="3"/>
  <c r="J252" i="3"/>
  <c r="J73" i="4"/>
  <c r="J92" i="4"/>
  <c r="I92" i="4"/>
  <c r="E66" i="3"/>
  <c r="E88" i="3"/>
  <c r="J66" i="4"/>
  <c r="J82" i="4"/>
  <c r="J11" i="6"/>
  <c r="J46" i="6"/>
  <c r="J102" i="1"/>
  <c r="K116" i="1"/>
  <c r="E124" i="1"/>
  <c r="J81" i="1"/>
  <c r="J160" i="1"/>
  <c r="J187" i="1"/>
  <c r="I44" i="3"/>
  <c r="J44" i="3"/>
  <c r="K35" i="6"/>
  <c r="J35" i="6"/>
  <c r="K276" i="1"/>
  <c r="I23" i="7"/>
  <c r="K183" i="2"/>
  <c r="G276" i="1"/>
  <c r="G252" i="3"/>
  <c r="E121" i="3"/>
  <c r="G88" i="3"/>
  <c r="G46" i="6"/>
  <c r="I66" i="4"/>
  <c r="G26" i="3"/>
  <c r="G182" i="3"/>
  <c r="G224" i="3"/>
  <c r="G66" i="4"/>
  <c r="G13" i="2"/>
  <c r="H131" i="2"/>
  <c r="H11" i="6"/>
  <c r="I11" i="6"/>
  <c r="G11" i="6"/>
  <c r="G28" i="4"/>
  <c r="H100" i="4"/>
  <c r="G23" i="7"/>
  <c r="G72" i="7" s="1"/>
  <c r="H46" i="6"/>
  <c r="G66" i="3"/>
  <c r="G92" i="4"/>
  <c r="G35" i="6"/>
  <c r="I35" i="6"/>
  <c r="I28" i="4"/>
  <c r="G402" i="3"/>
  <c r="G369" i="3"/>
  <c r="G44" i="3"/>
  <c r="G67" i="2"/>
  <c r="I67" i="2"/>
  <c r="G115" i="2"/>
  <c r="H123" i="2"/>
  <c r="G152" i="2"/>
  <c r="G56" i="2"/>
  <c r="H79" i="2"/>
  <c r="H92" i="2"/>
  <c r="G141" i="2"/>
  <c r="G162" i="2"/>
  <c r="G79" i="2"/>
  <c r="G33" i="2"/>
  <c r="I33" i="2"/>
  <c r="H67" i="2"/>
  <c r="G123" i="2"/>
  <c r="I162" i="2"/>
  <c r="G23" i="2"/>
  <c r="H115" i="2"/>
  <c r="G172" i="1"/>
  <c r="I100" i="4"/>
  <c r="I45" i="4"/>
  <c r="G45" i="4"/>
  <c r="I92" i="2"/>
  <c r="G92" i="2"/>
  <c r="G328" i="3"/>
  <c r="I13" i="2"/>
  <c r="H42" i="2"/>
  <c r="G42" i="2"/>
  <c r="I56" i="2"/>
  <c r="I23" i="2"/>
  <c r="G44" i="1"/>
  <c r="G62" i="1"/>
  <c r="G102" i="1"/>
  <c r="G160" i="1"/>
  <c r="I172" i="1"/>
  <c r="G81" i="1"/>
  <c r="G187" i="1"/>
  <c r="I227" i="1" l="1"/>
  <c r="K227" i="1" s="1"/>
  <c r="K233" i="1" s="1"/>
  <c r="G233" i="1"/>
  <c r="J162" i="4"/>
  <c r="K162" i="4"/>
  <c r="N163" i="4" s="1"/>
  <c r="K124" i="1"/>
  <c r="D11" i="8"/>
  <c r="D52" i="8" s="1"/>
  <c r="B52" i="8"/>
  <c r="D9" i="8"/>
  <c r="D50" i="8" s="1"/>
  <c r="B50" i="8"/>
  <c r="E516" i="3"/>
  <c r="B10" i="8" s="1"/>
  <c r="G162" i="4"/>
  <c r="E332" i="1"/>
  <c r="B8" i="8" s="1"/>
  <c r="K516" i="3"/>
  <c r="J516" i="3"/>
  <c r="C13" i="8"/>
  <c r="C32" i="8"/>
  <c r="C30" i="8"/>
  <c r="H12" i="8"/>
  <c r="O12" i="8" s="1"/>
  <c r="I72" i="7"/>
  <c r="G71" i="6"/>
  <c r="N12" i="8"/>
  <c r="I207" i="2"/>
  <c r="M207" i="2" s="1"/>
  <c r="G211" i="2"/>
  <c r="G276" i="2" s="1"/>
  <c r="J183" i="2"/>
  <c r="J196" i="2"/>
  <c r="I73" i="4"/>
  <c r="J23" i="7"/>
  <c r="K23" i="7"/>
  <c r="J276" i="1"/>
  <c r="H276" i="1"/>
  <c r="H66" i="3"/>
  <c r="I88" i="3"/>
  <c r="G121" i="3"/>
  <c r="G516" i="3" s="1"/>
  <c r="I26" i="3"/>
  <c r="H121" i="3"/>
  <c r="I224" i="3"/>
  <c r="H402" i="3"/>
  <c r="H328" i="3"/>
  <c r="I121" i="3"/>
  <c r="H369" i="3"/>
  <c r="I182" i="3"/>
  <c r="H44" i="3"/>
  <c r="I66" i="3"/>
  <c r="I252" i="3"/>
  <c r="H26" i="3"/>
  <c r="H182" i="3"/>
  <c r="H141" i="2"/>
  <c r="H88" i="3"/>
  <c r="H92" i="4"/>
  <c r="H152" i="2"/>
  <c r="I124" i="1"/>
  <c r="I328" i="3"/>
  <c r="H23" i="7"/>
  <c r="H35" i="6"/>
  <c r="H71" i="6" s="1"/>
  <c r="E13" i="8" s="1"/>
  <c r="E54" i="8" s="1"/>
  <c r="I46" i="6"/>
  <c r="I369" i="3"/>
  <c r="G124" i="1"/>
  <c r="I79" i="2"/>
  <c r="H224" i="3"/>
  <c r="H66" i="4"/>
  <c r="H162" i="4" s="1"/>
  <c r="H252" i="3"/>
  <c r="I105" i="2"/>
  <c r="I196" i="2"/>
  <c r="H23" i="2"/>
  <c r="I42" i="2"/>
  <c r="I183" i="2"/>
  <c r="H183" i="2"/>
  <c r="H56" i="2"/>
  <c r="H162" i="2"/>
  <c r="I187" i="1"/>
  <c r="H102" i="1"/>
  <c r="H160" i="1"/>
  <c r="H124" i="1"/>
  <c r="I81" i="1"/>
  <c r="H62" i="1"/>
  <c r="H44" i="1"/>
  <c r="I115" i="2"/>
  <c r="H33" i="2"/>
  <c r="H13" i="2"/>
  <c r="I160" i="1"/>
  <c r="I44" i="1"/>
  <c r="H187" i="1"/>
  <c r="H172" i="1"/>
  <c r="I102" i="1"/>
  <c r="H81" i="1"/>
  <c r="I62" i="1"/>
  <c r="B49" i="8" l="1"/>
  <c r="C29" i="8"/>
  <c r="J227" i="1"/>
  <c r="J233" i="1" s="1"/>
  <c r="J332" i="1" s="1"/>
  <c r="G8" i="8" s="1"/>
  <c r="G49" i="8" s="1"/>
  <c r="I233" i="1"/>
  <c r="I332" i="1" s="1"/>
  <c r="G332" i="1"/>
  <c r="I162" i="4"/>
  <c r="D8" i="8"/>
  <c r="D49" i="8" s="1"/>
  <c r="D10" i="8"/>
  <c r="D51" i="8" s="1"/>
  <c r="B51" i="8"/>
  <c r="C16" i="8"/>
  <c r="C57" i="8" s="1"/>
  <c r="C54" i="8"/>
  <c r="H276" i="2"/>
  <c r="E9" i="8" s="1"/>
  <c r="E50" i="8" s="1"/>
  <c r="H516" i="3"/>
  <c r="I516" i="3"/>
  <c r="F10" i="8" s="1"/>
  <c r="L73" i="7"/>
  <c r="F14" i="8"/>
  <c r="B16" i="8"/>
  <c r="B57" i="8" s="1"/>
  <c r="H332" i="1"/>
  <c r="D13" i="8"/>
  <c r="K332" i="1"/>
  <c r="M163" i="4"/>
  <c r="G11" i="8"/>
  <c r="G52" i="8" s="1"/>
  <c r="N517" i="3"/>
  <c r="G10" i="8"/>
  <c r="G51" i="8" s="1"/>
  <c r="C34" i="8"/>
  <c r="H72" i="7"/>
  <c r="K72" i="7"/>
  <c r="N73" i="7" s="1"/>
  <c r="J72" i="7"/>
  <c r="H11" i="8"/>
  <c r="O11" i="8" s="1"/>
  <c r="H10" i="8"/>
  <c r="O517" i="3"/>
  <c r="I71" i="6"/>
  <c r="F13" i="8" s="1"/>
  <c r="K71" i="6"/>
  <c r="J71" i="6"/>
  <c r="G13" i="8" s="1"/>
  <c r="G54" i="8" s="1"/>
  <c r="I211" i="2"/>
  <c r="K207" i="2"/>
  <c r="K211" i="2" s="1"/>
  <c r="K276" i="2" s="1"/>
  <c r="J207" i="2"/>
  <c r="J211" i="2" s="1"/>
  <c r="J276" i="2" s="1"/>
  <c r="I123" i="2"/>
  <c r="F55" i="8" l="1"/>
  <c r="M14" i="8"/>
  <c r="F54" i="8"/>
  <c r="M13" i="8"/>
  <c r="F51" i="8"/>
  <c r="M10" i="8"/>
  <c r="D16" i="8"/>
  <c r="D57" i="8" s="1"/>
  <c r="D54" i="8"/>
  <c r="M73" i="7"/>
  <c r="G14" i="8"/>
  <c r="G55" i="8" s="1"/>
  <c r="E14" i="8"/>
  <c r="E55" i="8" s="1"/>
  <c r="E11" i="8"/>
  <c r="E52" i="8" s="1"/>
  <c r="L163" i="4"/>
  <c r="F11" i="8"/>
  <c r="N333" i="1"/>
  <c r="F8" i="8"/>
  <c r="F49" i="8" s="1"/>
  <c r="E8" i="8"/>
  <c r="E49" i="8" s="1"/>
  <c r="E10" i="8"/>
  <c r="E51" i="8" s="1"/>
  <c r="C31" i="8"/>
  <c r="N11" i="8"/>
  <c r="H14" i="8"/>
  <c r="O14" i="8" s="1"/>
  <c r="O10" i="8"/>
  <c r="M72" i="6"/>
  <c r="H13" i="8"/>
  <c r="O13" i="8" s="1"/>
  <c r="N72" i="6"/>
  <c r="L72" i="6"/>
  <c r="M517" i="3"/>
  <c r="H8" i="8"/>
  <c r="P333" i="1"/>
  <c r="O333" i="1"/>
  <c r="N10" i="8"/>
  <c r="G9" i="8"/>
  <c r="G50" i="8" s="1"/>
  <c r="I131" i="2"/>
  <c r="F52" i="8" l="1"/>
  <c r="M11" i="8"/>
  <c r="M8" i="8"/>
  <c r="G16" i="8"/>
  <c r="G57" i="8" s="1"/>
  <c r="E16" i="8"/>
  <c r="E57" i="8" s="1"/>
  <c r="C36" i="8"/>
  <c r="N14" i="8"/>
  <c r="N13" i="8"/>
  <c r="O8" i="8"/>
  <c r="N8" i="8"/>
  <c r="N277" i="2"/>
  <c r="H9" i="8"/>
  <c r="O9" i="8" s="1"/>
  <c r="O277" i="2"/>
  <c r="I141" i="2"/>
  <c r="N9" i="8" l="1"/>
  <c r="H16" i="8"/>
  <c r="I152" i="2"/>
  <c r="I276" i="2" s="1"/>
  <c r="N16" i="8" l="1"/>
  <c r="O16" i="8"/>
  <c r="M277" i="2" l="1"/>
  <c r="F9" i="8"/>
  <c r="M9" i="8" s="1"/>
  <c r="F16" i="8" l="1"/>
  <c r="F57" i="8" s="1"/>
  <c r="F50" i="8"/>
  <c r="M16" i="8" l="1"/>
</calcChain>
</file>

<file path=xl/comments1.xml><?xml version="1.0" encoding="utf-8"?>
<comments xmlns="http://schemas.openxmlformats.org/spreadsheetml/2006/main">
  <authors>
    <author>Author</author>
  </authors>
  <commentList>
    <comment ref="H32" authorId="0" shapeId="0">
      <text>
        <r>
          <rPr>
            <b/>
            <sz val="9"/>
            <color indexed="81"/>
            <rFont val="Tahoma"/>
            <family val="2"/>
          </rPr>
          <t xml:space="preserve">repacking
pameran 2017
</t>
        </r>
      </text>
    </comment>
    <comment ref="H51" authorId="0" shapeId="0">
      <text>
        <r>
          <rPr>
            <b/>
            <sz val="9"/>
            <color indexed="81"/>
            <rFont val="Tahoma"/>
            <family val="2"/>
          </rPr>
          <t>maret repacking pameran 2017 p adnan</t>
        </r>
      </text>
    </comment>
    <comment ref="H59" authorId="0" shapeId="0">
      <text>
        <r>
          <rPr>
            <b/>
            <sz val="9"/>
            <color indexed="81"/>
            <rFont val="Tahoma"/>
            <family val="2"/>
          </rPr>
          <t>maret repacking pameran 2017 p adnan</t>
        </r>
      </text>
    </comment>
    <comment ref="H68" authorId="0" shapeId="0">
      <text>
        <r>
          <rPr>
            <b/>
            <sz val="9"/>
            <color indexed="81"/>
            <rFont val="Tahoma"/>
            <family val="2"/>
          </rPr>
          <t>maret repacking pameran 2017 p adnan</t>
        </r>
      </text>
    </comment>
    <comment ref="H70" authorId="0" shapeId="0">
      <text>
        <r>
          <rPr>
            <b/>
            <sz val="9"/>
            <color indexed="81"/>
            <rFont val="Tahoma"/>
            <family val="2"/>
          </rPr>
          <t>maret prod 600
maret repacking pameran 2017 p adnan 16 274</t>
        </r>
      </text>
    </comment>
    <comment ref="H73" authorId="0" shapeId="0">
      <text>
        <r>
          <rPr>
            <sz val="9"/>
            <color indexed="81"/>
            <rFont val="Tahoma"/>
            <family val="2"/>
          </rPr>
          <t xml:space="preserve">maret repacking pameran 2017 p adnan
</t>
        </r>
      </text>
    </comment>
    <comment ref="H87" authorId="0" shapeId="0">
      <text>
        <r>
          <rPr>
            <b/>
            <sz val="9"/>
            <color indexed="81"/>
            <rFont val="Tahoma"/>
            <family val="2"/>
          </rPr>
          <t>maret repacking pameran 2017 p adnan</t>
        </r>
      </text>
    </comment>
    <comment ref="H89" authorId="0" shapeId="0">
      <text>
        <r>
          <rPr>
            <b/>
            <sz val="9"/>
            <color indexed="81"/>
            <rFont val="Tahoma"/>
            <family val="2"/>
          </rPr>
          <t>maret repacking pameran 2017 p adnan</t>
        </r>
      </text>
    </comment>
    <comment ref="H97" authorId="0" shapeId="0">
      <text>
        <r>
          <rPr>
            <b/>
            <sz val="9"/>
            <color indexed="81"/>
            <rFont val="Tahoma"/>
            <family val="2"/>
          </rPr>
          <t>maret repacking pameran 2017 p adnan</t>
        </r>
      </text>
    </comment>
    <comment ref="H98" authorId="0" shapeId="0">
      <text>
        <r>
          <rPr>
            <b/>
            <sz val="9"/>
            <color indexed="81"/>
            <rFont val="Tahoma"/>
            <family val="2"/>
          </rPr>
          <t>maret repacking pameran 2017 p adnan</t>
        </r>
      </text>
    </comment>
    <comment ref="H108" authorId="0" shapeId="0">
      <text>
        <r>
          <rPr>
            <b/>
            <sz val="9"/>
            <color indexed="81"/>
            <rFont val="Tahoma"/>
            <family val="2"/>
          </rPr>
          <t>prod maret 50
maret repacking pameran 2017 p adnan218</t>
        </r>
      </text>
    </comment>
    <comment ref="H110" authorId="0" shapeId="0">
      <text>
        <r>
          <rPr>
            <b/>
            <sz val="9"/>
            <color indexed="81"/>
            <rFont val="Tahoma"/>
            <family val="2"/>
          </rPr>
          <t>maret repacking pameran 2017 p adnan</t>
        </r>
      </text>
    </comment>
    <comment ref="H115" authorId="0" shapeId="0">
      <text>
        <r>
          <rPr>
            <b/>
            <sz val="9"/>
            <color indexed="81"/>
            <rFont val="Tahoma"/>
            <family val="2"/>
          </rPr>
          <t xml:space="preserve">maret repacking pameran 2017 p adnan
</t>
        </r>
      </text>
    </comment>
    <comment ref="H122" authorId="0" shapeId="0">
      <text>
        <r>
          <rPr>
            <b/>
            <sz val="9"/>
            <color indexed="81"/>
            <rFont val="Tahoma"/>
            <family val="2"/>
          </rPr>
          <t xml:space="preserve">maret repacking pameran 2017 p adnan
</t>
        </r>
      </text>
    </comment>
    <comment ref="H123" authorId="0" shapeId="0">
      <text>
        <r>
          <rPr>
            <b/>
            <sz val="9"/>
            <color indexed="81"/>
            <rFont val="Tahoma"/>
            <family val="2"/>
          </rPr>
          <t xml:space="preserve">maret repacking pameran 2017 p adnan
</t>
        </r>
      </text>
    </comment>
    <comment ref="H140" authorId="0" shapeId="0">
      <text>
        <r>
          <rPr>
            <b/>
            <sz val="9"/>
            <color indexed="81"/>
            <rFont val="Tahoma"/>
            <family val="2"/>
          </rPr>
          <t xml:space="preserve">maret repacking pameran 2017 p adnan
</t>
        </r>
      </text>
    </comment>
    <comment ref="H166" authorId="0" shapeId="0">
      <text>
        <r>
          <rPr>
            <b/>
            <sz val="9"/>
            <color indexed="81"/>
            <rFont val="Tahoma"/>
            <family val="2"/>
          </rPr>
          <t xml:space="preserve">maret repacking pameran 2017 p adnan
</t>
        </r>
      </text>
    </comment>
    <comment ref="H167" authorId="0" shapeId="0">
      <text>
        <r>
          <rPr>
            <b/>
            <sz val="9"/>
            <color indexed="81"/>
            <rFont val="Tahoma"/>
            <family val="2"/>
          </rPr>
          <t xml:space="preserve">maret repacking pameran 2017 p adnan
</t>
        </r>
      </text>
    </comment>
    <comment ref="H168" authorId="0" shapeId="0">
      <text>
        <r>
          <rPr>
            <b/>
            <sz val="9"/>
            <color indexed="81"/>
            <rFont val="Tahoma"/>
            <family val="2"/>
          </rPr>
          <t xml:space="preserve">maret repacking pameran 2017 p adnan
</t>
        </r>
      </text>
    </comment>
    <comment ref="H169" authorId="0" shapeId="0">
      <text>
        <r>
          <rPr>
            <b/>
            <sz val="9"/>
            <color indexed="81"/>
            <rFont val="Tahoma"/>
            <family val="2"/>
          </rPr>
          <t xml:space="preserve">maret repacking pameran 2017 p adnan
</t>
        </r>
      </text>
    </comment>
    <comment ref="H170" authorId="0" shapeId="0">
      <text>
        <r>
          <rPr>
            <b/>
            <sz val="9"/>
            <color indexed="81"/>
            <rFont val="Tahoma"/>
            <family val="2"/>
          </rPr>
          <t xml:space="preserve">maret repacking pameran 2017 p adnan
</t>
        </r>
      </text>
    </comment>
    <comment ref="H171" authorId="0" shapeId="0">
      <text>
        <r>
          <rPr>
            <b/>
            <sz val="9"/>
            <color indexed="81"/>
            <rFont val="Tahoma"/>
            <family val="2"/>
          </rPr>
          <t xml:space="preserve">maret repacking pameran 2017 p adnan
</t>
        </r>
      </text>
    </comment>
    <comment ref="H178" authorId="0" shapeId="0">
      <text>
        <r>
          <rPr>
            <b/>
            <sz val="9"/>
            <color indexed="81"/>
            <rFont val="Tahoma"/>
            <family val="2"/>
          </rPr>
          <t xml:space="preserve">maret repacking pameran 2017 p adnan
</t>
        </r>
      </text>
    </comment>
    <comment ref="H179" authorId="0" shapeId="0">
      <text>
        <r>
          <rPr>
            <b/>
            <sz val="9"/>
            <color indexed="81"/>
            <rFont val="Tahoma"/>
            <family val="2"/>
          </rPr>
          <t xml:space="preserve">maret repacking pameran 2017 p adnan
</t>
        </r>
      </text>
    </comment>
    <comment ref="H180" authorId="0" shapeId="0">
      <text>
        <r>
          <rPr>
            <b/>
            <sz val="9"/>
            <color indexed="81"/>
            <rFont val="Tahoma"/>
            <family val="2"/>
          </rPr>
          <t xml:space="preserve">maret repacking pameran 2017 p adnan
</t>
        </r>
      </text>
    </comment>
    <comment ref="H182" authorId="0" shapeId="0">
      <text>
        <r>
          <rPr>
            <b/>
            <sz val="9"/>
            <color indexed="81"/>
            <rFont val="Tahoma"/>
            <family val="2"/>
          </rPr>
          <t xml:space="preserve">maret repacking pameran 2017 p adnan
</t>
        </r>
      </text>
    </comment>
    <comment ref="H184" authorId="0" shapeId="0">
      <text>
        <r>
          <rPr>
            <b/>
            <sz val="9"/>
            <color indexed="81"/>
            <rFont val="Tahoma"/>
            <family val="2"/>
          </rPr>
          <t xml:space="preserve">maret repacking pameran 2017 p adnan
</t>
        </r>
      </text>
    </comment>
    <comment ref="H185" authorId="0" shapeId="0">
      <text>
        <r>
          <rPr>
            <b/>
            <sz val="9"/>
            <color indexed="81"/>
            <rFont val="Tahoma"/>
            <family val="2"/>
          </rPr>
          <t xml:space="preserve">maret repacking pameran 2017 p adnan
</t>
        </r>
      </text>
    </comment>
    <comment ref="H186" authorId="0" shapeId="0">
      <text>
        <r>
          <rPr>
            <b/>
            <sz val="9"/>
            <color indexed="81"/>
            <rFont val="Tahoma"/>
            <family val="2"/>
          </rPr>
          <t xml:space="preserve">maret repacking pameran 2017 p adnan
</t>
        </r>
      </text>
    </comment>
    <comment ref="F193" authorId="0" shapeId="0">
      <text>
        <r>
          <rPr>
            <b/>
            <sz val="9"/>
            <color indexed="81"/>
            <rFont val="Tahoma"/>
            <family val="2"/>
          </rPr>
          <t>okt 17
per 1 manual / komp 40.755</t>
        </r>
        <r>
          <rPr>
            <sz val="9"/>
            <color indexed="81"/>
            <rFont val="Tahoma"/>
            <family val="2"/>
          </rPr>
          <t xml:space="preserve">
des 17 = 1,070
jan18 = 2.960</t>
        </r>
      </text>
    </comment>
    <comment ref="M193" authorId="0" shapeId="0">
      <text>
        <r>
          <rPr>
            <b/>
            <sz val="9"/>
            <color indexed="81"/>
            <rFont val="Tahoma"/>
            <family val="2"/>
          </rPr>
          <t>des gb kelinci 1500 x2760 dan rp 3,000 x 2760</t>
        </r>
        <r>
          <rPr>
            <sz val="9"/>
            <color indexed="81"/>
            <rFont val="Tahoma"/>
            <family val="2"/>
          </rPr>
          <t xml:space="preserve">
</t>
        </r>
      </text>
    </comment>
    <comment ref="F194" authorId="0" shapeId="0">
      <text>
        <r>
          <rPr>
            <b/>
            <sz val="9"/>
            <color indexed="81"/>
            <rFont val="Tahoma"/>
            <family val="2"/>
          </rPr>
          <t>okt 17
per 1 manual / komp 14.722</t>
        </r>
      </text>
    </comment>
    <comment ref="H194" authorId="0" shapeId="0">
      <text>
        <r>
          <rPr>
            <b/>
            <sz val="9"/>
            <color indexed="81"/>
            <rFont val="Tahoma"/>
            <family val="2"/>
          </rPr>
          <t xml:space="preserve">okt def 3000
</t>
        </r>
      </text>
    </comment>
    <comment ref="F195" authorId="0" shapeId="0">
      <text>
        <r>
          <rPr>
            <b/>
            <sz val="9"/>
            <color indexed="81"/>
            <rFont val="Tahoma"/>
            <family val="2"/>
          </rPr>
          <t>okt 17
per 1 manual / komp 59.269
des17 = 1,000</t>
        </r>
      </text>
    </comment>
    <comment ref="F196" authorId="0" shapeId="0">
      <text>
        <r>
          <rPr>
            <b/>
            <sz val="9"/>
            <color indexed="81"/>
            <rFont val="Tahoma"/>
            <family val="2"/>
          </rPr>
          <t>okt 17
per 1 manual / komp 89.620</t>
        </r>
      </text>
    </comment>
    <comment ref="F197" authorId="0" shapeId="0">
      <text>
        <r>
          <rPr>
            <sz val="9"/>
            <color indexed="81"/>
            <rFont val="Tahoma"/>
            <family val="2"/>
          </rPr>
          <t xml:space="preserve">
okt 17
per 1 manual / komp 41.133</t>
        </r>
      </text>
    </comment>
    <comment ref="F198" authorId="0" shapeId="0">
      <text>
        <r>
          <rPr>
            <b/>
            <sz val="9"/>
            <color indexed="81"/>
            <rFont val="Tahoma"/>
            <family val="2"/>
          </rPr>
          <t>okt 17
per 1 manual / komp 40.462</t>
        </r>
      </text>
    </comment>
    <comment ref="F199" authorId="0" shapeId="0">
      <text>
        <r>
          <rPr>
            <b/>
            <sz val="9"/>
            <color indexed="81"/>
            <rFont val="Tahoma"/>
            <family val="2"/>
          </rPr>
          <t xml:space="preserve">okt 17
per 1 manual / komp 60.815
des17 = 2,000
</t>
        </r>
      </text>
    </comment>
    <comment ref="F200" authorId="0" shapeId="0">
      <text>
        <r>
          <rPr>
            <b/>
            <sz val="9"/>
            <color indexed="81"/>
            <rFont val="Tahoma"/>
            <family val="2"/>
          </rPr>
          <t xml:space="preserve">okt 17
per 1 manual / komp 74.066
des17=1600
</t>
        </r>
      </text>
    </comment>
    <comment ref="F201" authorId="0" shapeId="0">
      <text>
        <r>
          <rPr>
            <b/>
            <sz val="9"/>
            <color indexed="81"/>
            <rFont val="Tahoma"/>
            <family val="2"/>
          </rPr>
          <t>okt 17
per 1 manual / komp 54.937</t>
        </r>
      </text>
    </comment>
    <comment ref="F202" authorId="0" shapeId="0">
      <text>
        <r>
          <rPr>
            <b/>
            <sz val="9"/>
            <color indexed="81"/>
            <rFont val="Tahoma"/>
            <family val="2"/>
          </rPr>
          <t>okt 17
per 1 manual / komp 247.921</t>
        </r>
      </text>
    </comment>
    <comment ref="F203" authorId="0" shapeId="0">
      <text>
        <r>
          <rPr>
            <b/>
            <sz val="9"/>
            <color indexed="81"/>
            <rFont val="Tahoma"/>
            <family val="2"/>
          </rPr>
          <t xml:space="preserve">okt 17
per 1 manual / komp 570.413
des17 =12,800
</t>
        </r>
      </text>
    </comment>
    <comment ref="H203" authorId="0" shapeId="0">
      <text>
        <r>
          <rPr>
            <b/>
            <sz val="9"/>
            <color indexed="81"/>
            <rFont val="Tahoma"/>
            <family val="2"/>
          </rPr>
          <t>KAP jan 18 koreksi 15,752
tapi cek lagi fisik , ada MS masuk ke prko</t>
        </r>
      </text>
    </comment>
    <comment ref="F204" authorId="0" shapeId="0">
      <text>
        <r>
          <rPr>
            <b/>
            <sz val="9"/>
            <color indexed="81"/>
            <rFont val="Tahoma"/>
            <family val="2"/>
          </rPr>
          <t>okt 17
per 1 manual / komp 108.732</t>
        </r>
      </text>
    </comment>
    <comment ref="F205" authorId="0" shapeId="0">
      <text>
        <r>
          <rPr>
            <b/>
            <sz val="9"/>
            <color indexed="81"/>
            <rFont val="Tahoma"/>
            <family val="2"/>
          </rPr>
          <t>okt 17
per 1 manual / komp 372.490</t>
        </r>
      </text>
    </comment>
    <comment ref="F206" authorId="0" shapeId="0">
      <text>
        <r>
          <rPr>
            <b/>
            <sz val="9"/>
            <color indexed="81"/>
            <rFont val="Tahoma"/>
            <family val="2"/>
          </rPr>
          <t>okt 17
per 1 manual / komp 52.135</t>
        </r>
      </text>
    </comment>
    <comment ref="F207" authorId="0" shapeId="0">
      <text>
        <r>
          <rPr>
            <b/>
            <sz val="9"/>
            <color indexed="81"/>
            <rFont val="Tahoma"/>
            <family val="2"/>
          </rPr>
          <t>okt 17
per 1 manual / komp 256.337</t>
        </r>
      </text>
    </comment>
    <comment ref="F208" authorId="0" shapeId="0">
      <text>
        <r>
          <rPr>
            <b/>
            <sz val="9"/>
            <color indexed="81"/>
            <rFont val="Tahoma"/>
            <family val="2"/>
          </rPr>
          <t>okt 17
per 1 manual / komp 368.174
des17= 5,000</t>
        </r>
      </text>
    </comment>
    <comment ref="F209" authorId="0" shapeId="0">
      <text>
        <r>
          <rPr>
            <b/>
            <sz val="9"/>
            <color indexed="81"/>
            <rFont val="Tahoma"/>
            <family val="2"/>
          </rPr>
          <t>okt 17
per 1 manual / komp 412.106
des17= 6,000</t>
        </r>
      </text>
    </comment>
    <comment ref="F210" authorId="0" shapeId="0">
      <text>
        <r>
          <rPr>
            <b/>
            <sz val="9"/>
            <color indexed="81"/>
            <rFont val="Tahoma"/>
            <family val="2"/>
          </rPr>
          <t>okt 17
per 1 manual / komp
93.923</t>
        </r>
      </text>
    </comment>
    <comment ref="F211" authorId="0" shapeId="0">
      <text>
        <r>
          <rPr>
            <b/>
            <sz val="9"/>
            <color indexed="81"/>
            <rFont val="Tahoma"/>
            <family val="2"/>
          </rPr>
          <t xml:space="preserve">okt 17
per 1 manual / komp 509.119
</t>
        </r>
        <r>
          <rPr>
            <sz val="9"/>
            <color indexed="81"/>
            <rFont val="Tahoma"/>
            <family val="2"/>
          </rPr>
          <t xml:space="preserve">
</t>
        </r>
      </text>
    </comment>
    <comment ref="F218" authorId="0" shapeId="0">
      <text>
        <r>
          <rPr>
            <b/>
            <sz val="9"/>
            <color indexed="81"/>
            <rFont val="Tahoma"/>
            <family val="2"/>
          </rPr>
          <t>okt 17
per 1 manual / komp 215,530
des17 = 7,086</t>
        </r>
      </text>
    </comment>
    <comment ref="F219" authorId="0" shapeId="0">
      <text>
        <r>
          <rPr>
            <b/>
            <sz val="9"/>
            <color indexed="81"/>
            <rFont val="Tahoma"/>
            <family val="2"/>
          </rPr>
          <t xml:space="preserve">okt 17
per 1 manual / komp 428,819
des17= 19,098
</t>
        </r>
      </text>
    </comment>
    <comment ref="F221" authorId="0" shapeId="0">
      <text>
        <r>
          <rPr>
            <b/>
            <sz val="9"/>
            <color indexed="81"/>
            <rFont val="Tahoma"/>
            <family val="2"/>
          </rPr>
          <t>okt 17
per 1 manual / komp 10,956
des'17= 1.786</t>
        </r>
      </text>
    </comment>
    <comment ref="F222" authorId="0" shapeId="0">
      <text>
        <r>
          <rPr>
            <b/>
            <sz val="9"/>
            <color indexed="81"/>
            <rFont val="Tahoma"/>
            <family val="2"/>
          </rPr>
          <t>okt 17
per 1 manual / komp 400,041
des17=9,408</t>
        </r>
      </text>
    </comment>
    <comment ref="H222" authorId="0" shapeId="0">
      <text>
        <r>
          <rPr>
            <b/>
            <sz val="9"/>
            <color indexed="81"/>
            <rFont val="Tahoma"/>
            <family val="2"/>
          </rPr>
          <t>sept 74.400</t>
        </r>
      </text>
    </comment>
    <comment ref="F223" authorId="0" shapeId="0">
      <text>
        <r>
          <rPr>
            <b/>
            <sz val="9"/>
            <color indexed="81"/>
            <rFont val="Tahoma"/>
            <family val="2"/>
          </rPr>
          <t xml:space="preserve">okt 17
per 1 manual / komp 110,207
des17=3,338
</t>
        </r>
      </text>
    </comment>
    <comment ref="B224" authorId="0" shapeId="0">
      <text>
        <r>
          <rPr>
            <b/>
            <sz val="9"/>
            <color indexed="81"/>
            <rFont val="Tahoma"/>
            <family val="2"/>
          </rPr>
          <t>di konsfila
Prko Kain Tradisional Indonesia (II) 2012 #7 SERI5</t>
        </r>
      </text>
    </comment>
    <comment ref="F224" authorId="0" shapeId="0">
      <text>
        <r>
          <rPr>
            <b/>
            <sz val="9"/>
            <color indexed="81"/>
            <rFont val="Tahoma"/>
            <family val="2"/>
          </rPr>
          <t xml:space="preserve">18-7-2016
di g15format sblm nya ga ada, (kain#3)
di g2c pun ga ada.
Di g2c usw akan di entri di kain 24 prop.
Format di 2017 akan dirubah total disesuaikan dengan jenis bfl yang pernah tebit
</t>
        </r>
        <r>
          <rPr>
            <sz val="9"/>
            <color indexed="81"/>
            <rFont val="Tahoma"/>
            <family val="2"/>
          </rPr>
          <t xml:space="preserve">
kain #3 18-07-2016 utk wno
dari bna dus 127
bangunan ibadah 18 juli 10.000 kpg = 2.000 set = jku dus 148
</t>
        </r>
        <r>
          <rPr>
            <b/>
            <sz val="9"/>
            <color indexed="81"/>
            <rFont val="Tahoma"/>
            <family val="2"/>
          </rPr>
          <t>okt 17
per 1 manual / komp 37,682
des 17 = 1,990</t>
        </r>
      </text>
    </comment>
    <comment ref="C225" authorId="0" shapeId="0">
      <text>
        <r>
          <rPr>
            <b/>
            <sz val="9"/>
            <color indexed="81"/>
            <rFont val="Tahoma"/>
            <family val="2"/>
          </rPr>
          <t>sebelumnya rp 10.000 (harga 1set), sedangkan angka bilangan adalah hitungan keping. Jadi dirubah di akhir desember menjadi bsu rp 2.500 menyesuaikan hitungan angka perkalian angka bilangan keping</t>
        </r>
      </text>
    </comment>
    <comment ref="F225" authorId="0" shapeId="0">
      <text>
        <r>
          <rPr>
            <b/>
            <sz val="9"/>
            <color indexed="81"/>
            <rFont val="Tahoma"/>
            <family val="2"/>
          </rPr>
          <t xml:space="preserve">okt 17
per 1 manual / komp 386.103
des17 = 6.852
dipalastik aya tulisan 1,656
dicek ulang 1,482 set = 5,928
ditambahkan entri 5928-1656=4,272
</t>
        </r>
      </text>
    </comment>
    <comment ref="F226" authorId="0" shapeId="0">
      <text>
        <r>
          <rPr>
            <b/>
            <sz val="9"/>
            <color indexed="81"/>
            <rFont val="Tahoma"/>
            <family val="2"/>
          </rPr>
          <t>okt 17
per 1 manual / komp 120,397
des17= 4.000</t>
        </r>
      </text>
    </comment>
    <comment ref="F227" authorId="0" shapeId="0">
      <text>
        <r>
          <rPr>
            <b/>
            <sz val="9"/>
            <color indexed="81"/>
            <rFont val="Tahoma"/>
            <family val="2"/>
          </rPr>
          <t>okt 17
per 1 manual / komp 163,983
des17= 3552</t>
        </r>
      </text>
    </comment>
    <comment ref="F228" authorId="0" shapeId="0">
      <text>
        <r>
          <rPr>
            <b/>
            <sz val="9"/>
            <color indexed="81"/>
            <rFont val="Tahoma"/>
            <family val="2"/>
          </rPr>
          <t>okt 17
per 1 manual / komp 111.618
des'17= 4000</t>
        </r>
      </text>
    </comment>
    <comment ref="F229" authorId="0" shapeId="0">
      <text>
        <r>
          <rPr>
            <b/>
            <sz val="9"/>
            <color indexed="81"/>
            <rFont val="Tahoma"/>
            <family val="2"/>
          </rPr>
          <t>okt 17
per 1 manual / komp 278,313
des17 =4.716</t>
        </r>
      </text>
    </comment>
    <comment ref="F230" authorId="0" shapeId="0">
      <text>
        <r>
          <rPr>
            <b/>
            <sz val="9"/>
            <color indexed="81"/>
            <rFont val="Tahoma"/>
            <family val="2"/>
          </rPr>
          <t>okt 17
per 1 manual / komp 
161,706 kpg : 2 gambar
des'17 kpg : 2 = 2.367</t>
        </r>
      </text>
    </comment>
    <comment ref="F231" authorId="0" shapeId="0">
      <text>
        <r>
          <rPr>
            <b/>
            <sz val="9"/>
            <color indexed="81"/>
            <rFont val="Tahoma"/>
            <family val="2"/>
          </rPr>
          <t>okt 17
per 1 manual / komp 
161,706 kpg : 2 gambar
des'17 kpg : 2 = 2.367</t>
        </r>
      </text>
    </comment>
    <comment ref="F232" authorId="0" shapeId="0">
      <text>
        <r>
          <rPr>
            <b/>
            <sz val="9"/>
            <color indexed="81"/>
            <rFont val="Tahoma"/>
            <family val="2"/>
          </rPr>
          <t>okt 17
per 1 manual / komp 493,496
des17 = 9.795</t>
        </r>
      </text>
    </comment>
    <comment ref="F239" authorId="0" shapeId="0">
      <text>
        <r>
          <rPr>
            <b/>
            <sz val="9"/>
            <color indexed="81"/>
            <rFont val="Tahoma"/>
            <family val="2"/>
          </rPr>
          <t>retouran juli 2017
282,884 
set</t>
        </r>
        <r>
          <rPr>
            <sz val="9"/>
            <color indexed="81"/>
            <rFont val="Tahoma"/>
            <family val="2"/>
          </rPr>
          <t xml:space="preserve">
(848,652 kpg : 3 = 282,884)
</t>
        </r>
        <r>
          <rPr>
            <b/>
            <sz val="9"/>
            <color indexed="81"/>
            <rFont val="Tahoma"/>
            <family val="2"/>
          </rPr>
          <t>okt'17
723,648 kpg + 872,139 kpg = 1,595,787 kpg dibagi 3 utk jml set = 531,929 per gambarnya</t>
        </r>
      </text>
    </comment>
    <comment ref="H239" authorId="0" shapeId="0">
      <text>
        <r>
          <rPr>
            <b/>
            <sz val="9"/>
            <color indexed="81"/>
            <rFont val="Tahoma"/>
            <family val="2"/>
          </rPr>
          <t xml:space="preserve">koreksi salah kaidah pencatatan .. Total keping cocok 108,672 keping seharusnya 108,672 kpg : 3 karena coupurenya beda2 28-12-2016
koreksi 72,448
</t>
        </r>
        <r>
          <rPr>
            <sz val="9"/>
            <color indexed="81"/>
            <rFont val="Tahoma"/>
            <family val="2"/>
          </rPr>
          <t xml:space="preserve">
sama dengan pencatatat dan fisik di per 1 hitungan nya keping</t>
        </r>
      </text>
    </comment>
    <comment ref="F240" authorId="0" shapeId="0">
      <text>
        <r>
          <rPr>
            <b/>
            <sz val="9"/>
            <color indexed="81"/>
            <rFont val="Tahoma"/>
            <family val="2"/>
          </rPr>
          <t>retouran juli 2017
282,884 
set</t>
        </r>
        <r>
          <rPr>
            <sz val="9"/>
            <color indexed="81"/>
            <rFont val="Tahoma"/>
            <family val="2"/>
          </rPr>
          <t xml:space="preserve">
(848,652 kpg : 3 = 282,884)
</t>
        </r>
        <r>
          <rPr>
            <b/>
            <sz val="9"/>
            <color indexed="81"/>
            <rFont val="Tahoma"/>
            <family val="2"/>
          </rPr>
          <t>okt'17
723,648 kpg + 872,139 kpg = 1,595,787 kpg dibagi 3 utk jml set = 531,929 per gambarnya</t>
        </r>
      </text>
    </comment>
    <comment ref="F241" authorId="0" shapeId="0">
      <text>
        <r>
          <rPr>
            <b/>
            <sz val="9"/>
            <color indexed="81"/>
            <rFont val="Tahoma"/>
            <family val="2"/>
          </rPr>
          <t>retouran juli 2017
282,884 
set</t>
        </r>
        <r>
          <rPr>
            <sz val="9"/>
            <color indexed="81"/>
            <rFont val="Tahoma"/>
            <family val="2"/>
          </rPr>
          <t xml:space="preserve">
(848,652 kpg : 3 = 282,884)
</t>
        </r>
        <r>
          <rPr>
            <b/>
            <sz val="9"/>
            <color indexed="81"/>
            <rFont val="Tahoma"/>
            <family val="2"/>
          </rPr>
          <t>okt'17
723,648 kpg + 872,139 kpg = 1,595,787 kpg dibagi 3 utk jml set = 531,929 per gambarnya</t>
        </r>
      </text>
    </comment>
    <comment ref="C242" authorId="0" shapeId="0">
      <text>
        <r>
          <rPr>
            <b/>
            <sz val="9"/>
            <color indexed="81"/>
            <rFont val="Tahoma"/>
            <family val="2"/>
          </rPr>
          <t xml:space="preserve">tadinya rp 5.000 (harga 1 set). Sedangkan angka penghitungannya adalah bilangan keping, jadi disesuaikan di akhir desember 2015 menjadi rp 2.500 sesuai dengan harga per keping
</t>
        </r>
      </text>
    </comment>
    <comment ref="F242" authorId="0" shapeId="0">
      <text>
        <r>
          <rPr>
            <b/>
            <sz val="9"/>
            <color indexed="81"/>
            <rFont val="Tahoma"/>
            <family val="2"/>
          </rPr>
          <t>1agst17 dr brg ret 2000 kpg</t>
        </r>
        <r>
          <rPr>
            <sz val="9"/>
            <color indexed="81"/>
            <rFont val="Tahoma"/>
            <family val="2"/>
          </rPr>
          <t xml:space="preserve">
okt 17
per 1 manual / komp 117.029
des'17 = 2.000</t>
        </r>
      </text>
    </comment>
    <comment ref="H242" authorId="0" shapeId="0">
      <text>
        <r>
          <rPr>
            <b/>
            <sz val="9"/>
            <color indexed="81"/>
            <rFont val="Tahoma"/>
            <family val="2"/>
          </rPr>
          <t>nov pengalihan 3980</t>
        </r>
        <r>
          <rPr>
            <sz val="9"/>
            <color indexed="81"/>
            <rFont val="Tahoma"/>
            <family val="2"/>
          </rPr>
          <t xml:space="preserve">
feb 17 pengalihan 10.000</t>
        </r>
      </text>
    </comment>
    <comment ref="F243" authorId="0" shapeId="0">
      <text>
        <r>
          <rPr>
            <b/>
            <sz val="9"/>
            <color indexed="81"/>
            <rFont val="Tahoma"/>
            <family val="2"/>
          </rPr>
          <t>retouran juli 2017
66,360 kpg : 2 = 
set</t>
        </r>
        <r>
          <rPr>
            <sz val="9"/>
            <color indexed="81"/>
            <rFont val="Tahoma"/>
            <family val="2"/>
          </rPr>
          <t xml:space="preserve">
27 okt di periksa ulang, hitungan g2c bukan set tapi keping. 
Oleh karena itu dibulan okt di isi  33,180
bulan juli udh di entri 33,180
33,180+33,180 = 66,360 keping sesuai di per 1
1 keping rp 8.000 , 1 set 16.000
</t>
        </r>
        <r>
          <rPr>
            <b/>
            <sz val="9"/>
            <color indexed="81"/>
            <rFont val="Tahoma"/>
            <family val="2"/>
          </rPr>
          <t>okt 17
per 1 manual / komp 357.344
33.180 + 357.344  = 390.524
des'17 = 2.000</t>
        </r>
      </text>
    </comment>
    <comment ref="H243" authorId="0" shapeId="0">
      <text>
        <r>
          <rPr>
            <b/>
            <sz val="9"/>
            <color indexed="81"/>
            <rFont val="Tahoma"/>
            <family val="2"/>
          </rPr>
          <t>26 juni 2017
repacking pameran dunia 12.000</t>
        </r>
      </text>
    </comment>
    <comment ref="F244" authorId="0" shapeId="0">
      <text>
        <r>
          <rPr>
            <b/>
            <sz val="9"/>
            <color indexed="81"/>
            <rFont val="Tahoma"/>
            <family val="2"/>
          </rPr>
          <t xml:space="preserve">retouran juli 2017
363,297 kpg : 11 = 
set = 33.027 
per 1 komp ret di entri des 17 = 206.170 set
2.267.870 kpg
</t>
        </r>
      </text>
    </comment>
    <comment ref="H244" authorId="0" shapeId="0">
      <text>
        <r>
          <rPr>
            <b/>
            <sz val="9"/>
            <color indexed="81"/>
            <rFont val="Tahoma"/>
            <family val="2"/>
          </rPr>
          <t>di isi 188.000 krn bsu perkalian rp 30.000 adalah Set. Sedangkan angka bilangan adalah hitungan keping, maka angka bilangan disesuaikan dengan bilngan SET (18.800 set)</t>
        </r>
      </text>
    </comment>
    <comment ref="F245" authorId="0" shapeId="0">
      <text>
        <r>
          <rPr>
            <b/>
            <sz val="9"/>
            <color indexed="81"/>
            <rFont val="Tahoma"/>
            <family val="2"/>
          </rPr>
          <t>okt 17
per 1 manual / komp 104.498</t>
        </r>
        <r>
          <rPr>
            <sz val="9"/>
            <color indexed="81"/>
            <rFont val="Tahoma"/>
            <family val="2"/>
          </rPr>
          <t xml:space="preserve">
des'17 = 2.400</t>
        </r>
      </text>
    </comment>
    <comment ref="C246" authorId="0" shapeId="0">
      <text>
        <r>
          <rPr>
            <b/>
            <sz val="9"/>
            <color indexed="81"/>
            <rFont val="Tahoma"/>
            <family val="2"/>
          </rPr>
          <t>tadinya rp 7.500 (harga 1 set). Sedangkan angka penghitungannya adalah bilangan keping, jadi disesuaikan di akhir desember 2015 menjadi rp 2.500 sesuai dengan harga per keping</t>
        </r>
      </text>
    </comment>
    <comment ref="F246" authorId="0" shapeId="0">
      <text>
        <r>
          <rPr>
            <b/>
            <sz val="9"/>
            <color indexed="81"/>
            <rFont val="Tahoma"/>
            <family val="2"/>
          </rPr>
          <t>okt 17
per 1 manual / komp 507.333
des'17 = 2.400</t>
        </r>
      </text>
    </comment>
    <comment ref="F247" authorId="0" shapeId="0">
      <text>
        <r>
          <rPr>
            <b/>
            <sz val="9"/>
            <color indexed="81"/>
            <rFont val="Tahoma"/>
            <family val="2"/>
          </rPr>
          <t xml:space="preserve">okt 17
per 1 manual / komp 184.730
</t>
        </r>
      </text>
    </comment>
    <comment ref="F248" authorId="0" shapeId="0">
      <text>
        <r>
          <rPr>
            <b/>
            <sz val="9"/>
            <color indexed="81"/>
            <rFont val="Tahoma"/>
            <family val="2"/>
          </rPr>
          <t>okt 17
per 1 manual / komp 176.512
des'17 = 2.000</t>
        </r>
      </text>
    </comment>
    <comment ref="F249" authorId="0" shapeId="0">
      <text>
        <r>
          <rPr>
            <b/>
            <sz val="9"/>
            <color indexed="81"/>
            <rFont val="Tahoma"/>
            <family val="2"/>
          </rPr>
          <t xml:space="preserve">di g2c hitungan nya SET
okt 17
per 1 manual / komp 345.968 kpg :2 = 172.984.
</t>
        </r>
      </text>
    </comment>
    <comment ref="H249" authorId="0" shapeId="0">
      <text>
        <r>
          <rPr>
            <b/>
            <sz val="9"/>
            <color indexed="81"/>
            <rFont val="Tahoma"/>
            <family val="2"/>
          </rPr>
          <t>21jan18 p adnan 20 set</t>
        </r>
      </text>
    </comment>
    <comment ref="F250" authorId="0" shapeId="0">
      <text>
        <r>
          <rPr>
            <b/>
            <sz val="9"/>
            <color indexed="81"/>
            <rFont val="Tahoma"/>
            <family val="2"/>
          </rPr>
          <t>okt 17
per 1 manual / komp 159.674 : 2 = 79.837</t>
        </r>
      </text>
    </comment>
    <comment ref="F251" authorId="0" shapeId="0">
      <text>
        <r>
          <rPr>
            <b/>
            <sz val="9"/>
            <color indexed="81"/>
            <rFont val="Tahoma"/>
            <family val="2"/>
          </rPr>
          <t>okt 17
per 1 manual / komp 159.674 : 2 = 79.837</t>
        </r>
      </text>
    </comment>
    <comment ref="F252" authorId="0" shapeId="0">
      <text>
        <r>
          <rPr>
            <b/>
            <sz val="9"/>
            <color indexed="81"/>
            <rFont val="Tahoma"/>
            <family val="2"/>
          </rPr>
          <t>okt 17
per 1 manual / komp 408.383</t>
        </r>
      </text>
    </comment>
    <comment ref="F253" authorId="0" shapeId="0">
      <text>
        <r>
          <rPr>
            <b/>
            <sz val="9"/>
            <color indexed="81"/>
            <rFont val="Tahoma"/>
            <family val="2"/>
          </rPr>
          <t>agustus 2017 = 5000 set prko garuda tahun 2013. habis kolom nya</t>
        </r>
        <r>
          <rPr>
            <sz val="9"/>
            <color indexed="81"/>
            <rFont val="Tahoma"/>
            <family val="2"/>
          </rPr>
          <t xml:space="preserve">
</t>
        </r>
      </text>
    </comment>
    <comment ref="F254" authorId="0" shapeId="0">
      <text>
        <r>
          <rPr>
            <b/>
            <sz val="9"/>
            <color indexed="81"/>
            <rFont val="Tahoma"/>
            <family val="2"/>
          </rPr>
          <t>okt 17
per 1 manual / komp  537.451</t>
        </r>
      </text>
    </comment>
    <comment ref="F255" authorId="0" shapeId="0">
      <text>
        <r>
          <rPr>
            <b/>
            <sz val="9"/>
            <color indexed="81"/>
            <rFont val="Tahoma"/>
            <family val="2"/>
          </rPr>
          <t>juni retouran 1200
ret sep 200</t>
        </r>
        <r>
          <rPr>
            <sz val="9"/>
            <color indexed="81"/>
            <rFont val="Tahoma"/>
            <family val="2"/>
          </rPr>
          <t xml:space="preserve">
okt 17
per 1 manual / komp 229.680</t>
        </r>
      </text>
    </comment>
    <comment ref="M263" authorId="0" shapeId="0">
      <text>
        <r>
          <rPr>
            <b/>
            <sz val="9"/>
            <color indexed="81"/>
            <rFont val="Tahoma"/>
            <family val="2"/>
          </rPr>
          <t xml:space="preserve">des shio kuda 3200 set =
9600 keping
</t>
        </r>
        <r>
          <rPr>
            <sz val="9"/>
            <color indexed="81"/>
            <rFont val="Tahoma"/>
            <family val="2"/>
          </rPr>
          <t xml:space="preserve">
</t>
        </r>
      </text>
    </comment>
    <comment ref="H275" authorId="0" shapeId="0">
      <text>
        <r>
          <rPr>
            <b/>
            <sz val="9"/>
            <color indexed="81"/>
            <rFont val="Tahoma"/>
            <family val="2"/>
          </rPr>
          <t>7500 pengalihan def</t>
        </r>
        <r>
          <rPr>
            <sz val="9"/>
            <color indexed="81"/>
            <rFont val="Tahoma"/>
            <family val="2"/>
          </rPr>
          <t xml:space="preserve">
</t>
        </r>
      </text>
    </comment>
    <comment ref="P305" authorId="0" shapeId="0">
      <text>
        <r>
          <rPr>
            <b/>
            <sz val="9"/>
            <color indexed="81"/>
            <rFont val="Tahoma"/>
            <family val="2"/>
          </rPr>
          <t>kifa shp</t>
        </r>
        <r>
          <rPr>
            <sz val="9"/>
            <color indexed="81"/>
            <rFont val="Tahoma"/>
            <family val="2"/>
          </rPr>
          <t xml:space="preserve">
</t>
        </r>
      </text>
    </comment>
    <comment ref="C306" authorId="0" shapeId="0">
      <text>
        <r>
          <rPr>
            <b/>
            <sz val="9"/>
            <color indexed="81"/>
            <rFont val="Tahoma"/>
            <family val="2"/>
          </rPr>
          <t>1 set =6 kpg
1 fs = 4 set = 24 kpg</t>
        </r>
        <r>
          <rPr>
            <sz val="9"/>
            <color indexed="81"/>
            <rFont val="Tahoma"/>
            <family val="2"/>
          </rPr>
          <t xml:space="preserve">
</t>
        </r>
      </text>
    </comment>
    <comment ref="F306" authorId="0" shapeId="0">
      <text>
        <r>
          <rPr>
            <b/>
            <sz val="9"/>
            <color indexed="81"/>
            <rFont val="Tahoma"/>
            <family val="2"/>
          </rPr>
          <t xml:space="preserve">jan dialihkan dari def ke filateli utk kfj
4.000 set + 4000
</t>
        </r>
      </text>
    </comment>
    <comment ref="H306" authorId="0" shapeId="0">
      <text>
        <r>
          <rPr>
            <b/>
            <sz val="9"/>
            <color indexed="81"/>
            <rFont val="Tahoma"/>
            <family val="2"/>
          </rPr>
          <t xml:space="preserve">139.720 pengalihan def
</t>
        </r>
      </text>
    </comment>
    <comment ref="F307" authorId="0" shapeId="0">
      <text>
        <r>
          <rPr>
            <b/>
            <sz val="9"/>
            <color indexed="81"/>
            <rFont val="Tahoma"/>
            <family val="2"/>
          </rPr>
          <t>agustus 2017 = 5000 set prko garuda tahun 2013. habis kolom nya</t>
        </r>
        <r>
          <rPr>
            <sz val="9"/>
            <color indexed="81"/>
            <rFont val="Tahoma"/>
            <family val="2"/>
          </rPr>
          <t xml:space="preserve">
</t>
        </r>
      </text>
    </comment>
    <comment ref="F315" authorId="0" shapeId="0">
      <text>
        <r>
          <rPr>
            <b/>
            <sz val="9"/>
            <color indexed="81"/>
            <rFont val="Tahoma"/>
            <family val="2"/>
          </rPr>
          <t>50.000 LBR X 8 SET</t>
        </r>
        <r>
          <rPr>
            <sz val="9"/>
            <color indexed="81"/>
            <rFont val="Tahoma"/>
            <family val="2"/>
          </rPr>
          <t xml:space="preserve">
</t>
        </r>
      </text>
    </comment>
    <comment ref="F316" authorId="0" shapeId="0">
      <text>
        <r>
          <rPr>
            <b/>
            <sz val="9"/>
            <color indexed="81"/>
            <rFont val="Tahoma"/>
            <family val="2"/>
          </rPr>
          <t xml:space="preserve">30.000 lbr
</t>
        </r>
        <r>
          <rPr>
            <sz val="9"/>
            <color indexed="81"/>
            <rFont val="Tahoma"/>
            <family val="2"/>
          </rPr>
          <t xml:space="preserve">
</t>
        </r>
      </text>
    </comment>
    <comment ref="F317" authorId="0" shapeId="0">
      <text>
        <r>
          <rPr>
            <b/>
            <sz val="9"/>
            <color indexed="81"/>
            <rFont val="Tahoma"/>
            <family val="2"/>
          </rPr>
          <t xml:space="preserve">990,000
10,000 tanpa perforasi (500 lbr)
</t>
        </r>
        <r>
          <rPr>
            <sz val="9"/>
            <color indexed="81"/>
            <rFont val="Tahoma"/>
            <family val="2"/>
          </rPr>
          <t xml:space="preserve">
</t>
        </r>
      </text>
    </comment>
    <comment ref="H317" authorId="0" shapeId="0">
      <text>
        <r>
          <rPr>
            <b/>
            <sz val="9"/>
            <color indexed="81"/>
            <rFont val="Tahoma"/>
            <family val="2"/>
          </rPr>
          <t>13 agustus imperf prod 10.000 set</t>
        </r>
      </text>
    </comment>
    <comment ref="F318" authorId="0" shapeId="0">
      <text>
        <r>
          <rPr>
            <b/>
            <sz val="9"/>
            <color indexed="81"/>
            <rFont val="Tahoma"/>
            <family val="2"/>
          </rPr>
          <t>jun 10.000 lbr 
1 fs 8 set
8 x 10.000 = 80.000</t>
        </r>
      </text>
    </comment>
    <comment ref="F319" authorId="0" shapeId="0">
      <text>
        <r>
          <rPr>
            <b/>
            <sz val="9"/>
            <color indexed="81"/>
            <rFont val="Tahoma"/>
            <family val="2"/>
          </rPr>
          <t>juni 2017
29.500 lbr x 10 = 295.000 set
imperf 500 lbr = 5.000 set
 1fs = 10 set
1set 2 kpg @rp 4.000</t>
        </r>
        <r>
          <rPr>
            <sz val="9"/>
            <color indexed="81"/>
            <rFont val="Tahoma"/>
            <family val="2"/>
          </rPr>
          <t xml:space="preserve">
</t>
        </r>
      </text>
    </comment>
    <comment ref="H319" authorId="0" shapeId="0">
      <text>
        <r>
          <rPr>
            <b/>
            <sz val="9"/>
            <color indexed="81"/>
            <rFont val="Tahoma"/>
            <family val="2"/>
          </rPr>
          <t>16 agustus imperf prod 5000 set
2 okt heri 50 fs</t>
        </r>
      </text>
    </comment>
    <comment ref="F320" authorId="0" shapeId="0">
      <text>
        <r>
          <rPr>
            <b/>
            <sz val="9"/>
            <color indexed="81"/>
            <rFont val="Tahoma"/>
            <family val="2"/>
          </rPr>
          <t>order 29.500 fs 
1 fs 6 set = 18 kpg
29.500 x 6 set = 177.000 set</t>
        </r>
        <r>
          <rPr>
            <sz val="9"/>
            <color indexed="81"/>
            <rFont val="Tahoma"/>
            <family val="2"/>
          </rPr>
          <t xml:space="preserve">
</t>
        </r>
      </text>
    </comment>
    <comment ref="I320" authorId="0" shapeId="0">
      <text>
        <r>
          <rPr>
            <b/>
            <sz val="9"/>
            <color indexed="81"/>
            <rFont val="Tahoma"/>
            <family val="2"/>
          </rPr>
          <t>cocok 28 agustus
94,200</t>
        </r>
        <r>
          <rPr>
            <sz val="9"/>
            <color indexed="81"/>
            <rFont val="Tahoma"/>
            <family val="2"/>
          </rPr>
          <t xml:space="preserve">
</t>
        </r>
      </text>
    </comment>
    <comment ref="F321" authorId="0" shapeId="0">
      <text>
        <r>
          <rPr>
            <b/>
            <sz val="9"/>
            <color indexed="81"/>
            <rFont val="Tahoma"/>
            <family val="2"/>
          </rPr>
          <t>agst order 49500 lbr x 20 kpg</t>
        </r>
        <r>
          <rPr>
            <sz val="9"/>
            <color indexed="81"/>
            <rFont val="Tahoma"/>
            <family val="2"/>
          </rPr>
          <t xml:space="preserve">
</t>
        </r>
      </text>
    </comment>
    <comment ref="I321" authorId="0" shapeId="0">
      <text>
        <r>
          <rPr>
            <b/>
            <sz val="9"/>
            <color indexed="81"/>
            <rFont val="Tahoma"/>
            <family val="2"/>
          </rPr>
          <t>cocok 28 agustus
732,500</t>
        </r>
      </text>
    </comment>
    <comment ref="F323" authorId="0" shapeId="0">
      <text>
        <r>
          <rPr>
            <b/>
            <sz val="9"/>
            <color indexed="81"/>
            <rFont val="Tahoma"/>
            <family val="2"/>
          </rPr>
          <t>1300 fs x 6 set = 7.800</t>
        </r>
      </text>
    </comment>
    <comment ref="H324" authorId="0" shapeId="0">
      <text>
        <r>
          <rPr>
            <b/>
            <sz val="9"/>
            <color indexed="81"/>
            <rFont val="Tahoma"/>
            <family val="2"/>
          </rPr>
          <t>def 3000 set</t>
        </r>
      </text>
    </comment>
    <comment ref="F325" authorId="0" shapeId="0">
      <text>
        <r>
          <rPr>
            <b/>
            <sz val="9"/>
            <color indexed="81"/>
            <rFont val="Tahoma"/>
            <family val="2"/>
          </rPr>
          <t>des17
10.000 lbr x 15 kpg = 150.000 kpg</t>
        </r>
      </text>
    </comment>
    <comment ref="F326" authorId="0" shapeId="0">
      <text>
        <r>
          <rPr>
            <b/>
            <sz val="9"/>
            <color indexed="81"/>
            <rFont val="Tahoma"/>
            <family val="2"/>
          </rPr>
          <t>des17
10.000 lbr x 15 kpg = 150.000 kpg</t>
        </r>
      </text>
    </comment>
    <comment ref="F327" authorId="0" shapeId="0">
      <text>
        <r>
          <rPr>
            <b/>
            <sz val="9"/>
            <color indexed="81"/>
            <rFont val="Tahoma"/>
            <family val="2"/>
          </rPr>
          <t>des17
10.000 lbr x 15 kpg = 150.000 kpg</t>
        </r>
      </text>
    </comment>
  </commentList>
</comments>
</file>

<file path=xl/comments2.xml><?xml version="1.0" encoding="utf-8"?>
<comments xmlns="http://schemas.openxmlformats.org/spreadsheetml/2006/main">
  <authors>
    <author>Author</author>
  </authors>
  <commentList>
    <comment ref="H8" authorId="0" shapeId="0">
      <text>
        <r>
          <rPr>
            <b/>
            <sz val="9"/>
            <color indexed="81"/>
            <rFont val="Tahoma"/>
            <family val="2"/>
          </rPr>
          <t xml:space="preserve">maret repacking pameran 2017 p adnan
</t>
        </r>
      </text>
    </comment>
    <comment ref="H9" authorId="0" shapeId="0">
      <text>
        <r>
          <rPr>
            <b/>
            <sz val="9"/>
            <color indexed="81"/>
            <rFont val="Tahoma"/>
            <family val="2"/>
          </rPr>
          <t xml:space="preserve">maret repacking pameran 2017 p adnan
</t>
        </r>
      </text>
    </comment>
    <comment ref="H11" authorId="0" shapeId="0">
      <text>
        <r>
          <rPr>
            <b/>
            <sz val="9"/>
            <color indexed="81"/>
            <rFont val="Tahoma"/>
            <family val="2"/>
          </rPr>
          <t xml:space="preserve">maret repacking pameran 2017 p adnan
</t>
        </r>
      </text>
    </comment>
    <comment ref="C12" authorId="0" shapeId="0">
      <text>
        <r>
          <rPr>
            <b/>
            <sz val="9"/>
            <color indexed="81"/>
            <rFont val="Tahoma"/>
            <family val="2"/>
          </rPr>
          <t>tadinya rp 48.000. namun 1 set 6 gambar x rp 6.000 = 36.000. dicek ulang barang nya ada 200+170 buah per masing masing gambar</t>
        </r>
      </text>
    </comment>
    <comment ref="H12" authorId="0" shapeId="0">
      <text>
        <r>
          <rPr>
            <b/>
            <sz val="9"/>
            <color indexed="81"/>
            <rFont val="Tahoma"/>
            <family val="2"/>
          </rPr>
          <t xml:space="preserve">maret repacking pameran 2017 p adnan
</t>
        </r>
      </text>
    </comment>
    <comment ref="H19" authorId="0" shapeId="0">
      <text>
        <r>
          <rPr>
            <b/>
            <sz val="9"/>
            <color indexed="81"/>
            <rFont val="Tahoma"/>
            <family val="2"/>
          </rPr>
          <t xml:space="preserve">maret repacking pameran 2017 p adnan
</t>
        </r>
      </text>
    </comment>
    <comment ref="H20" authorId="0" shapeId="0">
      <text>
        <r>
          <rPr>
            <b/>
            <sz val="9"/>
            <color indexed="81"/>
            <rFont val="Tahoma"/>
            <family val="2"/>
          </rPr>
          <t xml:space="preserve">maret repacking pameran 2017 p adnan
</t>
        </r>
      </text>
    </comment>
    <comment ref="H21" authorId="0" shapeId="0">
      <text>
        <r>
          <rPr>
            <b/>
            <sz val="9"/>
            <color indexed="81"/>
            <rFont val="Tahoma"/>
            <family val="2"/>
          </rPr>
          <t xml:space="preserve">maret repacking pameran 2017 p adnan
</t>
        </r>
      </text>
    </comment>
    <comment ref="H22" authorId="0" shapeId="0">
      <text>
        <r>
          <rPr>
            <b/>
            <sz val="9"/>
            <color indexed="81"/>
            <rFont val="Tahoma"/>
            <family val="2"/>
          </rPr>
          <t xml:space="preserve">hitungan KAP 7297 bukan 7299. selisih kurang 2. pada saat yg bersamaan sy sedang menge cek barang yg lain. Disesuaikan oleh pa tito di akhir desember
</t>
        </r>
        <r>
          <rPr>
            <sz val="9"/>
            <color indexed="81"/>
            <rFont val="Tahoma"/>
            <family val="2"/>
          </rPr>
          <t xml:space="preserve">
maret repacking pameran 2017 p adnan</t>
        </r>
      </text>
    </comment>
    <comment ref="H29" authorId="0" shapeId="0">
      <text>
        <r>
          <rPr>
            <b/>
            <sz val="9"/>
            <color indexed="81"/>
            <rFont val="Tahoma"/>
            <family val="2"/>
          </rPr>
          <t>hitungan KAP 1.159 bukan 1.529. selisih kurang 370. pada saat yg bersamaan sy sedang menge cek barang yg lain. Disesuaikan oleh pa tito di akhir desember
masuk ke kelompok SS CR 2005
maret repacking pameran 2017 p adnan</t>
        </r>
        <r>
          <rPr>
            <sz val="9"/>
            <color indexed="81"/>
            <rFont val="Tahoma"/>
            <family val="2"/>
          </rPr>
          <t xml:space="preserve">
</t>
        </r>
      </text>
    </comment>
    <comment ref="H31" authorId="0" shapeId="0">
      <text>
        <r>
          <rPr>
            <b/>
            <sz val="9"/>
            <color indexed="81"/>
            <rFont val="Tahoma"/>
            <family val="2"/>
          </rPr>
          <t xml:space="preserve">maret repacking pameran 2017 p adnan
</t>
        </r>
      </text>
    </comment>
    <comment ref="H32" authorId="0" shapeId="0">
      <text>
        <r>
          <rPr>
            <b/>
            <sz val="9"/>
            <color indexed="81"/>
            <rFont val="Tahoma"/>
            <family val="2"/>
          </rPr>
          <t xml:space="preserve">maret repacking pameran 2017 p adnan
</t>
        </r>
      </text>
    </comment>
    <comment ref="F39" authorId="0" shapeId="0">
      <text>
        <r>
          <rPr>
            <b/>
            <sz val="9"/>
            <color indexed="81"/>
            <rFont val="Tahoma"/>
            <family val="2"/>
          </rPr>
          <t>hitungan KAP 645 bukan 275. selisih kurang 370. pada saat yg bersamaan sy sedang menge cek barang yg lain. Disesuaikan oleh pa tito di akhir desember
mengurangi kelompok SS CR 2004</t>
        </r>
        <r>
          <rPr>
            <sz val="9"/>
            <color indexed="81"/>
            <rFont val="Tahoma"/>
            <family val="2"/>
          </rPr>
          <t xml:space="preserve">
</t>
        </r>
      </text>
    </comment>
    <comment ref="H39" authorId="0" shapeId="0">
      <text>
        <r>
          <rPr>
            <b/>
            <sz val="9"/>
            <color indexed="81"/>
            <rFont val="Tahoma"/>
            <family val="2"/>
          </rPr>
          <t xml:space="preserve">maret repacking pameran 2017 p adnan
</t>
        </r>
      </text>
    </comment>
    <comment ref="H40" authorId="0" shapeId="0">
      <text>
        <r>
          <rPr>
            <b/>
            <sz val="9"/>
            <color indexed="81"/>
            <rFont val="Tahoma"/>
            <family val="2"/>
          </rPr>
          <t xml:space="preserve">maret repacking pameran 2017 p adnan
</t>
        </r>
      </text>
    </comment>
    <comment ref="H41" authorId="0" shapeId="0">
      <text>
        <r>
          <rPr>
            <b/>
            <sz val="9"/>
            <color indexed="81"/>
            <rFont val="Tahoma"/>
            <family val="2"/>
          </rPr>
          <t xml:space="preserve">maret repacking pameran 2017 p adnan
</t>
        </r>
      </text>
    </comment>
    <comment ref="H49" authorId="0" shapeId="0">
      <text>
        <r>
          <rPr>
            <b/>
            <sz val="9"/>
            <color indexed="81"/>
            <rFont val="Tahoma"/>
            <family val="2"/>
          </rPr>
          <t xml:space="preserve">maret repacking pameran 2017 p adnan
</t>
        </r>
      </text>
    </comment>
    <comment ref="H50" authorId="0" shapeId="0">
      <text>
        <r>
          <rPr>
            <b/>
            <sz val="9"/>
            <color indexed="81"/>
            <rFont val="Tahoma"/>
            <family val="2"/>
          </rPr>
          <t xml:space="preserve">maret repacking pameran 2017 p adnan
</t>
        </r>
      </text>
    </comment>
    <comment ref="H51" authorId="0" shapeId="0">
      <text>
        <r>
          <rPr>
            <b/>
            <sz val="9"/>
            <color indexed="81"/>
            <rFont val="Tahoma"/>
            <family val="2"/>
          </rPr>
          <t xml:space="preserve">maret repacking pameran 2017 p adnan
</t>
        </r>
      </text>
    </comment>
    <comment ref="H52" authorId="0" shapeId="0">
      <text>
        <r>
          <rPr>
            <b/>
            <sz val="9"/>
            <color indexed="81"/>
            <rFont val="Tahoma"/>
            <family val="2"/>
          </rPr>
          <t xml:space="preserve">maret repacking pameran 2017 p adnan
</t>
        </r>
      </text>
    </comment>
    <comment ref="H62" authorId="0" shapeId="0">
      <text>
        <r>
          <rPr>
            <b/>
            <sz val="9"/>
            <color indexed="81"/>
            <rFont val="Tahoma"/>
            <family val="2"/>
          </rPr>
          <t>26-4-2017 = 5,000 rpacking pameran 2017 ginanjar</t>
        </r>
      </text>
    </comment>
    <comment ref="H63" authorId="0" shapeId="0">
      <text>
        <r>
          <rPr>
            <b/>
            <sz val="9"/>
            <color indexed="81"/>
            <rFont val="Tahoma"/>
            <family val="2"/>
          </rPr>
          <t xml:space="preserve">maret repacking pameran 2017 p adnan
</t>
        </r>
      </text>
    </comment>
    <comment ref="H64" authorId="0" shapeId="0">
      <text>
        <r>
          <rPr>
            <b/>
            <sz val="9"/>
            <color indexed="81"/>
            <rFont val="Tahoma"/>
            <family val="2"/>
          </rPr>
          <t xml:space="preserve">maret repacking pameran 2017 p adnan
</t>
        </r>
      </text>
    </comment>
    <comment ref="H65" authorId="0" shapeId="0">
      <text>
        <r>
          <rPr>
            <b/>
            <sz val="9"/>
            <color indexed="81"/>
            <rFont val="Tahoma"/>
            <family val="2"/>
          </rPr>
          <t xml:space="preserve">maret repacking pameran 2017 p adnan
</t>
        </r>
      </text>
    </comment>
    <comment ref="H66" authorId="0" shapeId="0">
      <text>
        <r>
          <rPr>
            <b/>
            <sz val="9"/>
            <color indexed="81"/>
            <rFont val="Tahoma"/>
            <family val="2"/>
          </rPr>
          <t xml:space="preserve">maret repacking pameran 2017 p adnan
</t>
        </r>
      </text>
    </comment>
    <comment ref="H73" authorId="0" shapeId="0">
      <text>
        <r>
          <rPr>
            <b/>
            <sz val="9"/>
            <color indexed="81"/>
            <rFont val="Tahoma"/>
            <family val="2"/>
          </rPr>
          <t xml:space="preserve">26-4-2017 = 5,000 rpacking pameran 2017 ginanjar
+
999 ke bd
nanti setelah pameran di entri ulang sisa barang
ada catatan di per 1
</t>
        </r>
      </text>
    </comment>
    <comment ref="H75" authorId="0" shapeId="0">
      <text>
        <r>
          <rPr>
            <b/>
            <sz val="9"/>
            <color indexed="81"/>
            <rFont val="Tahoma"/>
            <family val="2"/>
          </rPr>
          <t xml:space="preserve">maret repacking pameran 2017 p adnan
</t>
        </r>
      </text>
    </comment>
    <comment ref="H76" authorId="0" shapeId="0">
      <text>
        <r>
          <rPr>
            <b/>
            <sz val="9"/>
            <color indexed="81"/>
            <rFont val="Tahoma"/>
            <family val="2"/>
          </rPr>
          <t xml:space="preserve">maret repacking pameran 2017 p adnan
</t>
        </r>
      </text>
    </comment>
    <comment ref="H77" authorId="0" shapeId="0">
      <text>
        <r>
          <rPr>
            <b/>
            <sz val="9"/>
            <color indexed="81"/>
            <rFont val="Tahoma"/>
            <family val="2"/>
          </rPr>
          <t xml:space="preserve">maret repacking pameran 2017 p adnan
</t>
        </r>
      </text>
    </comment>
    <comment ref="H78" authorId="0" shapeId="0">
      <text>
        <r>
          <rPr>
            <b/>
            <sz val="9"/>
            <color indexed="81"/>
            <rFont val="Tahoma"/>
            <family val="2"/>
          </rPr>
          <t xml:space="preserve">maret repacking pameran 2017 p adnan
</t>
        </r>
      </text>
    </comment>
    <comment ref="H86" authorId="0" shapeId="0">
      <text>
        <r>
          <rPr>
            <b/>
            <sz val="9"/>
            <color indexed="81"/>
            <rFont val="Tahoma"/>
            <family val="2"/>
          </rPr>
          <t>nov pengalihan def</t>
        </r>
      </text>
    </comment>
    <comment ref="H87" authorId="0" shapeId="0">
      <text>
        <r>
          <rPr>
            <b/>
            <sz val="9"/>
            <color indexed="81"/>
            <rFont val="Tahoma"/>
            <family val="2"/>
          </rPr>
          <t>nov pengalihan def</t>
        </r>
      </text>
    </comment>
    <comment ref="H88" authorId="0" shapeId="0">
      <text>
        <r>
          <rPr>
            <b/>
            <sz val="9"/>
            <color indexed="81"/>
            <rFont val="Tahoma"/>
            <family val="2"/>
          </rPr>
          <t>maret repacking pameran 2017 p adnan</t>
        </r>
        <r>
          <rPr>
            <sz val="9"/>
            <color indexed="81"/>
            <rFont val="Tahoma"/>
            <family val="2"/>
          </rPr>
          <t xml:space="preserve">
</t>
        </r>
      </text>
    </comment>
    <comment ref="H89" authorId="0" shapeId="0">
      <text>
        <r>
          <rPr>
            <b/>
            <sz val="9"/>
            <color indexed="81"/>
            <rFont val="Tahoma"/>
            <family val="2"/>
          </rPr>
          <t xml:space="preserve">maret repacking pameran 2017 p adnan
</t>
        </r>
      </text>
    </comment>
    <comment ref="H90" authorId="0" shapeId="0">
      <text>
        <r>
          <rPr>
            <b/>
            <sz val="9"/>
            <color indexed="81"/>
            <rFont val="Tahoma"/>
            <family val="2"/>
          </rPr>
          <t xml:space="preserve">maret repacking pameran 2017 p adnan
</t>
        </r>
      </text>
    </comment>
    <comment ref="H91" authorId="0" shapeId="0">
      <text>
        <r>
          <rPr>
            <b/>
            <sz val="9"/>
            <color indexed="81"/>
            <rFont val="Tahoma"/>
            <family val="2"/>
          </rPr>
          <t xml:space="preserve">maret repacking pameran 2017 p adnan
</t>
        </r>
      </text>
    </comment>
    <comment ref="H98" authorId="0" shapeId="0">
      <text>
        <r>
          <rPr>
            <b/>
            <sz val="9"/>
            <color indexed="81"/>
            <rFont val="Tahoma"/>
            <family val="2"/>
          </rPr>
          <t xml:space="preserve">maret repacking pameran 2017 p adnan
</t>
        </r>
      </text>
    </comment>
    <comment ref="H99" authorId="0" shapeId="0">
      <text>
        <r>
          <rPr>
            <b/>
            <sz val="9"/>
            <color indexed="81"/>
            <rFont val="Tahoma"/>
            <family val="2"/>
          </rPr>
          <t xml:space="preserve">maret repacking pameran 2017 p adnan
</t>
        </r>
      </text>
    </comment>
    <comment ref="H100" authorId="0" shapeId="0">
      <text>
        <r>
          <rPr>
            <b/>
            <sz val="9"/>
            <color indexed="81"/>
            <rFont val="Tahoma"/>
            <family val="2"/>
          </rPr>
          <t xml:space="preserve">maret repacking pameran 2017 p adnan
</t>
        </r>
      </text>
    </comment>
    <comment ref="H102" authorId="0" shapeId="0">
      <text>
        <r>
          <rPr>
            <b/>
            <sz val="9"/>
            <color indexed="81"/>
            <rFont val="Tahoma"/>
            <family val="2"/>
          </rPr>
          <t xml:space="preserve">maret repacking pameran 2017 p adnan
</t>
        </r>
      </text>
    </comment>
    <comment ref="H103" authorId="0" shapeId="0">
      <text>
        <r>
          <rPr>
            <b/>
            <sz val="9"/>
            <color indexed="81"/>
            <rFont val="Tahoma"/>
            <family val="2"/>
          </rPr>
          <t xml:space="preserve">maret repacking pameran 2017 p adnan
</t>
        </r>
      </text>
    </comment>
    <comment ref="H104" authorId="0" shapeId="0">
      <text>
        <r>
          <rPr>
            <b/>
            <sz val="9"/>
            <color indexed="81"/>
            <rFont val="Tahoma"/>
            <family val="2"/>
          </rPr>
          <t xml:space="preserve">maret repacking pameran 2017 p adnan
</t>
        </r>
      </text>
    </comment>
    <comment ref="H112" authorId="0" shapeId="0">
      <text>
        <r>
          <rPr>
            <b/>
            <sz val="9"/>
            <color indexed="81"/>
            <rFont val="Tahoma"/>
            <family val="2"/>
          </rPr>
          <t xml:space="preserve">maret repacking pameran 2017 p adnan
</t>
        </r>
      </text>
    </comment>
    <comment ref="H113" authorId="0" shapeId="0">
      <text>
        <r>
          <rPr>
            <b/>
            <sz val="9"/>
            <color indexed="81"/>
            <rFont val="Tahoma"/>
            <family val="2"/>
          </rPr>
          <t xml:space="preserve">maret repacking pameran 2017 p adnan
</t>
        </r>
      </text>
    </comment>
    <comment ref="H114" authorId="0" shapeId="0">
      <text>
        <r>
          <rPr>
            <b/>
            <sz val="9"/>
            <color indexed="81"/>
            <rFont val="Tahoma"/>
            <family val="2"/>
          </rPr>
          <t xml:space="preserve">maret repacking pameran 2017 p adnan
</t>
        </r>
      </text>
    </comment>
    <comment ref="H121" authorId="0" shapeId="0">
      <text>
        <r>
          <rPr>
            <b/>
            <sz val="9"/>
            <color indexed="81"/>
            <rFont val="Tahoma"/>
            <family val="2"/>
          </rPr>
          <t xml:space="preserve">maret repacking pameran 2017 p adnan
</t>
        </r>
      </text>
    </comment>
    <comment ref="H122" authorId="0" shapeId="0">
      <text>
        <r>
          <rPr>
            <b/>
            <sz val="9"/>
            <color indexed="81"/>
            <rFont val="Tahoma"/>
            <family val="2"/>
          </rPr>
          <t xml:space="preserve">maret repacking pameran 2017 p adnan
</t>
        </r>
      </text>
    </comment>
    <comment ref="H129" authorId="0" shapeId="0">
      <text>
        <r>
          <rPr>
            <b/>
            <sz val="9"/>
            <color indexed="81"/>
            <rFont val="Tahoma"/>
            <family val="2"/>
          </rPr>
          <t xml:space="preserve">maret repacking pameran 2017 p adnan
</t>
        </r>
      </text>
    </comment>
    <comment ref="H130" authorId="0" shapeId="0">
      <text>
        <r>
          <rPr>
            <b/>
            <sz val="9"/>
            <color indexed="81"/>
            <rFont val="Tahoma"/>
            <family val="2"/>
          </rPr>
          <t xml:space="preserve">maret repacking pameran 2017 p adnan
</t>
        </r>
      </text>
    </comment>
    <comment ref="H137" authorId="0" shapeId="0">
      <text>
        <r>
          <rPr>
            <b/>
            <sz val="9"/>
            <color indexed="81"/>
            <rFont val="Tahoma"/>
            <family val="2"/>
          </rPr>
          <t xml:space="preserve">maret repacking pameran 2017 p adnan
</t>
        </r>
      </text>
    </comment>
    <comment ref="H138" authorId="0" shapeId="0">
      <text>
        <r>
          <rPr>
            <b/>
            <sz val="9"/>
            <color indexed="81"/>
            <rFont val="Tahoma"/>
            <family val="2"/>
          </rPr>
          <t xml:space="preserve">maret repacking pameran 2017 p adnan
</t>
        </r>
      </text>
    </comment>
    <comment ref="H139" authorId="0" shapeId="0">
      <text>
        <r>
          <rPr>
            <b/>
            <sz val="9"/>
            <color indexed="81"/>
            <rFont val="Tahoma"/>
            <family val="2"/>
          </rPr>
          <t xml:space="preserve">maret repacking pameran 2017 p adnan
</t>
        </r>
      </text>
    </comment>
    <comment ref="H140" authorId="0" shapeId="0">
      <text>
        <r>
          <rPr>
            <b/>
            <sz val="9"/>
            <color indexed="81"/>
            <rFont val="Tahoma"/>
            <family val="2"/>
          </rPr>
          <t>repacking 14 juni 2017. pameran dunia
1000</t>
        </r>
      </text>
    </comment>
    <comment ref="H147" authorId="0" shapeId="0">
      <text>
        <r>
          <rPr>
            <b/>
            <sz val="9"/>
            <color indexed="81"/>
            <rFont val="Tahoma"/>
            <family val="2"/>
          </rPr>
          <t xml:space="preserve">maret repacking pameran 2017 p adnan
</t>
        </r>
      </text>
    </comment>
    <comment ref="H148" authorId="0" shapeId="0">
      <text>
        <r>
          <rPr>
            <b/>
            <sz val="9"/>
            <color indexed="81"/>
            <rFont val="Tahoma"/>
            <family val="2"/>
          </rPr>
          <t xml:space="preserve">maret repacking pameran 2017 p adnan
</t>
        </r>
      </text>
    </comment>
    <comment ref="H150" authorId="0" shapeId="0">
      <text>
        <r>
          <rPr>
            <b/>
            <sz val="9"/>
            <color indexed="81"/>
            <rFont val="Tahoma"/>
            <family val="2"/>
          </rPr>
          <t xml:space="preserve">maret repacking pameran 2017 p adnan
</t>
        </r>
      </text>
    </comment>
    <comment ref="H151" authorId="0" shapeId="0">
      <text>
        <r>
          <rPr>
            <b/>
            <sz val="9"/>
            <color indexed="81"/>
            <rFont val="Tahoma"/>
            <family val="2"/>
          </rPr>
          <t xml:space="preserve">maret repacking pameran 2017 p adnan
</t>
        </r>
      </text>
    </comment>
    <comment ref="H158" authorId="0" shapeId="0">
      <text>
        <r>
          <rPr>
            <b/>
            <sz val="9"/>
            <color indexed="81"/>
            <rFont val="Tahoma"/>
            <family val="2"/>
          </rPr>
          <t>26 juni 2017
repacking pameran dunia 500</t>
        </r>
      </text>
    </comment>
    <comment ref="H159" authorId="0" shapeId="0">
      <text>
        <r>
          <rPr>
            <b/>
            <sz val="9"/>
            <color indexed="81"/>
            <rFont val="Tahoma"/>
            <family val="2"/>
          </rPr>
          <t xml:space="preserve">maret repacking pameran 2017 p adnan
</t>
        </r>
      </text>
    </comment>
    <comment ref="H160" authorId="0" shapeId="0">
      <text>
        <r>
          <rPr>
            <b/>
            <sz val="9"/>
            <color indexed="81"/>
            <rFont val="Tahoma"/>
            <family val="2"/>
          </rPr>
          <t xml:space="preserve">maret repacking pameran 2017 p adnan
</t>
        </r>
      </text>
    </comment>
    <comment ref="H168" authorId="0" shapeId="0">
      <text>
        <r>
          <rPr>
            <b/>
            <sz val="9"/>
            <color indexed="81"/>
            <rFont val="Tahoma"/>
            <family val="2"/>
          </rPr>
          <t xml:space="preserve">maret repacking pameran 2017 p adnan
</t>
        </r>
      </text>
    </comment>
    <comment ref="H169" authorId="0" shapeId="0">
      <text>
        <r>
          <rPr>
            <b/>
            <sz val="9"/>
            <color indexed="81"/>
            <rFont val="Tahoma"/>
            <family val="2"/>
          </rPr>
          <t xml:space="preserve">maret repacking pameran 2017 p adnan
</t>
        </r>
      </text>
    </comment>
    <comment ref="H170" authorId="0" shapeId="0">
      <text>
        <r>
          <rPr>
            <b/>
            <sz val="9"/>
            <color indexed="81"/>
            <rFont val="Tahoma"/>
            <family val="2"/>
          </rPr>
          <t xml:space="preserve">maret repacking pameran 2017 p adnan
</t>
        </r>
      </text>
    </comment>
    <comment ref="H171" authorId="0" shapeId="0">
      <text>
        <r>
          <rPr>
            <b/>
            <sz val="9"/>
            <color indexed="81"/>
            <rFont val="Tahoma"/>
            <family val="2"/>
          </rPr>
          <t xml:space="preserve">maret repacking pameran 2017 p adnan
</t>
        </r>
      </text>
    </comment>
    <comment ref="H172" authorId="0" shapeId="0">
      <text>
        <r>
          <rPr>
            <b/>
            <sz val="9"/>
            <color indexed="81"/>
            <rFont val="Tahoma"/>
            <family val="2"/>
          </rPr>
          <t xml:space="preserve">maret repacking pameran 2017 p adnan
</t>
        </r>
      </text>
    </comment>
    <comment ref="H173" authorId="0" shapeId="0">
      <text>
        <r>
          <rPr>
            <b/>
            <sz val="9"/>
            <color indexed="81"/>
            <rFont val="Tahoma"/>
            <family val="2"/>
          </rPr>
          <t xml:space="preserve">maret repacking pameran 2017 p adnan
</t>
        </r>
      </text>
    </comment>
    <comment ref="H174" authorId="0" shapeId="0">
      <text>
        <r>
          <rPr>
            <b/>
            <sz val="9"/>
            <color indexed="81"/>
            <rFont val="Tahoma"/>
            <family val="2"/>
          </rPr>
          <t xml:space="preserve">maret repacking pameran 2017 p adnan
</t>
        </r>
      </text>
    </comment>
    <comment ref="H175" authorId="0" shapeId="0">
      <text>
        <r>
          <rPr>
            <b/>
            <sz val="9"/>
            <color indexed="81"/>
            <rFont val="Tahoma"/>
            <family val="2"/>
          </rPr>
          <t xml:space="preserve">maret repacking pameran 2017 p adnan
</t>
        </r>
      </text>
    </comment>
    <comment ref="H176" authorId="0" shapeId="0">
      <text>
        <r>
          <rPr>
            <b/>
            <sz val="9"/>
            <color indexed="81"/>
            <rFont val="Tahoma"/>
            <family val="2"/>
          </rPr>
          <t xml:space="preserve">maret repacking pameran 2017 p adnan
</t>
        </r>
      </text>
    </comment>
    <comment ref="H177" authorId="0" shapeId="0">
      <text>
        <r>
          <rPr>
            <b/>
            <sz val="9"/>
            <color indexed="81"/>
            <rFont val="Tahoma"/>
            <family val="2"/>
          </rPr>
          <t xml:space="preserve">maret repacking pameran 2017 p adnan
</t>
        </r>
      </text>
    </comment>
    <comment ref="F178" authorId="0" shapeId="0">
      <text>
        <r>
          <rPr>
            <b/>
            <sz val="9"/>
            <color indexed="81"/>
            <rFont val="Tahoma"/>
            <family val="2"/>
          </rPr>
          <t>saldo awalnya harga 2.500 seharusnya rp 10.000.
oki ditambah 7.500 (tambahan keping baru biar harganya 10.000</t>
        </r>
        <r>
          <rPr>
            <sz val="9"/>
            <color indexed="81"/>
            <rFont val="Tahoma"/>
            <family val="2"/>
          </rPr>
          <t xml:space="preserve">
</t>
        </r>
      </text>
    </comment>
    <comment ref="M178" authorId="0" shapeId="0">
      <text>
        <r>
          <rPr>
            <b/>
            <sz val="9"/>
            <color indexed="81"/>
            <rFont val="Tahoma"/>
            <family val="2"/>
          </rPr>
          <t>HITUNGAN NYA KEPING</t>
        </r>
      </text>
    </comment>
    <comment ref="H179" authorId="0" shapeId="0">
      <text>
        <r>
          <rPr>
            <b/>
            <sz val="9"/>
            <color indexed="81"/>
            <rFont val="Tahoma"/>
            <family val="2"/>
          </rPr>
          <t xml:space="preserve">maret repacking pameran 2017 p adnan
</t>
        </r>
      </text>
    </comment>
    <comment ref="H180" authorId="0" shapeId="0">
      <text>
        <r>
          <rPr>
            <b/>
            <sz val="9"/>
            <color indexed="81"/>
            <rFont val="Tahoma"/>
            <family val="2"/>
          </rPr>
          <t xml:space="preserve">maret repacking pameran 2017 p adnan
</t>
        </r>
      </text>
    </comment>
    <comment ref="H181" authorId="0" shapeId="0">
      <text>
        <r>
          <rPr>
            <b/>
            <sz val="9"/>
            <color indexed="81"/>
            <rFont val="Tahoma"/>
            <family val="2"/>
          </rPr>
          <t>13 juli 2017 def 200x2kpg</t>
        </r>
        <r>
          <rPr>
            <sz val="9"/>
            <color indexed="81"/>
            <rFont val="Tahoma"/>
            <family val="2"/>
          </rPr>
          <t xml:space="preserve">
</t>
        </r>
      </text>
    </comment>
    <comment ref="H182" authorId="0" shapeId="0">
      <text>
        <r>
          <rPr>
            <b/>
            <sz val="9"/>
            <color indexed="81"/>
            <rFont val="Tahoma"/>
            <family val="2"/>
          </rPr>
          <t>31 mei 2017 persiapan pameran 2017</t>
        </r>
        <r>
          <rPr>
            <sz val="9"/>
            <color indexed="81"/>
            <rFont val="Tahoma"/>
            <family val="2"/>
          </rPr>
          <t xml:space="preserve">
</t>
        </r>
      </text>
    </comment>
    <comment ref="H189" authorId="0" shapeId="0">
      <text>
        <r>
          <rPr>
            <b/>
            <sz val="9"/>
            <color indexed="81"/>
            <rFont val="Tahoma"/>
            <family val="2"/>
          </rPr>
          <t>persiapan pameran 2017</t>
        </r>
        <r>
          <rPr>
            <sz val="9"/>
            <color indexed="81"/>
            <rFont val="Tahoma"/>
            <family val="2"/>
          </rPr>
          <t xml:space="preserve">
13 juli 2017 def 10.798</t>
        </r>
      </text>
    </comment>
    <comment ref="H190" authorId="0" shapeId="0">
      <text>
        <r>
          <rPr>
            <b/>
            <sz val="9"/>
            <color indexed="81"/>
            <rFont val="Tahoma"/>
            <family val="2"/>
          </rPr>
          <t>26 juni 2017
repacking pameran dunia 5.000</t>
        </r>
      </text>
    </comment>
    <comment ref="H191" authorId="0" shapeId="0">
      <text>
        <r>
          <rPr>
            <b/>
            <sz val="9"/>
            <color indexed="81"/>
            <rFont val="Tahoma"/>
            <family val="2"/>
          </rPr>
          <t>repacking 14 juni 2017. pameran dunia
5.000 lbr</t>
        </r>
        <r>
          <rPr>
            <sz val="9"/>
            <color indexed="81"/>
            <rFont val="Tahoma"/>
            <family val="2"/>
          </rPr>
          <t xml:space="preserve">
13 juli 2017 def 6.600</t>
        </r>
      </text>
    </comment>
    <comment ref="H192" authorId="0" shapeId="0">
      <text>
        <r>
          <rPr>
            <b/>
            <sz val="9"/>
            <color indexed="81"/>
            <rFont val="Tahoma"/>
            <family val="2"/>
          </rPr>
          <t>repacking 14 juni 2017. pameran dunia
1000</t>
        </r>
        <r>
          <rPr>
            <sz val="9"/>
            <color indexed="81"/>
            <rFont val="Tahoma"/>
            <family val="2"/>
          </rPr>
          <t xml:space="preserve">
</t>
        </r>
      </text>
    </comment>
    <comment ref="H193" authorId="0" shapeId="0">
      <text>
        <r>
          <rPr>
            <b/>
            <sz val="9"/>
            <color indexed="81"/>
            <rFont val="Tahoma"/>
            <family val="2"/>
          </rPr>
          <t>repacking 14 juni 2017. pameran dunia
500</t>
        </r>
        <r>
          <rPr>
            <sz val="9"/>
            <color indexed="81"/>
            <rFont val="Tahoma"/>
            <family val="2"/>
          </rPr>
          <t xml:space="preserve">
</t>
        </r>
      </text>
    </comment>
    <comment ref="H194" authorId="0" shapeId="0">
      <text>
        <r>
          <rPr>
            <b/>
            <sz val="9"/>
            <color indexed="81"/>
            <rFont val="Tahoma"/>
            <family val="2"/>
          </rPr>
          <t xml:space="preserve">repacking 14 juni 2017. pameran dunia
1000
13 juli 2017 def 300
</t>
        </r>
      </text>
    </comment>
    <comment ref="F195" authorId="0" shapeId="0">
      <text>
        <r>
          <rPr>
            <b/>
            <sz val="9"/>
            <color indexed="81"/>
            <rFont val="Tahoma"/>
            <family val="2"/>
          </rPr>
          <t>juni retouran 100</t>
        </r>
        <r>
          <rPr>
            <sz val="9"/>
            <color indexed="81"/>
            <rFont val="Tahoma"/>
            <family val="2"/>
          </rPr>
          <t xml:space="preserve">
</t>
        </r>
      </text>
    </comment>
    <comment ref="H195" authorId="0" shapeId="0">
      <text>
        <r>
          <rPr>
            <b/>
            <sz val="9"/>
            <color indexed="81"/>
            <rFont val="Tahoma"/>
            <family val="2"/>
          </rPr>
          <t>repacking 14 juni 2017. pameran dunia
1000
13 juli 2017 def 300x2kpg</t>
        </r>
      </text>
    </comment>
    <comment ref="H204" authorId="0" shapeId="0">
      <text>
        <r>
          <rPr>
            <b/>
            <sz val="9"/>
            <color indexed="81"/>
            <rFont val="Tahoma"/>
            <family val="2"/>
          </rPr>
          <t>persiapan pameran 2017</t>
        </r>
        <r>
          <rPr>
            <sz val="9"/>
            <color indexed="81"/>
            <rFont val="Tahoma"/>
            <family val="2"/>
          </rPr>
          <t xml:space="preserve">
</t>
        </r>
      </text>
    </comment>
    <comment ref="H205" authorId="0" shapeId="0">
      <text>
        <r>
          <rPr>
            <b/>
            <sz val="9"/>
            <color indexed="81"/>
            <rFont val="Tahoma"/>
            <family val="2"/>
          </rPr>
          <t>persiapan pameran 2017</t>
        </r>
        <r>
          <rPr>
            <sz val="9"/>
            <color indexed="81"/>
            <rFont val="Tahoma"/>
            <family val="2"/>
          </rPr>
          <t xml:space="preserve">
</t>
        </r>
      </text>
    </comment>
    <comment ref="H206" authorId="0" shapeId="0">
      <text>
        <r>
          <rPr>
            <b/>
            <sz val="9"/>
            <color indexed="81"/>
            <rFont val="Tahoma"/>
            <family val="2"/>
          </rPr>
          <t xml:space="preserve">maret repacking pameran 2017 p adnan
</t>
        </r>
      </text>
    </comment>
    <comment ref="H207" authorId="0" shapeId="0">
      <text>
        <r>
          <rPr>
            <b/>
            <sz val="9"/>
            <color indexed="81"/>
            <rFont val="Tahoma"/>
            <family val="2"/>
          </rPr>
          <t>JULI DPTGNKAN AGUSTUS
1.000 UTK PAMERAN DUNIA</t>
        </r>
        <r>
          <rPr>
            <sz val="9"/>
            <color indexed="81"/>
            <rFont val="Tahoma"/>
            <family val="2"/>
          </rPr>
          <t xml:space="preserve">
</t>
        </r>
      </text>
    </comment>
    <comment ref="H208" authorId="0" shapeId="0">
      <text>
        <r>
          <rPr>
            <b/>
            <sz val="9"/>
            <color indexed="81"/>
            <rFont val="Tahoma"/>
            <family val="2"/>
          </rPr>
          <t>13 juli 2017 def 200x4 kpg = 800 kpg</t>
        </r>
        <r>
          <rPr>
            <sz val="9"/>
            <color indexed="81"/>
            <rFont val="Tahoma"/>
            <family val="2"/>
          </rPr>
          <t xml:space="preserve">
</t>
        </r>
      </text>
    </comment>
    <comment ref="H209" authorId="0" shapeId="0">
      <text>
        <r>
          <rPr>
            <b/>
            <sz val="9"/>
            <color indexed="81"/>
            <rFont val="Tahoma"/>
            <family val="2"/>
          </rPr>
          <t>persiapan pameran 2017</t>
        </r>
      </text>
    </comment>
    <comment ref="H210" authorId="0" shapeId="0">
      <text>
        <r>
          <rPr>
            <b/>
            <sz val="9"/>
            <color indexed="81"/>
            <rFont val="Tahoma"/>
            <family val="2"/>
          </rPr>
          <t xml:space="preserve">persiapan pameran 2017
</t>
        </r>
      </text>
    </comment>
    <comment ref="H217" authorId="0" shapeId="0">
      <text>
        <r>
          <rPr>
            <b/>
            <sz val="9"/>
            <color indexed="81"/>
            <rFont val="Tahoma"/>
            <family val="2"/>
          </rPr>
          <t>31 mei 2017 persiapan pameran 2017</t>
        </r>
        <r>
          <rPr>
            <sz val="9"/>
            <color indexed="81"/>
            <rFont val="Tahoma"/>
            <family val="2"/>
          </rPr>
          <t xml:space="preserve">
</t>
        </r>
      </text>
    </comment>
    <comment ref="H218" authorId="0" shapeId="0">
      <text>
        <r>
          <rPr>
            <b/>
            <sz val="9"/>
            <color indexed="81"/>
            <rFont val="Tahoma"/>
            <family val="2"/>
          </rPr>
          <t>repacking 14 juni 2017. pameran dunia
5000</t>
        </r>
        <r>
          <rPr>
            <sz val="9"/>
            <color indexed="81"/>
            <rFont val="Tahoma"/>
            <family val="2"/>
          </rPr>
          <t xml:space="preserve">
</t>
        </r>
      </text>
    </comment>
    <comment ref="H219" authorId="0" shapeId="0">
      <text>
        <r>
          <rPr>
            <b/>
            <sz val="9"/>
            <color indexed="81"/>
            <rFont val="Tahoma"/>
            <family val="2"/>
          </rPr>
          <t>26-4-2017 = 5,000 rpacking pameran 2017 ginanjar</t>
        </r>
      </text>
    </comment>
    <comment ref="H220" authorId="0" shapeId="0">
      <text>
        <r>
          <rPr>
            <b/>
            <sz val="9"/>
            <color indexed="81"/>
            <rFont val="Tahoma"/>
            <family val="2"/>
          </rPr>
          <t>persiapan pameran 2017</t>
        </r>
      </text>
    </comment>
    <comment ref="H222" authorId="0" shapeId="0">
      <text>
        <r>
          <rPr>
            <b/>
            <sz val="9"/>
            <color indexed="81"/>
            <rFont val="Tahoma"/>
            <family val="2"/>
          </rPr>
          <t>31 mei 2017 persiapan pameran 2017</t>
        </r>
        <r>
          <rPr>
            <sz val="9"/>
            <color indexed="81"/>
            <rFont val="Tahoma"/>
            <family val="2"/>
          </rPr>
          <t xml:space="preserve">
</t>
        </r>
      </text>
    </comment>
    <comment ref="H223" authorId="0" shapeId="0">
      <text>
        <r>
          <rPr>
            <b/>
            <sz val="9"/>
            <color indexed="81"/>
            <rFont val="Tahoma"/>
            <family val="2"/>
          </rPr>
          <t>31 mei 2017 persiapan pameran 2017</t>
        </r>
      </text>
    </comment>
    <comment ref="H224" authorId="0" shapeId="0">
      <text>
        <r>
          <rPr>
            <b/>
            <sz val="9"/>
            <color indexed="81"/>
            <rFont val="Tahoma"/>
            <family val="2"/>
          </rPr>
          <t xml:space="preserve">31 mei 2017 persiapan pameran 2017
</t>
        </r>
        <r>
          <rPr>
            <sz val="9"/>
            <color indexed="81"/>
            <rFont val="Tahoma"/>
            <family val="2"/>
          </rPr>
          <t>13juli def 2,880</t>
        </r>
      </text>
    </comment>
    <comment ref="H225" authorId="0" shapeId="0">
      <text>
        <r>
          <rPr>
            <b/>
            <sz val="9"/>
            <color indexed="81"/>
            <rFont val="Tahoma"/>
            <family val="2"/>
          </rPr>
          <t xml:space="preserve">persiapan pameran 2017 = 3,000
</t>
        </r>
        <r>
          <rPr>
            <sz val="9"/>
            <color indexed="81"/>
            <rFont val="Tahoma"/>
            <family val="2"/>
          </rPr>
          <t xml:space="preserve">
</t>
        </r>
      </text>
    </comment>
    <comment ref="H232" authorId="0" shapeId="0">
      <text>
        <r>
          <rPr>
            <b/>
            <sz val="9"/>
            <color indexed="81"/>
            <rFont val="Tahoma"/>
            <family val="2"/>
          </rPr>
          <t>nov pengalihan def 4.000</t>
        </r>
        <r>
          <rPr>
            <sz val="9"/>
            <color indexed="81"/>
            <rFont val="Tahoma"/>
            <family val="2"/>
          </rPr>
          <t xml:space="preserve">
</t>
        </r>
        <r>
          <rPr>
            <b/>
            <sz val="9"/>
            <color indexed="81"/>
            <rFont val="Tahoma"/>
            <family val="2"/>
          </rPr>
          <t>31 mei 2017 persiapan pameran 2017 =2,000</t>
        </r>
      </text>
    </comment>
    <comment ref="H235" authorId="0" shapeId="0">
      <text>
        <r>
          <rPr>
            <b/>
            <sz val="9"/>
            <color indexed="81"/>
            <rFont val="Tahoma"/>
            <family val="2"/>
          </rPr>
          <t xml:space="preserve">maret repacking pameran 2017 p adnan
</t>
        </r>
        <r>
          <rPr>
            <sz val="9"/>
            <color indexed="81"/>
            <rFont val="Tahoma"/>
            <family val="2"/>
          </rPr>
          <t xml:space="preserve">
</t>
        </r>
      </text>
    </comment>
    <comment ref="H236" authorId="0" shapeId="0">
      <text>
        <r>
          <rPr>
            <b/>
            <sz val="9"/>
            <color indexed="81"/>
            <rFont val="Tahoma"/>
            <family val="2"/>
          </rPr>
          <t xml:space="preserve">maret repacking pameran 2017 p adnan
</t>
        </r>
        <r>
          <rPr>
            <sz val="9"/>
            <color indexed="81"/>
            <rFont val="Tahoma"/>
            <family val="2"/>
          </rPr>
          <t xml:space="preserve">
</t>
        </r>
      </text>
    </comment>
    <comment ref="S237" authorId="0" shapeId="0">
      <text>
        <r>
          <rPr>
            <b/>
            <sz val="9"/>
            <color indexed="81"/>
            <rFont val="Tahoma"/>
            <family val="2"/>
          </rPr>
          <t>diserahkan oleh sis ke kifa</t>
        </r>
        <r>
          <rPr>
            <sz val="9"/>
            <color indexed="81"/>
            <rFont val="Tahoma"/>
            <family val="2"/>
          </rPr>
          <t xml:space="preserve">
750 = 3.000 set</t>
        </r>
      </text>
    </comment>
    <comment ref="T237" authorId="0" shapeId="0">
      <text>
        <r>
          <rPr>
            <b/>
            <sz val="9"/>
            <color indexed="81"/>
            <rFont val="Tahoma"/>
            <family val="2"/>
          </rPr>
          <t>oleh baki utk kemsn 
600</t>
        </r>
        <r>
          <rPr>
            <sz val="9"/>
            <color indexed="81"/>
            <rFont val="Tahoma"/>
            <family val="2"/>
          </rPr>
          <t xml:space="preserve">
</t>
        </r>
      </text>
    </comment>
    <comment ref="U237" authorId="0" shapeId="0">
      <text>
        <r>
          <rPr>
            <b/>
            <sz val="9"/>
            <color indexed="81"/>
            <rFont val="Tahoma"/>
            <family val="2"/>
          </rPr>
          <t xml:space="preserve">sis pertukaran
</t>
        </r>
        <r>
          <rPr>
            <sz val="9"/>
            <color indexed="81"/>
            <rFont val="Tahoma"/>
            <family val="2"/>
          </rPr>
          <t xml:space="preserve">
</t>
        </r>
      </text>
    </comment>
    <comment ref="V237" authorId="0" shapeId="0">
      <text>
        <r>
          <rPr>
            <b/>
            <sz val="9"/>
            <color indexed="81"/>
            <rFont val="Tahoma"/>
            <family val="2"/>
          </rPr>
          <t>souvenir direksi</t>
        </r>
        <r>
          <rPr>
            <sz val="9"/>
            <color indexed="81"/>
            <rFont val="Tahoma"/>
            <family val="2"/>
          </rPr>
          <t xml:space="preserve">
</t>
        </r>
      </text>
    </comment>
    <comment ref="F238" authorId="0" shapeId="0">
      <text>
        <r>
          <rPr>
            <b/>
            <sz val="9"/>
            <color indexed="81"/>
            <rFont val="Tahoma"/>
            <family val="2"/>
          </rPr>
          <t>JUNI 500</t>
        </r>
        <r>
          <rPr>
            <sz val="9"/>
            <color indexed="81"/>
            <rFont val="Tahoma"/>
            <family val="2"/>
          </rPr>
          <t xml:space="preserve">
</t>
        </r>
      </text>
    </comment>
    <comment ref="H238" authorId="0" shapeId="0">
      <text>
        <r>
          <rPr>
            <b/>
            <sz val="9"/>
            <color indexed="81"/>
            <rFont val="Tahoma"/>
            <family val="2"/>
          </rPr>
          <t xml:space="preserve">dptgnkan agst 17
utk souve man fil pameran oleh p deden
25-7-17 =1
ada di buku biru
</t>
        </r>
        <r>
          <rPr>
            <sz val="9"/>
            <color indexed="81"/>
            <rFont val="Tahoma"/>
            <family val="2"/>
          </rPr>
          <t xml:space="preserve">
</t>
        </r>
      </text>
    </comment>
    <comment ref="P238" authorId="0" shapeId="0">
      <text>
        <r>
          <rPr>
            <b/>
            <sz val="9"/>
            <color indexed="81"/>
            <rFont val="Tahoma"/>
            <family val="2"/>
          </rPr>
          <t>SIS BLN AGTS DPTGN SEPT 500+5</t>
        </r>
        <r>
          <rPr>
            <sz val="9"/>
            <color indexed="81"/>
            <rFont val="Tahoma"/>
            <family val="2"/>
          </rPr>
          <t xml:space="preserve">
</t>
        </r>
      </text>
    </comment>
    <comment ref="P240" authorId="0" shapeId="0">
      <text>
        <r>
          <rPr>
            <sz val="9"/>
            <color indexed="81"/>
            <rFont val="Tahoma"/>
            <family val="2"/>
          </rPr>
          <t xml:space="preserve">ke produksi
</t>
        </r>
      </text>
    </comment>
    <comment ref="Q240" authorId="0" shapeId="0">
      <text>
        <r>
          <rPr>
            <b/>
            <sz val="9"/>
            <color indexed="81"/>
            <rFont val="Tahoma"/>
            <family val="2"/>
          </rPr>
          <t>kifa shp</t>
        </r>
        <r>
          <rPr>
            <sz val="9"/>
            <color indexed="81"/>
            <rFont val="Tahoma"/>
            <family val="2"/>
          </rPr>
          <t xml:space="preserve">
</t>
        </r>
      </text>
    </comment>
    <comment ref="P241" authorId="0" shapeId="0">
      <text>
        <r>
          <rPr>
            <sz val="9"/>
            <color indexed="81"/>
            <rFont val="Tahoma"/>
            <family val="2"/>
          </rPr>
          <t xml:space="preserve">ke produksi
</t>
        </r>
      </text>
    </comment>
    <comment ref="H242" authorId="0" shapeId="0">
      <text>
        <r>
          <rPr>
            <b/>
            <sz val="9"/>
            <color indexed="81"/>
            <rFont val="Tahoma"/>
            <family val="2"/>
          </rPr>
          <t xml:space="preserve">persiapan pameran 2017 =4,000
</t>
        </r>
        <r>
          <rPr>
            <sz val="9"/>
            <color indexed="81"/>
            <rFont val="Tahoma"/>
            <family val="2"/>
          </rPr>
          <t xml:space="preserve">
</t>
        </r>
      </text>
    </comment>
    <comment ref="P242" authorId="0" shapeId="0">
      <text>
        <r>
          <rPr>
            <sz val="9"/>
            <color indexed="81"/>
            <rFont val="Tahoma"/>
            <family val="2"/>
          </rPr>
          <t xml:space="preserve">ke produksi
</t>
        </r>
      </text>
    </comment>
    <comment ref="F243" authorId="0" shapeId="0">
      <text>
        <r>
          <rPr>
            <b/>
            <sz val="9"/>
            <color indexed="81"/>
            <rFont val="Tahoma"/>
            <family val="2"/>
          </rPr>
          <t xml:space="preserve">OKT 2,000+13,000
</t>
        </r>
        <r>
          <rPr>
            <sz val="9"/>
            <color indexed="81"/>
            <rFont val="Tahoma"/>
            <family val="2"/>
          </rPr>
          <t xml:space="preserve">
</t>
        </r>
      </text>
    </comment>
    <comment ref="H243" authorId="0" shapeId="0">
      <text>
        <r>
          <rPr>
            <b/>
            <sz val="9"/>
            <color indexed="81"/>
            <rFont val="Tahoma"/>
            <family val="2"/>
          </rPr>
          <t>produksi des 2000
transaksi okt
31 mei 2017
persiapan pameran 2017 = 1,000</t>
        </r>
      </text>
    </comment>
    <comment ref="F244" authorId="0" shapeId="0">
      <text>
        <r>
          <rPr>
            <b/>
            <sz val="9"/>
            <color indexed="81"/>
            <rFont val="Tahoma"/>
            <family val="2"/>
          </rPr>
          <t xml:space="preserve">nov 100,000
</t>
        </r>
        <r>
          <rPr>
            <sz val="9"/>
            <color indexed="81"/>
            <rFont val="Tahoma"/>
            <family val="2"/>
          </rPr>
          <t xml:space="preserve">
</t>
        </r>
      </text>
    </comment>
    <comment ref="F245" authorId="0" shapeId="0">
      <text>
        <r>
          <rPr>
            <b/>
            <sz val="9"/>
            <color indexed="81"/>
            <rFont val="Tahoma"/>
            <family val="2"/>
          </rPr>
          <t xml:space="preserve">nov 30,000
</t>
        </r>
      </text>
    </comment>
    <comment ref="H245" authorId="0" shapeId="0">
      <text>
        <r>
          <rPr>
            <sz val="9"/>
            <color indexed="81"/>
            <rFont val="Tahoma"/>
            <family val="2"/>
          </rPr>
          <t>31 mei 2017 persiapan pameran 2017 = 500</t>
        </r>
        <r>
          <rPr>
            <sz val="9"/>
            <color indexed="81"/>
            <rFont val="Tahoma"/>
            <family val="2"/>
          </rPr>
          <t xml:space="preserve">
</t>
        </r>
      </text>
    </comment>
    <comment ref="Q246" authorId="0" shapeId="0">
      <text>
        <r>
          <rPr>
            <b/>
            <sz val="9"/>
            <color indexed="81"/>
            <rFont val="Tahoma"/>
            <family val="2"/>
          </rPr>
          <t>1.000 utk SP</t>
        </r>
        <r>
          <rPr>
            <sz val="9"/>
            <color indexed="81"/>
            <rFont val="Tahoma"/>
            <family val="2"/>
          </rPr>
          <t xml:space="preserve">
</t>
        </r>
      </text>
    </comment>
    <comment ref="F247" authorId="0" shapeId="0">
      <text>
        <r>
          <rPr>
            <sz val="9"/>
            <color indexed="81"/>
            <rFont val="Tahoma"/>
            <family val="2"/>
          </rPr>
          <t xml:space="preserve">dr produksi 888
</t>
        </r>
      </text>
    </comment>
    <comment ref="F255" authorId="0" shapeId="0">
      <text>
        <r>
          <rPr>
            <b/>
            <sz val="9"/>
            <color indexed="81"/>
            <rFont val="Tahoma"/>
            <family val="2"/>
          </rPr>
          <t>jan 40.000</t>
        </r>
      </text>
    </comment>
    <comment ref="F256" authorId="0" shapeId="0">
      <text>
        <r>
          <rPr>
            <b/>
            <sz val="9"/>
            <color indexed="81"/>
            <rFont val="Tahoma"/>
            <family val="2"/>
          </rPr>
          <t>jan 24.000</t>
        </r>
      </text>
    </comment>
    <comment ref="H256" authorId="0" shapeId="0">
      <text>
        <r>
          <rPr>
            <b/>
            <sz val="9"/>
            <color indexed="81"/>
            <rFont val="Tahoma"/>
            <family val="2"/>
          </rPr>
          <t>maret repacking pameran 2017 p adnan
27sept17 2 oleh sis utk p seno acara hari bakti</t>
        </r>
        <r>
          <rPr>
            <sz val="9"/>
            <color indexed="81"/>
            <rFont val="Tahoma"/>
            <family val="2"/>
          </rPr>
          <t xml:space="preserve">
</t>
        </r>
      </text>
    </comment>
    <comment ref="Q257" authorId="0" shapeId="0">
      <text>
        <r>
          <rPr>
            <b/>
            <sz val="9"/>
            <color indexed="81"/>
            <rFont val="Tahoma"/>
            <family val="2"/>
          </rPr>
          <t>2 mei 2,000
di cetak tindih ke kiffa</t>
        </r>
        <r>
          <rPr>
            <sz val="9"/>
            <color indexed="81"/>
            <rFont val="Tahoma"/>
            <family val="2"/>
          </rPr>
          <t xml:space="preserve">
</t>
        </r>
      </text>
    </comment>
    <comment ref="H258" authorId="0" shapeId="0">
      <text>
        <r>
          <rPr>
            <b/>
            <sz val="9"/>
            <color indexed="81"/>
            <rFont val="Tahoma"/>
            <family val="2"/>
          </rPr>
          <t>31 mei 2017 persiapan pameran 2017</t>
        </r>
        <r>
          <rPr>
            <sz val="9"/>
            <color indexed="81"/>
            <rFont val="Tahoma"/>
            <family val="2"/>
          </rPr>
          <t xml:space="preserve">
</t>
        </r>
      </text>
    </comment>
    <comment ref="F259" authorId="0" shapeId="0">
      <text>
        <r>
          <rPr>
            <b/>
            <sz val="9"/>
            <color indexed="81"/>
            <rFont val="Tahoma"/>
            <family val="2"/>
          </rPr>
          <t>mei 2017 = CT 1.000</t>
        </r>
        <r>
          <rPr>
            <sz val="9"/>
            <color indexed="81"/>
            <rFont val="Tahoma"/>
            <family val="2"/>
          </rPr>
          <t xml:space="preserve">
</t>
        </r>
      </text>
    </comment>
    <comment ref="F260" authorId="0" shapeId="0">
      <text>
        <r>
          <rPr>
            <sz val="9"/>
            <color indexed="81"/>
            <rFont val="Tahoma"/>
            <family val="2"/>
          </rPr>
          <t xml:space="preserve">mei 10000
</t>
        </r>
      </text>
    </comment>
    <comment ref="H260" authorId="0" shapeId="0">
      <text>
        <r>
          <rPr>
            <b/>
            <sz val="9"/>
            <color indexed="81"/>
            <rFont val="Tahoma"/>
            <family val="2"/>
          </rPr>
          <t>2 okt heri 50</t>
        </r>
        <r>
          <rPr>
            <sz val="9"/>
            <color indexed="81"/>
            <rFont val="Tahoma"/>
            <family val="2"/>
          </rPr>
          <t xml:space="preserve">
</t>
        </r>
      </text>
    </comment>
    <comment ref="I261" authorId="0" shapeId="0">
      <text>
        <r>
          <rPr>
            <b/>
            <sz val="9"/>
            <color indexed="81"/>
            <rFont val="Tahoma"/>
            <family val="2"/>
          </rPr>
          <t>cocok 28 agustus
13,509</t>
        </r>
        <r>
          <rPr>
            <sz val="9"/>
            <color indexed="81"/>
            <rFont val="Tahoma"/>
            <family val="2"/>
          </rPr>
          <t xml:space="preserve">
</t>
        </r>
      </text>
    </comment>
    <comment ref="F262" authorId="0" shapeId="0">
      <text>
        <r>
          <rPr>
            <b/>
            <sz val="9"/>
            <color indexed="81"/>
            <rFont val="Tahoma"/>
            <family val="2"/>
          </rPr>
          <t xml:space="preserve">indent, sengaja diisi tgl 31 mei krn utk pengisian SAP 31 mei 2017 = 3.000
meskipun barang blm diterima
</t>
        </r>
      </text>
    </comment>
    <comment ref="F263" authorId="0" shapeId="0">
      <text>
        <r>
          <rPr>
            <b/>
            <sz val="9"/>
            <color indexed="81"/>
            <rFont val="Tahoma"/>
            <family val="2"/>
          </rPr>
          <t>jun 2017 = 2.000
dr produksi</t>
        </r>
      </text>
    </comment>
    <comment ref="F264" authorId="0" shapeId="0">
      <text>
        <r>
          <rPr>
            <b/>
            <sz val="9"/>
            <color indexed="81"/>
            <rFont val="Tahoma"/>
            <family val="2"/>
          </rPr>
          <t>juni 17
14.500 dan
500 imperf</t>
        </r>
        <r>
          <rPr>
            <sz val="9"/>
            <color indexed="81"/>
            <rFont val="Tahoma"/>
            <family val="2"/>
          </rPr>
          <t xml:space="preserve">
</t>
        </r>
      </text>
    </comment>
    <comment ref="C267" authorId="0" shapeId="0">
      <text>
        <r>
          <rPr>
            <sz val="9"/>
            <color indexed="81"/>
            <rFont val="Tahoma"/>
            <family val="2"/>
          </rPr>
          <t xml:space="preserve">#1 SD #5
 RP 10.000 X 1.500 LBR
</t>
        </r>
      </text>
    </comment>
    <comment ref="H267" authorId="0" shapeId="0">
      <text>
        <r>
          <rPr>
            <b/>
            <sz val="9"/>
            <color indexed="81"/>
            <rFont val="Tahoma"/>
            <family val="2"/>
          </rPr>
          <t xml:space="preserve">1500 G14 BD
500 KE PROD UTK KEMASAN LIMITED EDITION </t>
        </r>
        <r>
          <rPr>
            <sz val="9"/>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F34" authorId="0" shapeId="0">
      <text>
        <r>
          <rPr>
            <b/>
            <sz val="9"/>
            <color indexed="81"/>
            <rFont val="Tahoma"/>
            <family val="2"/>
          </rPr>
          <t>ditambah 10 di akhir desember 2015</t>
        </r>
        <r>
          <rPr>
            <sz val="9"/>
            <color indexed="81"/>
            <rFont val="Tahoma"/>
            <family val="2"/>
          </rPr>
          <t xml:space="preserve">
</t>
        </r>
      </text>
    </comment>
    <comment ref="H35" authorId="0" shapeId="0">
      <text>
        <r>
          <rPr>
            <b/>
            <sz val="9"/>
            <color indexed="81"/>
            <rFont val="Tahoma"/>
            <family val="2"/>
          </rPr>
          <t xml:space="preserve">juni 
prod </t>
        </r>
        <r>
          <rPr>
            <sz val="9"/>
            <color indexed="81"/>
            <rFont val="Tahoma"/>
            <family val="2"/>
          </rPr>
          <t xml:space="preserve">
</t>
        </r>
      </text>
    </comment>
    <comment ref="H73" authorId="0" shapeId="0">
      <text>
        <r>
          <rPr>
            <b/>
            <sz val="9"/>
            <color indexed="81"/>
            <rFont val="Tahoma"/>
            <family val="2"/>
          </rPr>
          <t xml:space="preserve">14 feb 17 ke prod p adnan
</t>
        </r>
        <r>
          <rPr>
            <sz val="9"/>
            <color indexed="81"/>
            <rFont val="Tahoma"/>
            <family val="2"/>
          </rPr>
          <t xml:space="preserve">
</t>
        </r>
      </text>
    </comment>
    <comment ref="H74" authorId="0" shapeId="0">
      <text>
        <r>
          <rPr>
            <b/>
            <sz val="9"/>
            <color indexed="81"/>
            <rFont val="Tahoma"/>
            <family val="2"/>
          </rPr>
          <t xml:space="preserve">14 feb 17 ke prod p adnan
</t>
        </r>
        <r>
          <rPr>
            <sz val="9"/>
            <color indexed="81"/>
            <rFont val="Tahoma"/>
            <family val="2"/>
          </rPr>
          <t xml:space="preserve">
</t>
        </r>
      </text>
    </comment>
    <comment ref="H80" authorId="0" shapeId="0">
      <text>
        <r>
          <rPr>
            <b/>
            <sz val="9"/>
            <color indexed="81"/>
            <rFont val="Tahoma"/>
            <family val="2"/>
          </rPr>
          <t xml:space="preserve">14 feb 17 ke prod p adnan
</t>
        </r>
        <r>
          <rPr>
            <sz val="9"/>
            <color indexed="81"/>
            <rFont val="Tahoma"/>
            <family val="2"/>
          </rPr>
          <t xml:space="preserve">
</t>
        </r>
      </text>
    </comment>
    <comment ref="H82" authorId="0" shapeId="0">
      <text>
        <r>
          <rPr>
            <b/>
            <sz val="9"/>
            <color indexed="81"/>
            <rFont val="Tahoma"/>
            <family val="2"/>
          </rPr>
          <t xml:space="preserve">14 feb 17 ke prod p adnan
</t>
        </r>
        <r>
          <rPr>
            <sz val="9"/>
            <color indexed="81"/>
            <rFont val="Tahoma"/>
            <family val="2"/>
          </rPr>
          <t xml:space="preserve">
</t>
        </r>
      </text>
    </comment>
    <comment ref="H84" authorId="0" shapeId="0">
      <text>
        <r>
          <rPr>
            <b/>
            <sz val="9"/>
            <color indexed="81"/>
            <rFont val="Tahoma"/>
            <family val="2"/>
          </rPr>
          <t xml:space="preserve">14 feb 17 ke prod p adnan
</t>
        </r>
        <r>
          <rPr>
            <sz val="9"/>
            <color indexed="81"/>
            <rFont val="Tahoma"/>
            <family val="2"/>
          </rPr>
          <t xml:space="preserve">
</t>
        </r>
      </text>
    </comment>
    <comment ref="H86" authorId="0" shapeId="0">
      <text>
        <r>
          <rPr>
            <b/>
            <sz val="9"/>
            <color indexed="81"/>
            <rFont val="Tahoma"/>
            <family val="2"/>
          </rPr>
          <t xml:space="preserve">14 feb 17 ke prod p adnan
</t>
        </r>
        <r>
          <rPr>
            <sz val="9"/>
            <color indexed="81"/>
            <rFont val="Tahoma"/>
            <family val="2"/>
          </rPr>
          <t xml:space="preserve">
</t>
        </r>
      </text>
    </comment>
    <comment ref="H100" authorId="0" shapeId="0">
      <text>
        <r>
          <rPr>
            <b/>
            <sz val="9"/>
            <color indexed="81"/>
            <rFont val="Tahoma"/>
            <family val="2"/>
          </rPr>
          <t xml:space="preserve">14 feb 17 ke prod p adnan
</t>
        </r>
        <r>
          <rPr>
            <sz val="9"/>
            <color indexed="81"/>
            <rFont val="Tahoma"/>
            <family val="2"/>
          </rPr>
          <t xml:space="preserve">
</t>
        </r>
      </text>
    </comment>
    <comment ref="H101" authorId="0" shapeId="0">
      <text>
        <r>
          <rPr>
            <b/>
            <sz val="9"/>
            <color indexed="81"/>
            <rFont val="Tahoma"/>
            <family val="2"/>
          </rPr>
          <t xml:space="preserve">14 feb 17 ke prod p adnan
</t>
        </r>
        <r>
          <rPr>
            <sz val="9"/>
            <color indexed="81"/>
            <rFont val="Tahoma"/>
            <family val="2"/>
          </rPr>
          <t xml:space="preserve">
</t>
        </r>
      </text>
    </comment>
    <comment ref="H109" authorId="0" shapeId="0">
      <text>
        <r>
          <rPr>
            <b/>
            <sz val="9"/>
            <color indexed="81"/>
            <rFont val="Tahoma"/>
            <family val="2"/>
          </rPr>
          <t xml:space="preserve">14 feb 17 ke prod p adnan
</t>
        </r>
        <r>
          <rPr>
            <sz val="9"/>
            <color indexed="81"/>
            <rFont val="Tahoma"/>
            <family val="2"/>
          </rPr>
          <t xml:space="preserve">
</t>
        </r>
      </text>
    </comment>
    <comment ref="H111" authorId="0" shapeId="0">
      <text>
        <r>
          <rPr>
            <b/>
            <sz val="9"/>
            <color indexed="81"/>
            <rFont val="Tahoma"/>
            <family val="2"/>
          </rPr>
          <t xml:space="preserve">14 feb 17 ke prod p adnan
</t>
        </r>
        <r>
          <rPr>
            <sz val="9"/>
            <color indexed="81"/>
            <rFont val="Tahoma"/>
            <family val="2"/>
          </rPr>
          <t xml:space="preserve">
</t>
        </r>
      </text>
    </comment>
    <comment ref="H112" authorId="0" shapeId="0">
      <text>
        <r>
          <rPr>
            <b/>
            <sz val="9"/>
            <color indexed="81"/>
            <rFont val="Tahoma"/>
            <family val="2"/>
          </rPr>
          <t xml:space="preserve">14 feb 17 ke prod p adnan
</t>
        </r>
        <r>
          <rPr>
            <sz val="9"/>
            <color indexed="81"/>
            <rFont val="Tahoma"/>
            <family val="2"/>
          </rPr>
          <t xml:space="preserve">
</t>
        </r>
      </text>
    </comment>
    <comment ref="H127" authorId="0" shapeId="0">
      <text>
        <r>
          <rPr>
            <b/>
            <sz val="9"/>
            <color indexed="81"/>
            <rFont val="Tahoma"/>
            <family val="2"/>
          </rPr>
          <t xml:space="preserve">14 feb 17 ke prod p adnan
</t>
        </r>
        <r>
          <rPr>
            <sz val="9"/>
            <color indexed="81"/>
            <rFont val="Tahoma"/>
            <family val="2"/>
          </rPr>
          <t xml:space="preserve">
</t>
        </r>
      </text>
    </comment>
    <comment ref="H128" authorId="0" shapeId="0">
      <text>
        <r>
          <rPr>
            <b/>
            <sz val="9"/>
            <color indexed="81"/>
            <rFont val="Tahoma"/>
            <family val="2"/>
          </rPr>
          <t xml:space="preserve">14 feb 17 ke prod p adnan
</t>
        </r>
        <r>
          <rPr>
            <sz val="9"/>
            <color indexed="81"/>
            <rFont val="Tahoma"/>
            <family val="2"/>
          </rPr>
          <t xml:space="preserve">
</t>
        </r>
      </text>
    </comment>
    <comment ref="H131" authorId="0" shapeId="0">
      <text>
        <r>
          <rPr>
            <b/>
            <sz val="9"/>
            <color indexed="81"/>
            <rFont val="Tahoma"/>
            <family val="2"/>
          </rPr>
          <t xml:space="preserve">14 feb 17 ke prod p adnan
</t>
        </r>
        <r>
          <rPr>
            <sz val="9"/>
            <color indexed="81"/>
            <rFont val="Tahoma"/>
            <family val="2"/>
          </rPr>
          <t xml:space="preserve">
</t>
        </r>
      </text>
    </comment>
    <comment ref="H133" authorId="0" shapeId="0">
      <text>
        <r>
          <rPr>
            <b/>
            <sz val="9"/>
            <color indexed="81"/>
            <rFont val="Tahoma"/>
            <family val="2"/>
          </rPr>
          <t xml:space="preserve">14 feb 17 ke prod p adnan
</t>
        </r>
        <r>
          <rPr>
            <sz val="9"/>
            <color indexed="81"/>
            <rFont val="Tahoma"/>
            <family val="2"/>
          </rPr>
          <t xml:space="preserve">
</t>
        </r>
      </text>
    </comment>
    <comment ref="H134" authorId="0" shapeId="0">
      <text>
        <r>
          <rPr>
            <b/>
            <sz val="9"/>
            <color indexed="81"/>
            <rFont val="Tahoma"/>
            <family val="2"/>
          </rPr>
          <t>produksi 1 bln des transaksi bln agust</t>
        </r>
        <r>
          <rPr>
            <sz val="9"/>
            <color indexed="81"/>
            <rFont val="Tahoma"/>
            <family val="2"/>
          </rPr>
          <t xml:space="preserve">
</t>
        </r>
      </text>
    </comment>
    <comment ref="F139" authorId="0" shapeId="0">
      <text>
        <r>
          <rPr>
            <b/>
            <sz val="9"/>
            <color indexed="81"/>
            <rFont val="Tahoma"/>
            <family val="2"/>
          </rPr>
          <t>dari retouran 22</t>
        </r>
        <r>
          <rPr>
            <sz val="9"/>
            <color indexed="81"/>
            <rFont val="Tahoma"/>
            <family val="2"/>
          </rPr>
          <t xml:space="preserve">
</t>
        </r>
      </text>
    </comment>
    <comment ref="H140" authorId="0" shapeId="0">
      <text>
        <r>
          <rPr>
            <b/>
            <sz val="9"/>
            <color indexed="81"/>
            <rFont val="Tahoma"/>
            <family val="2"/>
          </rPr>
          <t xml:space="preserve">14 feb 17 ke prod p adnan
</t>
        </r>
        <r>
          <rPr>
            <sz val="9"/>
            <color indexed="81"/>
            <rFont val="Tahoma"/>
            <family val="2"/>
          </rPr>
          <t xml:space="preserve">
</t>
        </r>
      </text>
    </comment>
    <comment ref="F143" authorId="0" shapeId="0">
      <text>
        <r>
          <rPr>
            <b/>
            <sz val="9"/>
            <color indexed="81"/>
            <rFont val="Tahoma"/>
            <family val="2"/>
          </rPr>
          <t>dari retouran 22</t>
        </r>
        <r>
          <rPr>
            <sz val="9"/>
            <color indexed="81"/>
            <rFont val="Tahoma"/>
            <family val="2"/>
          </rPr>
          <t xml:space="preserve">
</t>
        </r>
      </text>
    </comment>
    <comment ref="H148" authorId="0" shapeId="0">
      <text>
        <r>
          <rPr>
            <b/>
            <sz val="9"/>
            <color indexed="81"/>
            <rFont val="Tahoma"/>
            <family val="2"/>
          </rPr>
          <t xml:space="preserve">14 feb 17 ke prod p adnan
</t>
        </r>
        <r>
          <rPr>
            <sz val="9"/>
            <color indexed="81"/>
            <rFont val="Tahoma"/>
            <family val="2"/>
          </rPr>
          <t xml:space="preserve">
</t>
        </r>
      </text>
    </comment>
    <comment ref="H160" authorId="0" shapeId="0">
      <text>
        <r>
          <rPr>
            <b/>
            <sz val="9"/>
            <color indexed="81"/>
            <rFont val="Tahoma"/>
            <family val="2"/>
          </rPr>
          <t xml:space="preserve">14 feb 17 ke prod p adnan
</t>
        </r>
        <r>
          <rPr>
            <sz val="9"/>
            <color indexed="81"/>
            <rFont val="Tahoma"/>
            <family val="2"/>
          </rPr>
          <t xml:space="preserve">
</t>
        </r>
      </text>
    </comment>
    <comment ref="H181" authorId="0" shapeId="0">
      <text>
        <r>
          <rPr>
            <b/>
            <sz val="9"/>
            <color indexed="81"/>
            <rFont val="Tahoma"/>
            <family val="2"/>
          </rPr>
          <t xml:space="preserve">14 feb 17 ke prod p adnan
</t>
        </r>
        <r>
          <rPr>
            <sz val="9"/>
            <color indexed="81"/>
            <rFont val="Tahoma"/>
            <family val="2"/>
          </rPr>
          <t xml:space="preserve">
</t>
        </r>
      </text>
    </comment>
    <comment ref="H194" authorId="0" shapeId="0">
      <text>
        <r>
          <rPr>
            <b/>
            <sz val="9"/>
            <color indexed="81"/>
            <rFont val="Tahoma"/>
            <family val="2"/>
          </rPr>
          <t xml:space="preserve">14 feb 17 ke prod p adnan
</t>
        </r>
        <r>
          <rPr>
            <sz val="9"/>
            <color indexed="81"/>
            <rFont val="Tahoma"/>
            <family val="2"/>
          </rPr>
          <t xml:space="preserve">
</t>
        </r>
      </text>
    </comment>
    <comment ref="H202" authorId="0" shapeId="0">
      <text>
        <r>
          <rPr>
            <b/>
            <sz val="9"/>
            <color indexed="81"/>
            <rFont val="Tahoma"/>
            <family val="2"/>
          </rPr>
          <t xml:space="preserve">14 feb 17 ke prod p adnan
</t>
        </r>
        <r>
          <rPr>
            <sz val="9"/>
            <color indexed="81"/>
            <rFont val="Tahoma"/>
            <family val="2"/>
          </rPr>
          <t xml:space="preserve">
</t>
        </r>
      </text>
    </comment>
    <comment ref="H240" authorId="0" shapeId="0">
      <text>
        <r>
          <rPr>
            <b/>
            <sz val="9"/>
            <color indexed="81"/>
            <rFont val="Tahoma"/>
            <family val="2"/>
          </rPr>
          <t xml:space="preserve">14 feb 17 ke prod p adnan
</t>
        </r>
        <r>
          <rPr>
            <sz val="9"/>
            <color indexed="81"/>
            <rFont val="Tahoma"/>
            <family val="2"/>
          </rPr>
          <t xml:space="preserve">
</t>
        </r>
      </text>
    </comment>
    <comment ref="H242" authorId="0" shapeId="0">
      <text>
        <r>
          <rPr>
            <b/>
            <sz val="9"/>
            <color indexed="81"/>
            <rFont val="Tahoma"/>
            <family val="2"/>
          </rPr>
          <t xml:space="preserve">14 feb 17 ke prod p adnan
</t>
        </r>
        <r>
          <rPr>
            <sz val="9"/>
            <color indexed="81"/>
            <rFont val="Tahoma"/>
            <family val="2"/>
          </rPr>
          <t xml:space="preserve">
</t>
        </r>
      </text>
    </comment>
    <comment ref="H243" authorId="0" shapeId="0">
      <text>
        <r>
          <rPr>
            <b/>
            <sz val="9"/>
            <color indexed="81"/>
            <rFont val="Tahoma"/>
            <family val="2"/>
          </rPr>
          <t xml:space="preserve">14 feb 17 ke prod p adnan
</t>
        </r>
        <r>
          <rPr>
            <sz val="9"/>
            <color indexed="81"/>
            <rFont val="Tahoma"/>
            <family val="2"/>
          </rPr>
          <t xml:space="preserve">
</t>
        </r>
      </text>
    </comment>
    <comment ref="F258" authorId="0" shapeId="0">
      <text>
        <r>
          <rPr>
            <b/>
            <sz val="9"/>
            <color indexed="81"/>
            <rFont val="Tahoma"/>
            <family val="2"/>
          </rPr>
          <t>cicil penambahan
penggabungan dr retour upt
bln agustus 2017 = 192
bln des 31</t>
        </r>
      </text>
    </comment>
    <comment ref="F259" authorId="0" shapeId="0">
      <text>
        <r>
          <rPr>
            <b/>
            <sz val="9"/>
            <color indexed="81"/>
            <rFont val="Tahoma"/>
            <family val="2"/>
          </rPr>
          <t>cicil penambahan
penggabungan dr retour upt
bln agustus 2017 = 198
bln des 79</t>
        </r>
      </text>
    </comment>
    <comment ref="F260" authorId="0" shapeId="0">
      <text>
        <r>
          <rPr>
            <b/>
            <sz val="9"/>
            <color indexed="81"/>
            <rFont val="Tahoma"/>
            <family val="2"/>
          </rPr>
          <t>cicil penambahan
penggabungan dr retour upt
bln agustus 2017 = 490+14 = 504
bln des 676</t>
        </r>
      </text>
    </comment>
    <comment ref="F262" authorId="0" shapeId="0">
      <text>
        <r>
          <rPr>
            <b/>
            <sz val="9"/>
            <color indexed="81"/>
            <rFont val="Tahoma"/>
            <family val="2"/>
          </rPr>
          <t>cicil penambahan
penggabungan dr retour upt
bln agustus 2017 = 374 + 8 = 382
bln des 2017= 479</t>
        </r>
      </text>
    </comment>
    <comment ref="F263" authorId="0" shapeId="0">
      <text>
        <r>
          <rPr>
            <b/>
            <sz val="9"/>
            <color indexed="81"/>
            <rFont val="Tahoma"/>
            <family val="2"/>
          </rPr>
          <t>cicil penambahan
penggabungan dr retour upt
bln agustus 2017 = 233
bln des 17 = 212</t>
        </r>
      </text>
    </comment>
    <comment ref="F264" authorId="0" shapeId="0">
      <text>
        <r>
          <rPr>
            <b/>
            <sz val="9"/>
            <color indexed="81"/>
            <rFont val="Tahoma"/>
            <family val="2"/>
          </rPr>
          <t>cicil penambahan
penggabungan dr retour upt
bln agustus 2017 = 202+8=210
bln des 661</t>
        </r>
      </text>
    </comment>
    <comment ref="F265" authorId="0" shapeId="0">
      <text>
        <r>
          <rPr>
            <b/>
            <sz val="9"/>
            <color indexed="81"/>
            <rFont val="Tahoma"/>
            <family val="2"/>
          </rPr>
          <t>cicil penambahan
penggabungan dr retour upt
bln agustus 2017 = 163
bln des17 = 471</t>
        </r>
      </text>
    </comment>
    <comment ref="F266" authorId="0" shapeId="0">
      <text>
        <r>
          <rPr>
            <b/>
            <sz val="9"/>
            <color indexed="81"/>
            <rFont val="Tahoma"/>
            <family val="2"/>
          </rPr>
          <t>cicil penambahan
penggabungan dr retour upt
bln agustus 2017 = 608+15=623
bln des 2017 = 607</t>
        </r>
      </text>
    </comment>
    <comment ref="F267" authorId="0" shapeId="0">
      <text>
        <r>
          <rPr>
            <b/>
            <sz val="9"/>
            <color indexed="81"/>
            <rFont val="Tahoma"/>
            <family val="2"/>
          </rPr>
          <t>cicil penambahan
penggabungan dr retour upt
bln agustus 2017 = 422+9=431
bln des 2017 = 728</t>
        </r>
      </text>
    </comment>
    <comment ref="F268" authorId="0" shapeId="0">
      <text>
        <r>
          <rPr>
            <b/>
            <sz val="9"/>
            <color indexed="81"/>
            <rFont val="Tahoma"/>
            <family val="2"/>
          </rPr>
          <t>cicil penambahan
penggabungan dr retour upt
bln agustus 2017 = 260
bln des 505</t>
        </r>
      </text>
    </comment>
    <comment ref="F269" authorId="0" shapeId="0">
      <text>
        <r>
          <rPr>
            <b/>
            <sz val="9"/>
            <color indexed="81"/>
            <rFont val="Tahoma"/>
            <family val="2"/>
          </rPr>
          <t xml:space="preserve">cicil penambahan
penggabungan dr retour upt
bln agustus 2017 = 387
bln des 542
</t>
        </r>
      </text>
    </comment>
    <comment ref="H269" authorId="0" shapeId="0">
      <text>
        <r>
          <rPr>
            <b/>
            <sz val="9"/>
            <color indexed="81"/>
            <rFont val="Tahoma"/>
            <family val="2"/>
          </rPr>
          <t xml:space="preserve">14 feb 17 ke prod p adnan
</t>
        </r>
        <r>
          <rPr>
            <sz val="9"/>
            <color indexed="81"/>
            <rFont val="Tahoma"/>
            <family val="2"/>
          </rPr>
          <t xml:space="preserve">
</t>
        </r>
      </text>
    </comment>
    <comment ref="F270" authorId="0" shapeId="0">
      <text>
        <r>
          <rPr>
            <b/>
            <sz val="9"/>
            <color indexed="81"/>
            <rFont val="Tahoma"/>
            <family val="2"/>
          </rPr>
          <t>cicil penambahan
penggabungan dr retour upt
bln agustus 2017 = 338+21=359
dr ret des 2017 = 739</t>
        </r>
      </text>
    </comment>
    <comment ref="F271" authorId="0" shapeId="0">
      <text>
        <r>
          <rPr>
            <b/>
            <sz val="9"/>
            <color indexed="81"/>
            <rFont val="Tahoma"/>
            <family val="2"/>
          </rPr>
          <t>cicil penambahan
penggabungan dr retour upt
bln agustus 2017 = 631+19=650
bln des 2017 = 494</t>
        </r>
      </text>
    </comment>
    <comment ref="F272" authorId="0" shapeId="0">
      <text>
        <r>
          <rPr>
            <b/>
            <sz val="9"/>
            <color indexed="81"/>
            <rFont val="Tahoma"/>
            <family val="2"/>
          </rPr>
          <t>cicil penambahan
penggabungan dr retour upt
bln agustus 2017 = 689
bln des 788</t>
        </r>
      </text>
    </comment>
    <comment ref="F273" authorId="0" shapeId="0">
      <text>
        <r>
          <rPr>
            <b/>
            <sz val="9"/>
            <color indexed="81"/>
            <rFont val="Tahoma"/>
            <family val="2"/>
          </rPr>
          <t>cicil penambahan
penggabungan dr retour upt
bln agustus 2017 = 565+29=594
bln des 1.435</t>
        </r>
      </text>
    </comment>
    <comment ref="F274" authorId="0" shapeId="0">
      <text>
        <r>
          <rPr>
            <b/>
            <sz val="9"/>
            <color indexed="81"/>
            <rFont val="Tahoma"/>
            <family val="2"/>
          </rPr>
          <t>cicil penambahan
penggabungan dr retour upt
bln agustus 2017 =  224
bln des 90</t>
        </r>
      </text>
    </comment>
    <comment ref="F275" authorId="0" shapeId="0">
      <text>
        <r>
          <rPr>
            <b/>
            <sz val="9"/>
            <color indexed="81"/>
            <rFont val="Tahoma"/>
            <family val="2"/>
          </rPr>
          <t>cicil penambahan
penggabungan dr retour upt
bln agustus 2017 =  735+26=761
bln des 2017 = 841</t>
        </r>
      </text>
    </comment>
    <comment ref="F276" authorId="0" shapeId="0">
      <text>
        <r>
          <rPr>
            <b/>
            <sz val="9"/>
            <color indexed="81"/>
            <rFont val="Tahoma"/>
            <family val="2"/>
          </rPr>
          <t xml:space="preserve">ret des 2017 = 31
</t>
        </r>
      </text>
    </comment>
    <comment ref="F277" authorId="0" shapeId="0">
      <text>
        <r>
          <rPr>
            <b/>
            <sz val="9"/>
            <color indexed="81"/>
            <rFont val="Tahoma"/>
            <family val="2"/>
          </rPr>
          <t>ret des 221</t>
        </r>
      </text>
    </comment>
    <comment ref="F278" authorId="0" shapeId="0">
      <text>
        <r>
          <rPr>
            <b/>
            <sz val="9"/>
            <color indexed="81"/>
            <rFont val="Tahoma"/>
            <family val="2"/>
          </rPr>
          <t>cicil penambahan
penggabungan dr retour upt
bln agustus 2017 =  268+3=271
bln des 2017 = 1.079</t>
        </r>
      </text>
    </comment>
    <comment ref="F279" authorId="0" shapeId="0">
      <text>
        <r>
          <rPr>
            <b/>
            <sz val="9"/>
            <color indexed="81"/>
            <rFont val="Tahoma"/>
            <family val="2"/>
          </rPr>
          <t xml:space="preserve">cicil penambahan
penggabungan dr retour upt
bln agustus 2017 =  56
bln des17 = 615
</t>
        </r>
      </text>
    </comment>
    <comment ref="F280" authorId="0" shapeId="0">
      <text>
        <r>
          <rPr>
            <b/>
            <sz val="9"/>
            <color indexed="81"/>
            <rFont val="Tahoma"/>
            <family val="2"/>
          </rPr>
          <t>13 Sept 17 = 1.428 lembar x rp9.500. sedangkan di G2c hitungan nya set, 1 set rp 19.000
1.428 : 2 = 714 set utk g2c
cicil penambahan
penggabungan dr retour upt
bln agustus 2017
bln des 1160</t>
        </r>
      </text>
    </comment>
    <comment ref="F281" authorId="0" shapeId="0">
      <text>
        <r>
          <rPr>
            <b/>
            <sz val="9"/>
            <color indexed="81"/>
            <rFont val="Tahoma"/>
            <family val="2"/>
          </rPr>
          <t>cicil penambahan
penggabungan dr retour upt
bln agustus 2017 = 388+6=394
dr ret
bl des 2017
1.193</t>
        </r>
      </text>
    </comment>
    <comment ref="F282" authorId="0" shapeId="0">
      <text>
        <r>
          <rPr>
            <b/>
            <sz val="9"/>
            <color indexed="81"/>
            <rFont val="Tahoma"/>
            <family val="2"/>
          </rPr>
          <t>des 2017 = 808</t>
        </r>
      </text>
    </comment>
    <comment ref="F283" authorId="0" shapeId="0">
      <text>
        <r>
          <rPr>
            <b/>
            <sz val="9"/>
            <color indexed="81"/>
            <rFont val="Tahoma"/>
            <family val="2"/>
          </rPr>
          <t>cicil penambahan
penggabungan dr retour upt
bln agustus 2017 = 147+135=282
bln des 1.272</t>
        </r>
      </text>
    </comment>
    <comment ref="F284" authorId="0" shapeId="0">
      <text>
        <r>
          <rPr>
            <b/>
            <sz val="9"/>
            <color indexed="81"/>
            <rFont val="Tahoma"/>
            <family val="2"/>
          </rPr>
          <t>cicil penambahan
penggabungan dr retour upt
bln agustus 2017 = 184+124=308
bln des 1.186</t>
        </r>
      </text>
    </comment>
    <comment ref="F288" authorId="0" shapeId="0">
      <text>
        <r>
          <rPr>
            <b/>
            <sz val="9"/>
            <color indexed="81"/>
            <rFont val="Tahoma"/>
            <family val="2"/>
          </rPr>
          <t>cicil penambahan
penggabungan dr retour upt
bln agustus 2017 = 503+27=530
bln des 822</t>
        </r>
      </text>
    </comment>
    <comment ref="F289" authorId="0" shapeId="0">
      <text>
        <r>
          <rPr>
            <b/>
            <sz val="9"/>
            <color indexed="81"/>
            <rFont val="Tahoma"/>
            <family val="2"/>
          </rPr>
          <t>cicil penambahan
penggabungan dr retour upt
bln agustus 2017 = 1198
bln des 505</t>
        </r>
      </text>
    </comment>
    <comment ref="F290" authorId="0" shapeId="0">
      <text>
        <r>
          <rPr>
            <b/>
            <sz val="9"/>
            <color indexed="81"/>
            <rFont val="Tahoma"/>
            <family val="2"/>
          </rPr>
          <t>cicil penambahan
penggabungan dr retour upt
bln agustus 2017 = 348+8=356
bln des 2017 = 957</t>
        </r>
      </text>
    </comment>
    <comment ref="F291" authorId="0" shapeId="0">
      <text>
        <r>
          <rPr>
            <b/>
            <sz val="9"/>
            <color indexed="81"/>
            <rFont val="Tahoma"/>
            <family val="2"/>
          </rPr>
          <t>penambahan dr ret
bulan des 2017 = 66</t>
        </r>
      </text>
    </comment>
    <comment ref="F292" authorId="0" shapeId="0">
      <text>
        <r>
          <rPr>
            <b/>
            <sz val="9"/>
            <color indexed="81"/>
            <rFont val="Tahoma"/>
            <family val="2"/>
          </rPr>
          <t>dr retouran 
des 2017 63</t>
        </r>
      </text>
    </comment>
    <comment ref="F293" authorId="0" shapeId="0">
      <text>
        <r>
          <rPr>
            <b/>
            <sz val="9"/>
            <color indexed="81"/>
            <rFont val="Tahoma"/>
            <family val="2"/>
          </rPr>
          <t>24 prop di tambah 90 lbr.
Krn ada (dipisah) sgp dlm bentuk set sebanyak 90 set</t>
        </r>
        <r>
          <rPr>
            <sz val="9"/>
            <color indexed="81"/>
            <rFont val="Tahoma"/>
            <family val="2"/>
          </rPr>
          <t xml:space="preserve">
28des17 = 1,113</t>
        </r>
      </text>
    </comment>
    <comment ref="F294" authorId="0" shapeId="0">
      <text>
        <r>
          <rPr>
            <b/>
            <sz val="9"/>
            <color indexed="81"/>
            <rFont val="Tahoma"/>
            <family val="2"/>
          </rPr>
          <t>retouran des'17 = 1103</t>
        </r>
      </text>
    </comment>
    <comment ref="F295" authorId="0" shapeId="0">
      <text>
        <r>
          <rPr>
            <b/>
            <sz val="9"/>
            <color indexed="81"/>
            <rFont val="Tahoma"/>
            <family val="2"/>
          </rPr>
          <t>retouran 
19des17 = 1,093
28des17 = 36</t>
        </r>
      </text>
    </comment>
    <comment ref="F299" authorId="0" shapeId="0">
      <text>
        <r>
          <rPr>
            <b/>
            <sz val="9"/>
            <color indexed="81"/>
            <rFont val="Tahoma"/>
            <family val="2"/>
          </rPr>
          <t>29des17 = 969</t>
        </r>
      </text>
    </comment>
    <comment ref="F300" authorId="0" shapeId="0">
      <text>
        <r>
          <rPr>
            <b/>
            <sz val="9"/>
            <color indexed="81"/>
            <rFont val="Tahoma"/>
            <family val="2"/>
          </rPr>
          <t>retouran des'17 = 1,075</t>
        </r>
      </text>
    </comment>
    <comment ref="F301" authorId="0" shapeId="0">
      <text>
        <r>
          <rPr>
            <b/>
            <sz val="9"/>
            <color indexed="81"/>
            <rFont val="Tahoma"/>
            <family val="2"/>
          </rPr>
          <t>retouran des'17 = 1105</t>
        </r>
      </text>
    </comment>
    <comment ref="F302" authorId="0" shapeId="0">
      <text>
        <r>
          <rPr>
            <b/>
            <sz val="9"/>
            <color indexed="81"/>
            <rFont val="Tahoma"/>
            <family val="2"/>
          </rPr>
          <t>retouran des'17 = 1017</t>
        </r>
      </text>
    </comment>
    <comment ref="F303" authorId="0" shapeId="0">
      <text>
        <r>
          <rPr>
            <b/>
            <sz val="9"/>
            <color indexed="81"/>
            <rFont val="Tahoma"/>
            <family val="2"/>
          </rPr>
          <t xml:space="preserve">ret
29des17 =1.108
</t>
        </r>
      </text>
    </comment>
    <comment ref="F304" authorId="0" shapeId="0">
      <text>
        <r>
          <rPr>
            <b/>
            <sz val="9"/>
            <color indexed="81"/>
            <rFont val="Tahoma"/>
            <family val="2"/>
          </rPr>
          <t>retouran 
19des17 = 1,181</t>
        </r>
      </text>
    </comment>
    <comment ref="F305" authorId="0" shapeId="0">
      <text>
        <r>
          <rPr>
            <b/>
            <sz val="9"/>
            <color indexed="81"/>
            <rFont val="Tahoma"/>
            <family val="2"/>
          </rPr>
          <t>28des17 = 1,190</t>
        </r>
      </text>
    </comment>
    <comment ref="F306" authorId="0" shapeId="0">
      <text>
        <r>
          <rPr>
            <b/>
            <sz val="9"/>
            <color indexed="81"/>
            <rFont val="Tahoma"/>
            <family val="2"/>
          </rPr>
          <t>retouran 
19des17 = 1,119</t>
        </r>
      </text>
    </comment>
    <comment ref="F307" authorId="0" shapeId="0">
      <text>
        <r>
          <rPr>
            <b/>
            <sz val="9"/>
            <color indexed="81"/>
            <rFont val="Tahoma"/>
            <family val="2"/>
          </rPr>
          <t>28des17 = 1035</t>
        </r>
      </text>
    </comment>
    <comment ref="F308" authorId="0" shapeId="0">
      <text>
        <r>
          <rPr>
            <b/>
            <sz val="9"/>
            <color indexed="81"/>
            <rFont val="Tahoma"/>
            <family val="2"/>
          </rPr>
          <t>retouran des'17 = 1027</t>
        </r>
      </text>
    </comment>
    <comment ref="F309" authorId="0" shapeId="0">
      <text>
        <r>
          <rPr>
            <b/>
            <sz val="9"/>
            <color indexed="81"/>
            <rFont val="Tahoma"/>
            <family val="2"/>
          </rPr>
          <t>retouran 
19des17 = 1,023</t>
        </r>
      </text>
    </comment>
    <comment ref="F313" authorId="0" shapeId="0">
      <text>
        <r>
          <rPr>
            <b/>
            <sz val="9"/>
            <color indexed="81"/>
            <rFont val="Tahoma"/>
            <family val="2"/>
          </rPr>
          <t>retouran
19 des17 = 1,177</t>
        </r>
      </text>
    </comment>
    <comment ref="F315" authorId="0" shapeId="0">
      <text>
        <r>
          <rPr>
            <b/>
            <sz val="9"/>
            <color indexed="81"/>
            <rFont val="Tahoma"/>
            <family val="2"/>
          </rPr>
          <t>retouran 
19des17 = 1,156</t>
        </r>
      </text>
    </comment>
    <comment ref="F317" authorId="0" shapeId="0">
      <text>
        <r>
          <rPr>
            <b/>
            <sz val="9"/>
            <color indexed="81"/>
            <rFont val="Tahoma"/>
            <family val="2"/>
          </rPr>
          <t xml:space="preserve">ret des 2017 = 60
</t>
        </r>
      </text>
    </comment>
    <comment ref="F318" authorId="0" shapeId="0">
      <text>
        <r>
          <rPr>
            <b/>
            <sz val="9"/>
            <color indexed="81"/>
            <rFont val="Tahoma"/>
            <family val="2"/>
          </rPr>
          <t>ret des 2017 65</t>
        </r>
      </text>
    </comment>
    <comment ref="F319" authorId="0" shapeId="0">
      <text>
        <r>
          <rPr>
            <b/>
            <sz val="9"/>
            <color indexed="81"/>
            <rFont val="Tahoma"/>
            <family val="2"/>
          </rPr>
          <t>ret bln des 2017 = 56</t>
        </r>
      </text>
    </comment>
    <comment ref="F323" authorId="0" shapeId="0">
      <text>
        <r>
          <rPr>
            <b/>
            <sz val="9"/>
            <color indexed="81"/>
            <rFont val="Tahoma"/>
            <family val="2"/>
          </rPr>
          <t>ret des 911</t>
        </r>
      </text>
    </comment>
    <comment ref="F324" authorId="0" shapeId="0">
      <text>
        <r>
          <rPr>
            <b/>
            <sz val="9"/>
            <color indexed="81"/>
            <rFont val="Tahoma"/>
            <family val="2"/>
          </rPr>
          <t>des 2017 = 153</t>
        </r>
      </text>
    </comment>
    <comment ref="F325" authorId="0" shapeId="0">
      <text>
        <r>
          <rPr>
            <b/>
            <sz val="9"/>
            <color indexed="81"/>
            <rFont val="Tahoma"/>
            <family val="2"/>
          </rPr>
          <t xml:space="preserve">des 2017 = 3
</t>
        </r>
      </text>
    </comment>
    <comment ref="F326" authorId="0" shapeId="0">
      <text>
        <r>
          <rPr>
            <b/>
            <sz val="9"/>
            <color indexed="81"/>
            <rFont val="Tahoma"/>
            <family val="2"/>
          </rPr>
          <t xml:space="preserve">des 2017 = 35
</t>
        </r>
      </text>
    </comment>
    <comment ref="F334" authorId="0" shapeId="0">
      <text>
        <r>
          <rPr>
            <b/>
            <sz val="9"/>
            <color indexed="81"/>
            <rFont val="Tahoma"/>
            <family val="2"/>
          </rPr>
          <t>cicil penambahan
penggabungan dr retour upt
bln agustus 2017 = 102</t>
        </r>
      </text>
    </comment>
    <comment ref="F335" authorId="0" shapeId="0">
      <text>
        <r>
          <rPr>
            <b/>
            <sz val="9"/>
            <color indexed="81"/>
            <rFont val="Tahoma"/>
            <family val="2"/>
          </rPr>
          <t>cicil penambahan
penggabungan dr retour upt
bln agustus 2017 =  74</t>
        </r>
      </text>
    </comment>
    <comment ref="F338" authorId="0" shapeId="0">
      <text>
        <r>
          <rPr>
            <b/>
            <sz val="9"/>
            <color indexed="81"/>
            <rFont val="Tahoma"/>
            <family val="2"/>
          </rPr>
          <t>cicil penambahan
penggabungan dr retour upt
bln agustus 2017 = 981</t>
        </r>
      </text>
    </comment>
    <comment ref="F339" authorId="0" shapeId="0">
      <text>
        <r>
          <rPr>
            <b/>
            <sz val="9"/>
            <color indexed="81"/>
            <rFont val="Tahoma"/>
            <family val="2"/>
          </rPr>
          <t>cicil penambahan
penggabungan dr retour upt
bln agustus 2017 = 811</t>
        </r>
      </text>
    </comment>
    <comment ref="F340" authorId="0" shapeId="0">
      <text>
        <r>
          <rPr>
            <b/>
            <sz val="9"/>
            <color indexed="81"/>
            <rFont val="Tahoma"/>
            <family val="2"/>
          </rPr>
          <t>cicil penambahan
penggabungan dr retour upt
bln agustus 2017 = 800</t>
        </r>
      </text>
    </comment>
    <comment ref="F341" authorId="0" shapeId="0">
      <text>
        <r>
          <rPr>
            <b/>
            <sz val="9"/>
            <color indexed="81"/>
            <rFont val="Tahoma"/>
            <family val="2"/>
          </rPr>
          <t>cicil penambahan
penggabungan dr retour upt
bln agustus 2017 = 644
des 2017 1039</t>
        </r>
      </text>
    </comment>
    <comment ref="F342" authorId="0" shapeId="0">
      <text>
        <r>
          <rPr>
            <b/>
            <sz val="9"/>
            <color indexed="81"/>
            <rFont val="Tahoma"/>
            <family val="2"/>
          </rPr>
          <t>cicil penambahan
penggabungan dr retour upt
bln agustus 2017 = 421</t>
        </r>
      </text>
    </comment>
    <comment ref="F343" authorId="0" shapeId="0">
      <text>
        <r>
          <rPr>
            <b/>
            <sz val="9"/>
            <color indexed="81"/>
            <rFont val="Tahoma"/>
            <family val="2"/>
          </rPr>
          <t>cicil penambahan
penggabungan dr retour upt
bln agustus 2017 = 1.048
des 218</t>
        </r>
      </text>
    </comment>
    <comment ref="F344" authorId="0" shapeId="0">
      <text>
        <r>
          <rPr>
            <b/>
            <sz val="9"/>
            <color indexed="81"/>
            <rFont val="Tahoma"/>
            <family val="2"/>
          </rPr>
          <t>cicil penambahan
penggabungan dr retour upt
bln agustus 2017 = 307</t>
        </r>
      </text>
    </comment>
    <comment ref="F345" authorId="0" shapeId="0">
      <text>
        <r>
          <rPr>
            <b/>
            <sz val="9"/>
            <color indexed="81"/>
            <rFont val="Tahoma"/>
            <family val="2"/>
          </rPr>
          <t>cicil penambahan
penggabungan dr retour upt
bln agustus 2017 = 577+75=652</t>
        </r>
      </text>
    </comment>
    <comment ref="F346" authorId="0" shapeId="0">
      <text>
        <r>
          <rPr>
            <b/>
            <sz val="9"/>
            <color indexed="81"/>
            <rFont val="Tahoma"/>
            <family val="2"/>
          </rPr>
          <t>cicil penambahan
penggabungan dr retour upt
bln agustus 2017 = 91</t>
        </r>
      </text>
    </comment>
    <comment ref="F347" authorId="0" shapeId="0">
      <text>
        <r>
          <rPr>
            <b/>
            <sz val="9"/>
            <color indexed="81"/>
            <rFont val="Tahoma"/>
            <family val="2"/>
          </rPr>
          <t>cicil penambahan
penggabungan dr retour upt
bln agustus 2017 = 540
des 182</t>
        </r>
      </text>
    </comment>
    <comment ref="F348" authorId="0" shapeId="0">
      <text>
        <r>
          <rPr>
            <b/>
            <sz val="9"/>
            <color indexed="81"/>
            <rFont val="Tahoma"/>
            <family val="2"/>
          </rPr>
          <t>cicil penambahan
penggabungan dr retour upt
bln agustus 2017 = 622</t>
        </r>
      </text>
    </comment>
    <comment ref="F349" authorId="0" shapeId="0">
      <text>
        <r>
          <rPr>
            <b/>
            <sz val="9"/>
            <color indexed="81"/>
            <rFont val="Tahoma"/>
            <family val="2"/>
          </rPr>
          <t>cicil penambahan
penggabungan dr retour upt
bln agustus 2017 = 14</t>
        </r>
      </text>
    </comment>
    <comment ref="F350" authorId="0" shapeId="0">
      <text>
        <r>
          <rPr>
            <b/>
            <sz val="9"/>
            <color indexed="81"/>
            <rFont val="Tahoma"/>
            <family val="2"/>
          </rPr>
          <t>cicil penambahan
penggabungan dr retour upt
bln agustus 2017 = 915</t>
        </r>
      </text>
    </comment>
    <comment ref="F351" authorId="0" shapeId="0">
      <text>
        <r>
          <rPr>
            <b/>
            <sz val="9"/>
            <color indexed="81"/>
            <rFont val="Tahoma"/>
            <family val="2"/>
          </rPr>
          <t>cicil penambahan
penggabungan dr retour upt
bln agustus 2017 = 807</t>
        </r>
      </text>
    </comment>
    <comment ref="F352" authorId="0" shapeId="0">
      <text>
        <r>
          <rPr>
            <b/>
            <sz val="9"/>
            <color indexed="81"/>
            <rFont val="Tahoma"/>
            <family val="2"/>
          </rPr>
          <t>cicil penambahan
penggabungan dr retour upt
bln agustus 2017 = 707</t>
        </r>
      </text>
    </comment>
    <comment ref="F353" authorId="0" shapeId="0">
      <text>
        <r>
          <rPr>
            <b/>
            <sz val="9"/>
            <color indexed="81"/>
            <rFont val="Tahoma"/>
            <family val="2"/>
          </rPr>
          <t>cicil penambahan
penggabungan dr retour upt
bln agustus 2017 = 807</t>
        </r>
      </text>
    </comment>
    <comment ref="F354" authorId="0" shapeId="0">
      <text>
        <r>
          <rPr>
            <b/>
            <sz val="9"/>
            <color indexed="81"/>
            <rFont val="Tahoma"/>
            <family val="2"/>
          </rPr>
          <t>cicil penambahan
penggabungan dr retour upt
bln agustus 2017 = 167</t>
        </r>
      </text>
    </comment>
    <comment ref="F355" authorId="0" shapeId="0">
      <text>
        <r>
          <rPr>
            <b/>
            <sz val="9"/>
            <color indexed="81"/>
            <rFont val="Tahoma"/>
            <family val="2"/>
          </rPr>
          <t>cicil penambahan
penggabungan dr retour upt
bln agustus 2017 = 807</t>
        </r>
      </text>
    </comment>
    <comment ref="F356" authorId="0" shapeId="0">
      <text>
        <r>
          <rPr>
            <b/>
            <sz val="9"/>
            <color indexed="81"/>
            <rFont val="Tahoma"/>
            <family val="2"/>
          </rPr>
          <t>cicil penambahan
penggabungan dr retour upt
bln agustus 2017 = 167</t>
        </r>
      </text>
    </comment>
    <comment ref="F357" authorId="0" shapeId="0">
      <text>
        <r>
          <rPr>
            <b/>
            <sz val="9"/>
            <color indexed="81"/>
            <rFont val="Tahoma"/>
            <family val="2"/>
          </rPr>
          <t>cicil penambahan
penggabungan dr retour upt
bln agustus 2017 = 807</t>
        </r>
      </text>
    </comment>
    <comment ref="F358" authorId="0" shapeId="0">
      <text>
        <r>
          <rPr>
            <b/>
            <sz val="9"/>
            <color indexed="81"/>
            <rFont val="Tahoma"/>
            <family val="2"/>
          </rPr>
          <t>cicil penambahan
penggabungan dr retour upt
bln agustus 2017 = 807</t>
        </r>
      </text>
    </comment>
    <comment ref="F359" authorId="0" shapeId="0">
      <text>
        <r>
          <rPr>
            <b/>
            <sz val="9"/>
            <color indexed="81"/>
            <rFont val="Tahoma"/>
            <family val="2"/>
          </rPr>
          <t xml:space="preserve">cicil penambahan
penggabungan dr retour upt
bln agustus 2017 = 1.007+200=1207
bln des 614
</t>
        </r>
      </text>
    </comment>
    <comment ref="F361" authorId="0" shapeId="0">
      <text>
        <r>
          <rPr>
            <b/>
            <sz val="9"/>
            <color indexed="81"/>
            <rFont val="Tahoma"/>
            <family val="2"/>
          </rPr>
          <t xml:space="preserve">des17 25
</t>
        </r>
        <r>
          <rPr>
            <sz val="9"/>
            <color indexed="81"/>
            <rFont val="Tahoma"/>
            <family val="2"/>
          </rPr>
          <t xml:space="preserve">
</t>
        </r>
      </text>
    </comment>
    <comment ref="F362" authorId="0" shapeId="0">
      <text>
        <r>
          <rPr>
            <b/>
            <sz val="9"/>
            <color indexed="81"/>
            <rFont val="Tahoma"/>
            <family val="2"/>
          </rPr>
          <t>des17 5</t>
        </r>
      </text>
    </comment>
    <comment ref="F363" authorId="0" shapeId="0">
      <text>
        <r>
          <rPr>
            <b/>
            <sz val="9"/>
            <color indexed="81"/>
            <rFont val="Tahoma"/>
            <family val="2"/>
          </rPr>
          <t>des17 592</t>
        </r>
      </text>
    </comment>
    <comment ref="F375" authorId="0" shapeId="0">
      <text>
        <r>
          <rPr>
            <b/>
            <sz val="9"/>
            <color indexed="81"/>
            <rFont val="Tahoma"/>
            <family val="2"/>
          </rPr>
          <t>cicil penambahan
penggabungan dr retour upt
bln agustus 2017 = 506+178=684
des'17 = 1313</t>
        </r>
      </text>
    </comment>
    <comment ref="F376" authorId="0" shapeId="0">
      <text>
        <r>
          <rPr>
            <b/>
            <sz val="9"/>
            <color indexed="81"/>
            <rFont val="Tahoma"/>
            <family val="2"/>
          </rPr>
          <t>cicil penambahan
penggabungan dr retour upt
bln agustus 2017 = 725+99=824
des'17 792</t>
        </r>
      </text>
    </comment>
    <comment ref="F377" authorId="0" shapeId="0">
      <text>
        <r>
          <rPr>
            <b/>
            <sz val="9"/>
            <color indexed="81"/>
            <rFont val="Tahoma"/>
            <family val="2"/>
          </rPr>
          <t>cicil penambahan
penggabungan dr retour upt
bln agustus 2017 = 359+119=478
des17=965</t>
        </r>
      </text>
    </comment>
    <comment ref="F379" authorId="0" shapeId="0">
      <text>
        <r>
          <rPr>
            <b/>
            <sz val="9"/>
            <color indexed="81"/>
            <rFont val="Tahoma"/>
            <family val="2"/>
          </rPr>
          <t>cicil penambahan
penggabungan dr retour upt
bln agustus 2017 = 80
des17 = 56</t>
        </r>
      </text>
    </comment>
    <comment ref="F380" authorId="0" shapeId="0">
      <text>
        <r>
          <rPr>
            <b/>
            <sz val="9"/>
            <color indexed="81"/>
            <rFont val="Tahoma"/>
            <family val="2"/>
          </rPr>
          <t>cicil penambahan
penggabungan dr retour upt
bln agustus 2017 = 571+220=791
des17=1.372</t>
        </r>
      </text>
    </comment>
    <comment ref="F381" authorId="0" shapeId="0">
      <text>
        <r>
          <rPr>
            <b/>
            <sz val="9"/>
            <color indexed="81"/>
            <rFont val="Tahoma"/>
            <family val="2"/>
          </rPr>
          <t>cicil penambahan
penggabungan dr retour upt
bln agustus 2017 = 650
des17=1648</t>
        </r>
      </text>
    </comment>
    <comment ref="F382" authorId="0" shapeId="0">
      <text>
        <r>
          <rPr>
            <b/>
            <sz val="9"/>
            <color indexed="81"/>
            <rFont val="Tahoma"/>
            <family val="2"/>
          </rPr>
          <t xml:space="preserve">cicil penambahan
penggabungan dr retour upt
bln agustus 2017 = 484+20=504
des17=1425
</t>
        </r>
      </text>
    </comment>
    <comment ref="F383" authorId="0" shapeId="0">
      <text>
        <r>
          <rPr>
            <b/>
            <sz val="9"/>
            <color indexed="81"/>
            <rFont val="Tahoma"/>
            <family val="2"/>
          </rPr>
          <t>cicil penambahan
penggabungan dr retour upt
bln agustus 2017 = 421
des17=1523</t>
        </r>
      </text>
    </comment>
    <comment ref="F384" authorId="0" shapeId="0">
      <text>
        <r>
          <rPr>
            <b/>
            <sz val="9"/>
            <color indexed="81"/>
            <rFont val="Tahoma"/>
            <family val="2"/>
          </rPr>
          <t>cicil penambahan
penggabungan dr retour upt
bln agustus 2017 = 445
des17=1558</t>
        </r>
      </text>
    </comment>
    <comment ref="F385" authorId="0" shapeId="0">
      <text>
        <r>
          <rPr>
            <b/>
            <sz val="9"/>
            <color indexed="81"/>
            <rFont val="Tahoma"/>
            <family val="2"/>
          </rPr>
          <t>cicil penambahan
penggabungan dr retour upt
bln agustus 2017 = 290+23=313
des17=1758</t>
        </r>
      </text>
    </comment>
    <comment ref="H385" authorId="0" shapeId="0">
      <text>
        <r>
          <rPr>
            <b/>
            <sz val="9"/>
            <color indexed="81"/>
            <rFont val="Tahoma"/>
            <family val="2"/>
          </rPr>
          <t xml:space="preserve">okt = catatan p tito 12 des 15 = 100 ke subang
</t>
        </r>
      </text>
    </comment>
    <comment ref="F386" authorId="0" shapeId="0">
      <text>
        <r>
          <rPr>
            <b/>
            <sz val="9"/>
            <color indexed="81"/>
            <rFont val="Tahoma"/>
            <family val="2"/>
          </rPr>
          <t>cicil penambahan
penggabungan dr retour upt
bln agustus 2017 = 665+23=688
des17=1610</t>
        </r>
      </text>
    </comment>
    <comment ref="F387" authorId="0" shapeId="0">
      <text>
        <r>
          <rPr>
            <b/>
            <sz val="9"/>
            <color indexed="81"/>
            <rFont val="Tahoma"/>
            <family val="2"/>
          </rPr>
          <t>cicil penambahan
penggabungan dr retour upt
bln agustus 2017 = 288+143=431
des'17 = 817</t>
        </r>
      </text>
    </comment>
    <comment ref="H387" authorId="0" shapeId="0">
      <text>
        <r>
          <rPr>
            <sz val="9"/>
            <color indexed="81"/>
            <rFont val="Tahoma"/>
            <family val="2"/>
          </rPr>
          <t>19jan18 adnan 2</t>
        </r>
      </text>
    </comment>
    <comment ref="F388" authorId="0" shapeId="0">
      <text>
        <r>
          <rPr>
            <b/>
            <sz val="9"/>
            <color indexed="81"/>
            <rFont val="Tahoma"/>
            <family val="2"/>
          </rPr>
          <t>cicil penambahan
penggabungan dr retour upt
bln agustus 2017 = 917
des'17 = 1202</t>
        </r>
      </text>
    </comment>
    <comment ref="F390" authorId="0" shapeId="0">
      <text>
        <r>
          <rPr>
            <b/>
            <sz val="9"/>
            <color indexed="81"/>
            <rFont val="Tahoma"/>
            <family val="2"/>
          </rPr>
          <t>des'17 = 100</t>
        </r>
      </text>
    </comment>
    <comment ref="H390" authorId="0" shapeId="0">
      <text>
        <r>
          <rPr>
            <b/>
            <sz val="9"/>
            <color indexed="81"/>
            <rFont val="Tahoma"/>
            <family val="2"/>
          </rPr>
          <t xml:space="preserve">dptgnkan agst 17
utk souve pameran filateli dunia oleh p heri nug, 
04-08-2017
ada di buku biru
</t>
        </r>
        <r>
          <rPr>
            <sz val="9"/>
            <color indexed="81"/>
            <rFont val="Tahoma"/>
            <family val="2"/>
          </rPr>
          <t xml:space="preserve">
</t>
        </r>
      </text>
    </comment>
    <comment ref="F391" authorId="0" shapeId="0">
      <text>
        <r>
          <rPr>
            <b/>
            <sz val="9"/>
            <color indexed="81"/>
            <rFont val="Tahoma"/>
            <family val="2"/>
          </rPr>
          <t>des17 = 317</t>
        </r>
      </text>
    </comment>
    <comment ref="F392" authorId="0" shapeId="0">
      <text>
        <r>
          <rPr>
            <b/>
            <sz val="9"/>
            <color indexed="81"/>
            <rFont val="Tahoma"/>
            <family val="2"/>
          </rPr>
          <t>cicil penambahan
penggabungan dr retour upt
bln agustus 2017 = 427
des17= 877</t>
        </r>
      </text>
    </comment>
    <comment ref="F393" authorId="0" shapeId="0">
      <text>
        <r>
          <rPr>
            <b/>
            <sz val="9"/>
            <color indexed="81"/>
            <rFont val="Tahoma"/>
            <family val="2"/>
          </rPr>
          <t>cicil penambahan
penggabungan dr retour upt
bln agustus 2017 = 874
des17 = 732</t>
        </r>
      </text>
    </comment>
    <comment ref="F394" authorId="0" shapeId="0">
      <text>
        <r>
          <rPr>
            <b/>
            <sz val="9"/>
            <color indexed="81"/>
            <rFont val="Tahoma"/>
            <family val="2"/>
          </rPr>
          <t>cicil penambahan
penggabungan dr retour upt
bln agustus 2017 = 395
des17 = 37</t>
        </r>
      </text>
    </comment>
    <comment ref="F395" authorId="0" shapeId="0">
      <text>
        <r>
          <rPr>
            <b/>
            <sz val="9"/>
            <color indexed="81"/>
            <rFont val="Tahoma"/>
            <family val="2"/>
          </rPr>
          <t>cicil penambahan
penggabungan dr retour upt
bln agustus 2017 = 457
des17 = 783</t>
        </r>
      </text>
    </comment>
    <comment ref="F396" authorId="0" shapeId="0">
      <text>
        <r>
          <rPr>
            <b/>
            <sz val="9"/>
            <color indexed="81"/>
            <rFont val="Tahoma"/>
            <family val="2"/>
          </rPr>
          <t>cicil penambahan
penggabungan dr retour upt
bln agustus 2017 = 200
des'17=102</t>
        </r>
      </text>
    </comment>
    <comment ref="F397" authorId="0" shapeId="0">
      <text>
        <r>
          <rPr>
            <b/>
            <sz val="9"/>
            <color indexed="81"/>
            <rFont val="Tahoma"/>
            <family val="2"/>
          </rPr>
          <t>cicil penambahan
penggabungan dr retour upt
bln agustus 2017 = 1.694
des17 = 768</t>
        </r>
      </text>
    </comment>
    <comment ref="F398" authorId="0" shapeId="0">
      <text>
        <r>
          <rPr>
            <b/>
            <sz val="9"/>
            <color indexed="81"/>
            <rFont val="Tahoma"/>
            <family val="2"/>
          </rPr>
          <t>cicil penambahan
penggabungan dr retour upt
bln agustus 2017 = 93
des17 = 1258</t>
        </r>
      </text>
    </comment>
    <comment ref="F399" authorId="0" shapeId="0">
      <text>
        <r>
          <rPr>
            <b/>
            <sz val="9"/>
            <color indexed="81"/>
            <rFont val="Tahoma"/>
            <family val="2"/>
          </rPr>
          <t>cicil penambahan
penggabungan dr retour upt
bln agustus 2017 = 163
des17 = 1201</t>
        </r>
      </text>
    </comment>
    <comment ref="F400" authorId="0" shapeId="0">
      <text>
        <r>
          <rPr>
            <b/>
            <sz val="9"/>
            <color indexed="81"/>
            <rFont val="Tahoma"/>
            <family val="2"/>
          </rPr>
          <t>des17 = 88</t>
        </r>
      </text>
    </comment>
    <comment ref="F408" authorId="0" shapeId="0">
      <text>
        <r>
          <rPr>
            <b/>
            <sz val="9"/>
            <color indexed="81"/>
            <rFont val="Tahoma"/>
            <family val="2"/>
          </rPr>
          <t>des17 = 109</t>
        </r>
      </text>
    </comment>
    <comment ref="F409" authorId="0" shapeId="0">
      <text>
        <r>
          <rPr>
            <b/>
            <sz val="9"/>
            <color indexed="81"/>
            <rFont val="Tahoma"/>
            <family val="2"/>
          </rPr>
          <t>des17 = 2</t>
        </r>
      </text>
    </comment>
    <comment ref="F410" authorId="0" shapeId="0">
      <text>
        <r>
          <rPr>
            <b/>
            <sz val="9"/>
            <color indexed="81"/>
            <rFont val="Tahoma"/>
            <family val="2"/>
          </rPr>
          <t>des17 = 2</t>
        </r>
      </text>
    </comment>
    <comment ref="F411" authorId="0" shapeId="0">
      <text>
        <r>
          <rPr>
            <b/>
            <sz val="9"/>
            <color indexed="81"/>
            <rFont val="Tahoma"/>
            <family val="2"/>
          </rPr>
          <t>des17 = 82</t>
        </r>
      </text>
    </comment>
    <comment ref="F412" authorId="0" shapeId="0">
      <text>
        <r>
          <rPr>
            <b/>
            <sz val="9"/>
            <color indexed="81"/>
            <rFont val="Tahoma"/>
            <family val="2"/>
          </rPr>
          <t>des17 = 61</t>
        </r>
      </text>
    </comment>
    <comment ref="H412" authorId="0" shapeId="0">
      <text>
        <r>
          <rPr>
            <b/>
            <sz val="9"/>
            <color indexed="81"/>
            <rFont val="Tahoma"/>
            <family val="2"/>
          </rPr>
          <t>12 sept 17 prod sis 100</t>
        </r>
      </text>
    </comment>
    <comment ref="F413" authorId="0" shapeId="0">
      <text>
        <r>
          <rPr>
            <b/>
            <sz val="9"/>
            <color indexed="81"/>
            <rFont val="Tahoma"/>
            <family val="2"/>
          </rPr>
          <t>des17 = 62</t>
        </r>
      </text>
    </comment>
    <comment ref="F414" authorId="0" shapeId="0">
      <text>
        <r>
          <rPr>
            <b/>
            <sz val="9"/>
            <color indexed="81"/>
            <rFont val="Tahoma"/>
            <family val="2"/>
          </rPr>
          <t>des17 = 88</t>
        </r>
      </text>
    </comment>
    <comment ref="F415" authorId="0" shapeId="0">
      <text>
        <r>
          <rPr>
            <b/>
            <sz val="9"/>
            <color indexed="81"/>
            <rFont val="Tahoma"/>
            <family val="2"/>
          </rPr>
          <t>des17 = 58</t>
        </r>
      </text>
    </comment>
    <comment ref="F417" authorId="0" shapeId="0">
      <text>
        <r>
          <rPr>
            <b/>
            <sz val="9"/>
            <color indexed="81"/>
            <rFont val="Tahoma"/>
            <family val="2"/>
          </rPr>
          <t>des17 = 94</t>
        </r>
      </text>
    </comment>
    <comment ref="F418" authorId="0" shapeId="0">
      <text>
        <r>
          <rPr>
            <b/>
            <sz val="9"/>
            <color indexed="81"/>
            <rFont val="Tahoma"/>
            <family val="2"/>
          </rPr>
          <t>des17 = 96</t>
        </r>
      </text>
    </comment>
    <comment ref="F419" authorId="0" shapeId="0">
      <text>
        <r>
          <rPr>
            <b/>
            <sz val="9"/>
            <color indexed="81"/>
            <rFont val="Tahoma"/>
            <family val="2"/>
          </rPr>
          <t>des17 = 98</t>
        </r>
      </text>
    </comment>
    <comment ref="F420" authorId="0" shapeId="0">
      <text>
        <r>
          <rPr>
            <b/>
            <sz val="9"/>
            <color indexed="81"/>
            <rFont val="Tahoma"/>
            <family val="2"/>
          </rPr>
          <t>des17 = 98</t>
        </r>
      </text>
    </comment>
    <comment ref="F421" authorId="0" shapeId="0">
      <text>
        <r>
          <rPr>
            <b/>
            <sz val="9"/>
            <color indexed="81"/>
            <rFont val="Tahoma"/>
            <family val="2"/>
          </rPr>
          <t>des17 = 39</t>
        </r>
      </text>
    </comment>
    <comment ref="F423" authorId="0" shapeId="0">
      <text>
        <r>
          <rPr>
            <b/>
            <sz val="9"/>
            <color indexed="81"/>
            <rFont val="Tahoma"/>
            <family val="2"/>
          </rPr>
          <t>des17 = 44</t>
        </r>
      </text>
    </comment>
    <comment ref="F424" authorId="0" shapeId="0">
      <text>
        <r>
          <rPr>
            <b/>
            <sz val="9"/>
            <color indexed="81"/>
            <rFont val="Tahoma"/>
            <family val="2"/>
          </rPr>
          <t>des17 = 30</t>
        </r>
      </text>
    </comment>
    <comment ref="F431" authorId="0" shapeId="0">
      <text>
        <r>
          <rPr>
            <b/>
            <sz val="9"/>
            <color indexed="81"/>
            <rFont val="Tahoma"/>
            <family val="2"/>
          </rPr>
          <t>des17 = 39</t>
        </r>
      </text>
    </comment>
    <comment ref="F432" authorId="0" shapeId="0">
      <text>
        <r>
          <rPr>
            <b/>
            <sz val="9"/>
            <color indexed="81"/>
            <rFont val="Tahoma"/>
            <family val="2"/>
          </rPr>
          <t>des17 = 34</t>
        </r>
      </text>
    </comment>
    <comment ref="F433" authorId="0" shapeId="0">
      <text>
        <r>
          <rPr>
            <b/>
            <sz val="9"/>
            <color indexed="81"/>
            <rFont val="Tahoma"/>
            <family val="2"/>
          </rPr>
          <t>des17 = 40</t>
        </r>
      </text>
    </comment>
    <comment ref="F434" authorId="0" shapeId="0">
      <text>
        <r>
          <rPr>
            <b/>
            <sz val="9"/>
            <color indexed="81"/>
            <rFont val="Tahoma"/>
            <family val="2"/>
          </rPr>
          <t>des17 = 20</t>
        </r>
      </text>
    </comment>
    <comment ref="F435" authorId="0" shapeId="0">
      <text>
        <r>
          <rPr>
            <b/>
            <sz val="9"/>
            <color indexed="81"/>
            <rFont val="Tahoma"/>
            <family val="2"/>
          </rPr>
          <t>des17 = 35</t>
        </r>
      </text>
    </comment>
    <comment ref="F436" authorId="0" shapeId="0">
      <text>
        <r>
          <rPr>
            <b/>
            <sz val="9"/>
            <color indexed="81"/>
            <rFont val="Tahoma"/>
            <family val="2"/>
          </rPr>
          <t>des17 = 40</t>
        </r>
      </text>
    </comment>
    <comment ref="F437" authorId="0" shapeId="0">
      <text>
        <r>
          <rPr>
            <b/>
            <sz val="9"/>
            <color indexed="81"/>
            <rFont val="Tahoma"/>
            <family val="2"/>
          </rPr>
          <t>des17 = 20</t>
        </r>
      </text>
    </comment>
    <comment ref="F438" authorId="0" shapeId="0">
      <text>
        <r>
          <rPr>
            <b/>
            <sz val="9"/>
            <color indexed="81"/>
            <rFont val="Tahoma"/>
            <family val="2"/>
          </rPr>
          <t>des17 = 30</t>
        </r>
      </text>
    </comment>
    <comment ref="F439" authorId="0" shapeId="0">
      <text>
        <r>
          <rPr>
            <b/>
            <sz val="9"/>
            <color indexed="81"/>
            <rFont val="Tahoma"/>
            <family val="2"/>
          </rPr>
          <t>des17 = 20</t>
        </r>
      </text>
    </comment>
    <comment ref="F442" authorId="0" shapeId="0">
      <text>
        <r>
          <rPr>
            <b/>
            <sz val="9"/>
            <color indexed="81"/>
            <rFont val="Tahoma"/>
            <family val="2"/>
          </rPr>
          <t>des17 = 30</t>
        </r>
      </text>
    </comment>
    <comment ref="F443" authorId="0" shapeId="0">
      <text>
        <r>
          <rPr>
            <b/>
            <sz val="9"/>
            <color indexed="81"/>
            <rFont val="Tahoma"/>
            <family val="2"/>
          </rPr>
          <t>des17 = 40</t>
        </r>
      </text>
    </comment>
    <comment ref="F444" authorId="0" shapeId="0">
      <text>
        <r>
          <rPr>
            <b/>
            <sz val="9"/>
            <color indexed="81"/>
            <rFont val="Tahoma"/>
            <family val="2"/>
          </rPr>
          <t>des17 = 40</t>
        </r>
      </text>
    </comment>
    <comment ref="F445" authorId="0" shapeId="0">
      <text>
        <r>
          <rPr>
            <b/>
            <sz val="9"/>
            <color indexed="81"/>
            <rFont val="Tahoma"/>
            <family val="2"/>
          </rPr>
          <t>des17 = 40</t>
        </r>
      </text>
    </comment>
    <comment ref="F446" authorId="0" shapeId="0">
      <text>
        <r>
          <rPr>
            <b/>
            <sz val="9"/>
            <color indexed="81"/>
            <rFont val="Tahoma"/>
            <family val="2"/>
          </rPr>
          <t>des17 = 36</t>
        </r>
      </text>
    </comment>
    <comment ref="F447" authorId="0" shapeId="0">
      <text>
        <r>
          <rPr>
            <b/>
            <sz val="9"/>
            <color indexed="81"/>
            <rFont val="Tahoma"/>
            <family val="2"/>
          </rPr>
          <t>des17 = 175</t>
        </r>
      </text>
    </comment>
    <comment ref="F455" authorId="0" shapeId="0">
      <text>
        <r>
          <rPr>
            <b/>
            <sz val="9"/>
            <color indexed="81"/>
            <rFont val="Tahoma"/>
            <family val="2"/>
          </rPr>
          <t>des2017 ret dr  magelang 18</t>
        </r>
      </text>
    </comment>
    <comment ref="N456" authorId="0" shapeId="0">
      <text>
        <r>
          <rPr>
            <b/>
            <sz val="9"/>
            <color indexed="81"/>
            <rFont val="Tahoma"/>
            <family val="2"/>
          </rPr>
          <t xml:space="preserve">juni : </t>
        </r>
        <r>
          <rPr>
            <sz val="9"/>
            <color indexed="81"/>
            <rFont val="Tahoma"/>
            <family val="2"/>
          </rPr>
          <t xml:space="preserve">400 ke kfj blm dibuatkan g 14, akan dibuatkan di juni tapi dptgn hanya 200 di gd pst, krn yg 200 sudah dptgn di bln feb 16
</t>
        </r>
      </text>
    </comment>
    <comment ref="F457" authorId="0" shapeId="0">
      <text>
        <r>
          <rPr>
            <b/>
            <sz val="9"/>
            <color indexed="81"/>
            <rFont val="Tahoma"/>
            <family val="2"/>
          </rPr>
          <t>dikembalikan lagi 5 dr pa adnan ga jadi</t>
        </r>
      </text>
    </comment>
    <comment ref="N457" authorId="0" shapeId="0">
      <text>
        <r>
          <rPr>
            <b/>
            <sz val="9"/>
            <color indexed="81"/>
            <rFont val="Tahoma"/>
            <family val="2"/>
          </rPr>
          <t xml:space="preserve">juni : </t>
        </r>
        <r>
          <rPr>
            <sz val="9"/>
            <color indexed="81"/>
            <rFont val="Tahoma"/>
            <family val="2"/>
          </rPr>
          <t xml:space="preserve"> 200 ke kfj blm dibuatkan g 14, akan dibuatkan di juni tapi TIDAK dptgn di gd pst, krn yg 200 sudah dptgn di bln feb 16</t>
        </r>
      </text>
    </comment>
    <comment ref="N458" authorId="0" shapeId="0">
      <text>
        <r>
          <rPr>
            <b/>
            <sz val="9"/>
            <color indexed="81"/>
            <rFont val="Tahoma"/>
            <family val="2"/>
          </rPr>
          <t>pa adnan 13 april utk kominfo</t>
        </r>
        <r>
          <rPr>
            <sz val="9"/>
            <color indexed="81"/>
            <rFont val="Tahoma"/>
            <family val="2"/>
          </rPr>
          <t xml:space="preserve">
</t>
        </r>
      </text>
    </comment>
    <comment ref="R470" authorId="0" shapeId="0">
      <text>
        <r>
          <rPr>
            <b/>
            <sz val="9"/>
            <color indexed="81"/>
            <rFont val="Tahoma"/>
            <family val="2"/>
          </rPr>
          <t xml:space="preserve">sis pertukaran
</t>
        </r>
        <r>
          <rPr>
            <sz val="9"/>
            <color indexed="81"/>
            <rFont val="Tahoma"/>
            <family val="2"/>
          </rPr>
          <t xml:space="preserve">
</t>
        </r>
      </text>
    </comment>
    <comment ref="F472" authorId="0" shapeId="0">
      <text>
        <r>
          <rPr>
            <b/>
            <sz val="9"/>
            <color indexed="81"/>
            <rFont val="Tahoma"/>
            <family val="2"/>
          </rPr>
          <t xml:space="preserve">juni 1000
</t>
        </r>
        <r>
          <rPr>
            <sz val="9"/>
            <color indexed="81"/>
            <rFont val="Tahoma"/>
            <family val="2"/>
          </rPr>
          <t xml:space="preserve">
</t>
        </r>
      </text>
    </comment>
    <comment ref="F473" authorId="0" shapeId="0">
      <text>
        <r>
          <rPr>
            <b/>
            <sz val="9"/>
            <color indexed="81"/>
            <rFont val="Tahoma"/>
            <family val="2"/>
          </rPr>
          <t>juni 800</t>
        </r>
        <r>
          <rPr>
            <sz val="9"/>
            <color indexed="81"/>
            <rFont val="Tahoma"/>
            <family val="2"/>
          </rPr>
          <t xml:space="preserve">
</t>
        </r>
      </text>
    </comment>
    <comment ref="F474" authorId="0" shapeId="0">
      <text>
        <r>
          <rPr>
            <b/>
            <sz val="9"/>
            <color indexed="81"/>
            <rFont val="Tahoma"/>
            <family val="2"/>
          </rPr>
          <t xml:space="preserve">agst 300
</t>
        </r>
        <r>
          <rPr>
            <sz val="9"/>
            <color indexed="81"/>
            <rFont val="Tahoma"/>
            <family val="2"/>
          </rPr>
          <t xml:space="preserve">
</t>
        </r>
      </text>
    </comment>
    <comment ref="F475" authorId="0" shapeId="0">
      <text>
        <r>
          <rPr>
            <b/>
            <sz val="9"/>
            <color indexed="81"/>
            <rFont val="Tahoma"/>
            <family val="2"/>
          </rPr>
          <t>agust 3000</t>
        </r>
        <r>
          <rPr>
            <sz val="9"/>
            <color indexed="81"/>
            <rFont val="Tahoma"/>
            <family val="2"/>
          </rPr>
          <t xml:space="preserve">
</t>
        </r>
      </text>
    </comment>
    <comment ref="Q475" authorId="0" shapeId="0">
      <text>
        <r>
          <rPr>
            <sz val="9"/>
            <color indexed="81"/>
            <rFont val="Tahoma"/>
            <family val="2"/>
          </rPr>
          <t xml:space="preserve">ke produksi
</t>
        </r>
      </text>
    </comment>
    <comment ref="F476" authorId="0" shapeId="0">
      <text>
        <r>
          <rPr>
            <b/>
            <sz val="9"/>
            <color indexed="81"/>
            <rFont val="Tahoma"/>
            <family val="2"/>
          </rPr>
          <t>agust 3000</t>
        </r>
        <r>
          <rPr>
            <sz val="9"/>
            <color indexed="81"/>
            <rFont val="Tahoma"/>
            <family val="2"/>
          </rPr>
          <t xml:space="preserve">
</t>
        </r>
      </text>
    </comment>
    <comment ref="Q476" authorId="0" shapeId="0">
      <text>
        <r>
          <rPr>
            <sz val="9"/>
            <color indexed="81"/>
            <rFont val="Tahoma"/>
            <family val="2"/>
          </rPr>
          <t xml:space="preserve">ke produksi
</t>
        </r>
      </text>
    </comment>
    <comment ref="R476" authorId="0" shapeId="0">
      <text>
        <r>
          <rPr>
            <sz val="9"/>
            <color indexed="81"/>
            <rFont val="Tahoma"/>
            <family val="2"/>
          </rPr>
          <t xml:space="preserve">utk contoh dibuku ditulis poscard , bln agst diptgn sep
</t>
        </r>
      </text>
    </comment>
    <comment ref="Q477" authorId="0" shapeId="0">
      <text>
        <r>
          <rPr>
            <sz val="9"/>
            <color indexed="81"/>
            <rFont val="Tahoma"/>
            <family val="2"/>
          </rPr>
          <t xml:space="preserve">ke produksi
</t>
        </r>
      </text>
    </comment>
    <comment ref="Q478" authorId="0" shapeId="0">
      <text>
        <r>
          <rPr>
            <sz val="9"/>
            <color indexed="81"/>
            <rFont val="Tahoma"/>
            <family val="2"/>
          </rPr>
          <t xml:space="preserve">ke produksi
</t>
        </r>
      </text>
    </comment>
    <comment ref="F484" authorId="0" shapeId="0">
      <text>
        <r>
          <rPr>
            <b/>
            <sz val="9"/>
            <color indexed="81"/>
            <rFont val="Tahoma"/>
            <family val="2"/>
          </rPr>
          <t>NOV 3000</t>
        </r>
        <r>
          <rPr>
            <sz val="9"/>
            <color indexed="81"/>
            <rFont val="Tahoma"/>
            <family val="2"/>
          </rPr>
          <t xml:space="preserve">
</t>
        </r>
      </text>
    </comment>
    <comment ref="F485" authorId="0" shapeId="0">
      <text>
        <r>
          <rPr>
            <b/>
            <sz val="9"/>
            <color indexed="81"/>
            <rFont val="Tahoma"/>
            <family val="2"/>
          </rPr>
          <t>NOV 1000</t>
        </r>
        <r>
          <rPr>
            <sz val="9"/>
            <color indexed="81"/>
            <rFont val="Tahoma"/>
            <family val="2"/>
          </rPr>
          <t xml:space="preserve">
</t>
        </r>
      </text>
    </comment>
    <comment ref="F486" authorId="0" shapeId="0">
      <text>
        <r>
          <rPr>
            <b/>
            <sz val="9"/>
            <color indexed="81"/>
            <rFont val="Tahoma"/>
            <family val="2"/>
          </rPr>
          <t>nov 1000 dptgnk des</t>
        </r>
        <r>
          <rPr>
            <sz val="9"/>
            <color indexed="81"/>
            <rFont val="Tahoma"/>
            <family val="2"/>
          </rPr>
          <t xml:space="preserve">
</t>
        </r>
      </text>
    </comment>
    <comment ref="F498" authorId="0" shapeId="0">
      <text>
        <r>
          <rPr>
            <b/>
            <sz val="9"/>
            <color indexed="81"/>
            <rFont val="Tahoma"/>
            <family val="2"/>
          </rPr>
          <t xml:space="preserve">500 terakhir blm ada g14 nya cek fisik brg
</t>
        </r>
        <r>
          <rPr>
            <sz val="9"/>
            <color indexed="81"/>
            <rFont val="Tahoma"/>
            <family val="2"/>
          </rPr>
          <t xml:space="preserve">
</t>
        </r>
      </text>
    </comment>
    <comment ref="F499" authorId="0" shapeId="0">
      <text>
        <r>
          <rPr>
            <b/>
            <sz val="9"/>
            <color indexed="81"/>
            <rFont val="Tahoma"/>
            <family val="2"/>
          </rPr>
          <t xml:space="preserve">jun 3.000
</t>
        </r>
        <r>
          <rPr>
            <sz val="9"/>
            <color indexed="81"/>
            <rFont val="Tahoma"/>
            <family val="2"/>
          </rPr>
          <t xml:space="preserve">
</t>
        </r>
      </text>
    </comment>
    <comment ref="F500" authorId="0" shapeId="0">
      <text>
        <r>
          <rPr>
            <b/>
            <sz val="9"/>
            <color indexed="81"/>
            <rFont val="Tahoma"/>
            <family val="2"/>
          </rPr>
          <t xml:space="preserve">jun 3.000
</t>
        </r>
        <r>
          <rPr>
            <sz val="9"/>
            <color indexed="81"/>
            <rFont val="Tahoma"/>
            <family val="2"/>
          </rPr>
          <t xml:space="preserve">
</t>
        </r>
      </text>
    </comment>
    <comment ref="F501" authorId="0" shapeId="0">
      <text>
        <r>
          <rPr>
            <b/>
            <sz val="9"/>
            <color indexed="81"/>
            <rFont val="Tahoma"/>
            <family val="2"/>
          </rPr>
          <t xml:space="preserve">jun 3.000
</t>
        </r>
        <r>
          <rPr>
            <sz val="9"/>
            <color indexed="81"/>
            <rFont val="Tahoma"/>
            <family val="2"/>
          </rPr>
          <t xml:space="preserve">
</t>
        </r>
      </text>
    </comment>
    <comment ref="I503" authorId="0" shapeId="0">
      <text>
        <r>
          <rPr>
            <b/>
            <sz val="9"/>
            <color indexed="81"/>
            <rFont val="Tahoma"/>
            <family val="2"/>
          </rPr>
          <t>cocok 28 agustus
300</t>
        </r>
        <r>
          <rPr>
            <sz val="9"/>
            <color indexed="81"/>
            <rFont val="Tahoma"/>
            <family val="2"/>
          </rPr>
          <t xml:space="preserve">
</t>
        </r>
      </text>
    </comment>
    <comment ref="F507" authorId="0" shapeId="0">
      <text>
        <r>
          <rPr>
            <b/>
            <sz val="9"/>
            <color indexed="81"/>
            <rFont val="Tahoma"/>
            <family val="2"/>
          </rPr>
          <t xml:space="preserve">ke bukit tinggi 3.000
dkrm oleh fil, sis
</t>
        </r>
      </text>
    </comment>
    <comment ref="F508" authorId="0" shapeId="0">
      <text>
        <r>
          <rPr>
            <b/>
            <sz val="9"/>
            <color indexed="81"/>
            <rFont val="Tahoma"/>
            <family val="2"/>
          </rPr>
          <t>des17 = 300</t>
        </r>
      </text>
    </comment>
    <comment ref="F509" authorId="0" shapeId="0">
      <text>
        <r>
          <rPr>
            <b/>
            <sz val="9"/>
            <color indexed="81"/>
            <rFont val="Tahoma"/>
            <family val="2"/>
          </rPr>
          <t>di buat 2.000 shp
tapi 500 di masukan/dijual menjadi kemasan (produk baru di kemasan).
Jd yg bisa di distribusikan 1.500 shp</t>
        </r>
        <r>
          <rPr>
            <sz val="9"/>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F8" authorId="0" shapeId="0">
      <text>
        <r>
          <rPr>
            <b/>
            <sz val="9"/>
            <color indexed="81"/>
            <rFont val="Tahoma"/>
            <family val="2"/>
          </rPr>
          <t xml:space="preserve">nov dr produksi 100
</t>
        </r>
        <r>
          <rPr>
            <sz val="9"/>
            <color indexed="81"/>
            <rFont val="Tahoma"/>
            <family val="2"/>
          </rPr>
          <t xml:space="preserve">
</t>
        </r>
      </text>
    </comment>
    <comment ref="H8" authorId="0" shapeId="0">
      <text>
        <r>
          <rPr>
            <b/>
            <sz val="9"/>
            <color indexed="81"/>
            <rFont val="Tahoma"/>
            <family val="2"/>
          </rPr>
          <t>juni oleh produksi
adnan,sis,heri
hampir semua kemasan di bulan juni.
Comment hanya di ketik satu mewakili keseluruhan</t>
        </r>
      </text>
    </comment>
    <comment ref="F9" authorId="0" shapeId="0">
      <text>
        <r>
          <rPr>
            <b/>
            <sz val="9"/>
            <color indexed="81"/>
            <rFont val="Tahoma"/>
            <family val="2"/>
          </rPr>
          <t>retouran des17= 16</t>
        </r>
      </text>
    </comment>
    <comment ref="H9" authorId="0" shapeId="0">
      <text>
        <r>
          <rPr>
            <b/>
            <sz val="9"/>
            <color indexed="81"/>
            <rFont val="Tahoma"/>
            <family val="2"/>
          </rPr>
          <t>20 des 17= p adnan 1</t>
        </r>
      </text>
    </comment>
    <comment ref="F13" authorId="0" shapeId="0">
      <text>
        <r>
          <rPr>
            <b/>
            <sz val="9"/>
            <color indexed="81"/>
            <rFont val="Tahoma"/>
            <family val="2"/>
          </rPr>
          <t xml:space="preserve">retouran des17= 8
</t>
        </r>
      </text>
    </comment>
    <comment ref="F14" authorId="0" shapeId="0">
      <text>
        <r>
          <rPr>
            <b/>
            <sz val="9"/>
            <color indexed="81"/>
            <rFont val="Tahoma"/>
            <family val="2"/>
          </rPr>
          <t xml:space="preserve">retouran des17= 9
</t>
        </r>
      </text>
    </comment>
    <comment ref="F17" authorId="0" shapeId="0">
      <text>
        <r>
          <rPr>
            <b/>
            <sz val="9"/>
            <color indexed="81"/>
            <rFont val="Tahoma"/>
            <family val="2"/>
          </rPr>
          <t>retouran des17= 16</t>
        </r>
      </text>
    </comment>
    <comment ref="H17" authorId="0" shapeId="0">
      <text>
        <r>
          <rPr>
            <b/>
            <sz val="9"/>
            <color indexed="81"/>
            <rFont val="Tahoma"/>
            <family val="2"/>
          </rPr>
          <t>dptgnkan agst 17
utk souve man fil pameran oleh p deden
25-7-17 =1</t>
        </r>
        <r>
          <rPr>
            <sz val="9"/>
            <color indexed="81"/>
            <rFont val="Tahoma"/>
            <family val="2"/>
          </rPr>
          <t xml:space="preserve">
ada di buku biru</t>
        </r>
      </text>
    </comment>
    <comment ref="H18" authorId="0" shapeId="0">
      <text>
        <r>
          <rPr>
            <b/>
            <sz val="9"/>
            <color indexed="81"/>
            <rFont val="Tahoma"/>
            <family val="2"/>
          </rPr>
          <t>dptgnkan agst 17
utk souve man fil pameran oleh p deden
25-7-17 =1
ada di buku biru</t>
        </r>
        <r>
          <rPr>
            <sz val="9"/>
            <color indexed="81"/>
            <rFont val="Tahoma"/>
            <family val="2"/>
          </rPr>
          <t xml:space="preserve">
</t>
        </r>
      </text>
    </comment>
    <comment ref="H19" authorId="0" shapeId="0">
      <text>
        <r>
          <rPr>
            <sz val="9"/>
            <color indexed="81"/>
            <rFont val="Tahoma"/>
            <family val="2"/>
          </rPr>
          <t>dptgnkan agst 17
utk souve man fil pameran oleh p deden
25-7-17 =1
ada di buku biru
20 des 17= p adnan 1</t>
        </r>
      </text>
    </comment>
    <comment ref="H20" authorId="0" shapeId="0">
      <text>
        <r>
          <rPr>
            <b/>
            <sz val="9"/>
            <color indexed="81"/>
            <rFont val="Tahoma"/>
            <family val="2"/>
          </rPr>
          <t>dptgnkan agst 17
utk souve man fil pameran oleh p deden
25-7-17 =1
ada di buku biru</t>
        </r>
        <r>
          <rPr>
            <sz val="9"/>
            <color indexed="81"/>
            <rFont val="Tahoma"/>
            <family val="2"/>
          </rPr>
          <t xml:space="preserve">
</t>
        </r>
      </text>
    </comment>
    <comment ref="H21" authorId="0" shapeId="0">
      <text>
        <r>
          <rPr>
            <sz val="9"/>
            <color indexed="81"/>
            <rFont val="Tahoma"/>
            <family val="2"/>
          </rPr>
          <t xml:space="preserve">dptgnkan agst 17
utk souve man fil pameran oleh p deden
25-7-17 =1
ada di buku biru
</t>
        </r>
      </text>
    </comment>
    <comment ref="F22" authorId="0" shapeId="0">
      <text>
        <r>
          <rPr>
            <b/>
            <sz val="9"/>
            <color indexed="81"/>
            <rFont val="Tahoma"/>
            <family val="2"/>
          </rPr>
          <t>retouran des17= 49</t>
        </r>
      </text>
    </comment>
    <comment ref="H22" authorId="0" shapeId="0">
      <text>
        <r>
          <rPr>
            <sz val="9"/>
            <color indexed="81"/>
            <rFont val="Tahoma"/>
            <family val="2"/>
          </rPr>
          <t xml:space="preserve">dptgnkan agst 17
utk souve man fil pameran oleh p deden
25-7-17 =1
ada di buku biru
</t>
        </r>
      </text>
    </comment>
    <comment ref="F25" authorId="0" shapeId="0">
      <text>
        <r>
          <rPr>
            <b/>
            <sz val="9"/>
            <color indexed="81"/>
            <rFont val="Tahoma"/>
            <family val="2"/>
          </rPr>
          <t>retouran des17= 10</t>
        </r>
      </text>
    </comment>
    <comment ref="F26" authorId="0" shapeId="0">
      <text>
        <r>
          <rPr>
            <b/>
            <sz val="9"/>
            <color indexed="81"/>
            <rFont val="Tahoma"/>
            <family val="2"/>
          </rPr>
          <t>retouran des17= 42</t>
        </r>
      </text>
    </comment>
    <comment ref="F34" authorId="0" shapeId="0">
      <text>
        <r>
          <rPr>
            <b/>
            <sz val="9"/>
            <color indexed="81"/>
            <rFont val="Tahoma"/>
            <family val="2"/>
          </rPr>
          <t>mei retouran 98
juni 99
nov dr prod 30
des17=98
retdes17=98</t>
        </r>
      </text>
    </comment>
    <comment ref="F44" authorId="0" shapeId="0">
      <text>
        <r>
          <rPr>
            <b/>
            <sz val="9"/>
            <color indexed="81"/>
            <rFont val="Tahoma"/>
            <family val="2"/>
          </rPr>
          <t>retouran des17 = 41</t>
        </r>
      </text>
    </comment>
    <comment ref="H44" authorId="0" shapeId="0">
      <text>
        <r>
          <rPr>
            <b/>
            <sz val="9"/>
            <color indexed="81"/>
            <rFont val="Tahoma"/>
            <family val="2"/>
          </rPr>
          <t>20 des 17= p adnan 1</t>
        </r>
      </text>
    </comment>
    <comment ref="F53" authorId="0" shapeId="0">
      <text>
        <r>
          <rPr>
            <b/>
            <sz val="9"/>
            <color indexed="81"/>
            <rFont val="Tahoma"/>
            <family val="2"/>
          </rPr>
          <t xml:space="preserve">ret des17 = 6
</t>
        </r>
        <r>
          <rPr>
            <sz val="9"/>
            <color indexed="81"/>
            <rFont val="Tahoma"/>
            <family val="2"/>
          </rPr>
          <t xml:space="preserve">
</t>
        </r>
      </text>
    </comment>
    <comment ref="F54" authorId="0" shapeId="0">
      <text>
        <r>
          <rPr>
            <b/>
            <sz val="9"/>
            <color indexed="81"/>
            <rFont val="Tahoma"/>
            <family val="2"/>
          </rPr>
          <t xml:space="preserve">ret des17 = 6
</t>
        </r>
        <r>
          <rPr>
            <sz val="9"/>
            <color indexed="81"/>
            <rFont val="Tahoma"/>
            <family val="2"/>
          </rPr>
          <t xml:space="preserve">
</t>
        </r>
      </text>
    </comment>
    <comment ref="F61" authorId="0" shapeId="0">
      <text>
        <r>
          <rPr>
            <b/>
            <sz val="9"/>
            <color indexed="81"/>
            <rFont val="Tahoma"/>
            <family val="2"/>
          </rPr>
          <t>mei retouran 97
ret des17 = 2</t>
        </r>
      </text>
    </comment>
    <comment ref="F63" authorId="0" shapeId="0">
      <text>
        <r>
          <rPr>
            <b/>
            <sz val="9"/>
            <color indexed="81"/>
            <rFont val="Tahoma"/>
            <family val="2"/>
          </rPr>
          <t>ret des17 = 17</t>
        </r>
        <r>
          <rPr>
            <sz val="9"/>
            <color indexed="81"/>
            <rFont val="Tahoma"/>
            <family val="2"/>
          </rPr>
          <t xml:space="preserve">
</t>
        </r>
      </text>
    </comment>
    <comment ref="F65" authorId="0" shapeId="0">
      <text>
        <r>
          <rPr>
            <b/>
            <sz val="9"/>
            <color indexed="81"/>
            <rFont val="Tahoma"/>
            <family val="2"/>
          </rPr>
          <t xml:space="preserve">ret 19des17 = 9
</t>
        </r>
        <r>
          <rPr>
            <sz val="9"/>
            <color indexed="81"/>
            <rFont val="Tahoma"/>
            <family val="2"/>
          </rPr>
          <t xml:space="preserve">
</t>
        </r>
      </text>
    </comment>
    <comment ref="F72" authorId="0" shapeId="0">
      <text>
        <r>
          <rPr>
            <b/>
            <sz val="9"/>
            <color indexed="81"/>
            <rFont val="Tahoma"/>
            <family val="2"/>
          </rPr>
          <t xml:space="preserve">ret des17 = 4
</t>
        </r>
        <r>
          <rPr>
            <sz val="9"/>
            <color indexed="81"/>
            <rFont val="Tahoma"/>
            <family val="2"/>
          </rPr>
          <t xml:space="preserve">
</t>
        </r>
      </text>
    </comment>
    <comment ref="F81" authorId="0" shapeId="0">
      <text>
        <r>
          <rPr>
            <b/>
            <sz val="9"/>
            <color indexed="81"/>
            <rFont val="Tahoma"/>
            <family val="2"/>
          </rPr>
          <t xml:space="preserve">ret des17 = 1
</t>
        </r>
        <r>
          <rPr>
            <sz val="9"/>
            <color indexed="81"/>
            <rFont val="Tahoma"/>
            <family val="2"/>
          </rPr>
          <t xml:space="preserve">
</t>
        </r>
      </text>
    </comment>
    <comment ref="H117" authorId="0" shapeId="0">
      <text>
        <r>
          <rPr>
            <sz val="9"/>
            <color indexed="81"/>
            <rFont val="Tahoma"/>
            <family val="2"/>
          </rPr>
          <t xml:space="preserve">produksi
</t>
        </r>
      </text>
    </comment>
    <comment ref="F133" authorId="0" shapeId="0">
      <text>
        <r>
          <rPr>
            <b/>
            <sz val="9"/>
            <color indexed="81"/>
            <rFont val="Tahoma"/>
            <family val="2"/>
          </rPr>
          <t>juni 3.000</t>
        </r>
      </text>
    </comment>
    <comment ref="N133" authorId="0" shapeId="0">
      <text>
        <r>
          <rPr>
            <b/>
            <sz val="9"/>
            <color indexed="81"/>
            <rFont val="Tahoma"/>
            <family val="2"/>
          </rPr>
          <t>sis utk contoh, barengan 1 fs pmi utk pa adnan , jg diambil p sis</t>
        </r>
        <r>
          <rPr>
            <sz val="9"/>
            <color indexed="81"/>
            <rFont val="Tahoma"/>
            <family val="2"/>
          </rPr>
          <t xml:space="preserve">
</t>
        </r>
      </text>
    </comment>
    <comment ref="F134" authorId="0" shapeId="0">
      <text>
        <r>
          <rPr>
            <b/>
            <sz val="9"/>
            <color indexed="81"/>
            <rFont val="Tahoma"/>
            <family val="2"/>
          </rPr>
          <t>juni 450</t>
        </r>
        <r>
          <rPr>
            <sz val="9"/>
            <color indexed="81"/>
            <rFont val="Tahoma"/>
            <family val="2"/>
          </rPr>
          <t xml:space="preserve">
</t>
        </r>
      </text>
    </comment>
    <comment ref="F135" authorId="0" shapeId="0">
      <text>
        <r>
          <rPr>
            <b/>
            <sz val="9"/>
            <color indexed="81"/>
            <rFont val="Tahoma"/>
            <family val="2"/>
          </rPr>
          <t>juli 100</t>
        </r>
        <r>
          <rPr>
            <sz val="9"/>
            <color indexed="81"/>
            <rFont val="Tahoma"/>
            <family val="2"/>
          </rPr>
          <t xml:space="preserve">
</t>
        </r>
      </text>
    </comment>
    <comment ref="F137" authorId="0" shapeId="0">
      <text>
        <r>
          <rPr>
            <b/>
            <sz val="9"/>
            <color indexed="81"/>
            <rFont val="Tahoma"/>
            <family val="2"/>
          </rPr>
          <t>NOV 1500</t>
        </r>
        <r>
          <rPr>
            <sz val="9"/>
            <color indexed="81"/>
            <rFont val="Tahoma"/>
            <family val="2"/>
          </rPr>
          <t xml:space="preserve">
</t>
        </r>
      </text>
    </comment>
    <comment ref="F145" authorId="0" shapeId="0">
      <text>
        <r>
          <rPr>
            <b/>
            <sz val="9"/>
            <color indexed="81"/>
            <rFont val="Tahoma"/>
            <family val="2"/>
          </rPr>
          <t xml:space="preserve">april 4.000
</t>
        </r>
        <r>
          <rPr>
            <sz val="9"/>
            <color indexed="81"/>
            <rFont val="Tahoma"/>
            <family val="2"/>
          </rPr>
          <t xml:space="preserve">
</t>
        </r>
      </text>
    </comment>
    <comment ref="F146" authorId="0" shapeId="0">
      <text>
        <r>
          <rPr>
            <b/>
            <sz val="9"/>
            <color indexed="81"/>
            <rFont val="Tahoma"/>
            <family val="2"/>
          </rPr>
          <t>dibuat</t>
        </r>
      </text>
    </comment>
    <comment ref="F147" authorId="0" shapeId="0">
      <text>
        <r>
          <rPr>
            <b/>
            <sz val="9"/>
            <color indexed="81"/>
            <rFont val="Tahoma"/>
            <family val="2"/>
          </rPr>
          <t xml:space="preserve">okt17 dtrma dr bag fil utk dibuatkan g14 agar bisa dptgnkan = 760
</t>
        </r>
      </text>
    </comment>
    <comment ref="F149" authorId="0" shapeId="0">
      <text>
        <r>
          <rPr>
            <b/>
            <sz val="9"/>
            <color indexed="81"/>
            <rFont val="Tahoma"/>
            <family val="2"/>
          </rPr>
          <t xml:space="preserve">des17 500
</t>
        </r>
      </text>
    </comment>
    <comment ref="F150" authorId="0" shapeId="0">
      <text>
        <r>
          <rPr>
            <b/>
            <sz val="9"/>
            <color indexed="81"/>
            <rFont val="Tahoma"/>
            <family val="2"/>
          </rPr>
          <t>des 17 di g1 ke bd
5 hasil lelang ditambah
pejualan pameran 76</t>
        </r>
      </text>
    </comment>
    <comment ref="F151" authorId="0" shapeId="0">
      <text>
        <r>
          <rPr>
            <b/>
            <sz val="9"/>
            <color indexed="81"/>
            <rFont val="Tahoma"/>
            <family val="2"/>
          </rPr>
          <t>des 17 di g1 ke bd
5 hasil lelang ditambah
pejualan pameran 66</t>
        </r>
      </text>
    </comment>
    <comment ref="F152" authorId="0" shapeId="0">
      <text>
        <r>
          <rPr>
            <b/>
            <sz val="9"/>
            <color indexed="81"/>
            <rFont val="Tahoma"/>
            <family val="2"/>
          </rPr>
          <t>des 17 
di g1 ke bd
5 hasil lelang ditambah
pejualan pameran 67</t>
        </r>
      </text>
    </comment>
    <comment ref="F153" authorId="0" shapeId="0">
      <text>
        <r>
          <rPr>
            <b/>
            <sz val="9"/>
            <color indexed="81"/>
            <rFont val="Tahoma"/>
            <family val="2"/>
          </rPr>
          <t>des17 di g1 ke bd
5 hasil lelang ditambah
pejualan pameran 80</t>
        </r>
      </text>
    </comment>
    <comment ref="F154" authorId="0" shapeId="0">
      <text>
        <r>
          <rPr>
            <b/>
            <sz val="9"/>
            <color indexed="81"/>
            <rFont val="Tahoma"/>
            <family val="2"/>
          </rPr>
          <t>des17 di g1 ke bd
5 hasil lelang ditambah
pejualan pameran 57</t>
        </r>
      </text>
    </comment>
    <comment ref="F155" authorId="0" shapeId="0">
      <text>
        <r>
          <rPr>
            <b/>
            <sz val="9"/>
            <color indexed="81"/>
            <rFont val="Tahoma"/>
            <family val="2"/>
          </rPr>
          <t xml:space="preserve">des ke kfj info sis. Pembuatan di kfj 1.001 </t>
        </r>
      </text>
    </comment>
    <comment ref="F156" authorId="0" shapeId="0">
      <text>
        <r>
          <rPr>
            <b/>
            <sz val="9"/>
            <color indexed="81"/>
            <rFont val="Tahoma"/>
            <family val="2"/>
          </rPr>
          <t xml:space="preserve">des 17 = 500
</t>
        </r>
      </text>
    </comment>
    <comment ref="F157" authorId="0" shapeId="0">
      <text>
        <r>
          <rPr>
            <b/>
            <sz val="9"/>
            <color indexed="81"/>
            <rFont val="Tahoma"/>
            <family val="2"/>
          </rPr>
          <t xml:space="preserve">barang di buat di kfj , tinggal buatkan g 14 nya aja
730 bh
</t>
        </r>
      </text>
    </comment>
  </commentList>
</comments>
</file>

<file path=xl/comments5.xml><?xml version="1.0" encoding="utf-8"?>
<comments xmlns="http://schemas.openxmlformats.org/spreadsheetml/2006/main">
  <authors>
    <author>Author</author>
  </authors>
  <commentList>
    <comment ref="N13" authorId="0" shapeId="0">
      <text>
        <r>
          <rPr>
            <sz val="9"/>
            <color indexed="81"/>
            <rFont val="Tahoma"/>
            <family val="2"/>
          </rPr>
          <t xml:space="preserve">ke produksi
</t>
        </r>
      </text>
    </comment>
    <comment ref="F15" authorId="0" shapeId="0">
      <text>
        <r>
          <rPr>
            <b/>
            <sz val="9"/>
            <color indexed="81"/>
            <rFont val="Tahoma"/>
            <family val="2"/>
          </rPr>
          <t>juli 2017 dari adanya barang</t>
        </r>
        <r>
          <rPr>
            <sz val="9"/>
            <color indexed="81"/>
            <rFont val="Tahoma"/>
            <family val="2"/>
          </rPr>
          <t xml:space="preserve">
gd sate 1800+2
pasopati 1800+2
gd merdeka 1798
wayang 1808</t>
        </r>
      </text>
    </comment>
    <comment ref="F21" authorId="0" shapeId="0">
      <text>
        <r>
          <rPr>
            <b/>
            <sz val="9"/>
            <color indexed="81"/>
            <rFont val="Tahoma"/>
            <family val="2"/>
          </rPr>
          <t>nov 50</t>
        </r>
      </text>
    </comment>
    <comment ref="F22" authorId="0" shapeId="0">
      <text>
        <r>
          <rPr>
            <b/>
            <sz val="9"/>
            <color indexed="81"/>
            <rFont val="Tahoma"/>
            <family val="2"/>
          </rPr>
          <t>des 680, mulai penggabungan</t>
        </r>
        <r>
          <rPr>
            <sz val="9"/>
            <color indexed="81"/>
            <rFont val="Tahoma"/>
            <family val="2"/>
          </rPr>
          <t xml:space="preserve">
</t>
        </r>
      </text>
    </comment>
    <comment ref="H22" authorId="0" shapeId="0">
      <text>
        <r>
          <rPr>
            <b/>
            <sz val="9"/>
            <color indexed="81"/>
            <rFont val="Tahoma"/>
            <family val="2"/>
          </rPr>
          <t>produksi, pa dian minta utk souvenir pajak</t>
        </r>
        <r>
          <rPr>
            <sz val="9"/>
            <color indexed="81"/>
            <rFont val="Tahoma"/>
            <family val="2"/>
          </rPr>
          <t xml:space="preserve">
20 des 17= p adnan 1
ptgn des17 = stlh di cek KAP ada yg blm dimasukan ke pengurangan 31 mei bd lautan prko 10 bh</t>
        </r>
      </text>
    </comment>
    <comment ref="F23" authorId="0" shapeId="0">
      <text>
        <r>
          <rPr>
            <b/>
            <sz val="9"/>
            <color indexed="81"/>
            <rFont val="Tahoma"/>
            <family val="2"/>
          </rPr>
          <t>jan 17 = 2.000</t>
        </r>
        <r>
          <rPr>
            <sz val="9"/>
            <color indexed="81"/>
            <rFont val="Tahoma"/>
            <family val="2"/>
          </rPr>
          <t xml:space="preserve">
agst 17 = 150</t>
        </r>
      </text>
    </comment>
    <comment ref="P24" authorId="0" shapeId="0">
      <text>
        <r>
          <rPr>
            <b/>
            <sz val="9"/>
            <color indexed="81"/>
            <rFont val="Tahoma"/>
            <family val="2"/>
          </rPr>
          <t>feb 8 prod 100</t>
        </r>
        <r>
          <rPr>
            <sz val="9"/>
            <color indexed="81"/>
            <rFont val="Tahoma"/>
            <family val="2"/>
          </rPr>
          <t xml:space="preserve">
9 des prod 50
bln maret 2017
dikeluarkan 500 krn udh diptgnkan bulan januari 2017. keluar masuk</t>
        </r>
      </text>
    </comment>
    <comment ref="F25" authorId="0" shapeId="0">
      <text>
        <r>
          <rPr>
            <b/>
            <sz val="9"/>
            <color indexed="81"/>
            <rFont val="Tahoma"/>
            <family val="2"/>
          </rPr>
          <t>intruksi man fil g14 ke bd, dan udh di bayar</t>
        </r>
        <r>
          <rPr>
            <sz val="9"/>
            <color indexed="81"/>
            <rFont val="Tahoma"/>
            <family val="2"/>
          </rPr>
          <t xml:space="preserve">
</t>
        </r>
      </text>
    </comment>
    <comment ref="F26" authorId="0" shapeId="0">
      <text>
        <r>
          <rPr>
            <b/>
            <sz val="9"/>
            <color indexed="81"/>
            <rFont val="Tahoma"/>
            <family val="2"/>
          </rPr>
          <t>juni 453</t>
        </r>
        <r>
          <rPr>
            <sz val="9"/>
            <color indexed="81"/>
            <rFont val="Tahoma"/>
            <family val="2"/>
          </rPr>
          <t xml:space="preserve">
</t>
        </r>
      </text>
    </comment>
    <comment ref="H28" authorId="0" shapeId="0">
      <text>
        <r>
          <rPr>
            <b/>
            <sz val="9"/>
            <color indexed="81"/>
            <rFont val="Tahoma"/>
            <family val="2"/>
          </rPr>
          <t>25 okt 17 sis 25 bh</t>
        </r>
        <r>
          <rPr>
            <sz val="9"/>
            <color indexed="81"/>
            <rFont val="Tahoma"/>
            <family val="2"/>
          </rPr>
          <t xml:space="preserve">
</t>
        </r>
      </text>
    </comment>
    <comment ref="F29" authorId="0" shapeId="0">
      <text>
        <r>
          <rPr>
            <b/>
            <sz val="9"/>
            <color indexed="81"/>
            <rFont val="Tahoma"/>
            <family val="2"/>
          </rPr>
          <t>des17
 2,000</t>
        </r>
      </text>
    </comment>
  </commentList>
</comments>
</file>

<file path=xl/comments6.xml><?xml version="1.0" encoding="utf-8"?>
<comments xmlns="http://schemas.openxmlformats.org/spreadsheetml/2006/main">
  <authors>
    <author>Author</author>
  </authors>
  <commentList>
    <comment ref="F21" authorId="0" shapeId="0">
      <text>
        <r>
          <rPr>
            <b/>
            <sz val="9"/>
            <color indexed="81"/>
            <rFont val="Tahoma"/>
            <family val="2"/>
          </rPr>
          <t xml:space="preserve">juli dari produksi
100 utk gin (buatkan g14)
</t>
        </r>
        <r>
          <rPr>
            <sz val="9"/>
            <color indexed="81"/>
            <rFont val="Tahoma"/>
            <family val="2"/>
          </rPr>
          <t xml:space="preserve">
nov dr prod 100 utk bd
juli 2017 dari retouran 312</t>
        </r>
      </text>
    </comment>
    <comment ref="F22" authorId="0" shapeId="0">
      <text>
        <r>
          <rPr>
            <b/>
            <sz val="9"/>
            <color indexed="81"/>
            <rFont val="Tahoma"/>
            <family val="2"/>
          </rPr>
          <t xml:space="preserve">juli dari produksi
100 utk gin (buatkan g14)
</t>
        </r>
        <r>
          <rPr>
            <sz val="9"/>
            <color indexed="81"/>
            <rFont val="Tahoma"/>
            <family val="2"/>
          </rPr>
          <t xml:space="preserve">
nov dr prod 100 utk bd
juli 2017 dari retouran 233</t>
        </r>
      </text>
    </comment>
    <comment ref="F23" authorId="0" shapeId="0">
      <text>
        <r>
          <rPr>
            <b/>
            <sz val="9"/>
            <color indexed="81"/>
            <rFont val="Tahoma"/>
            <family val="2"/>
          </rPr>
          <t xml:space="preserve">juli dari produksi
100 utk gin (buatkan g14)
</t>
        </r>
        <r>
          <rPr>
            <sz val="9"/>
            <color indexed="81"/>
            <rFont val="Tahoma"/>
            <family val="2"/>
          </rPr>
          <t xml:space="preserve">
nov dr prod 100 utk bd
juli 2017 dari retouran 24</t>
        </r>
      </text>
    </comment>
    <comment ref="F24" authorId="0" shapeId="0">
      <text>
        <r>
          <rPr>
            <b/>
            <sz val="9"/>
            <color indexed="81"/>
            <rFont val="Tahoma"/>
            <family val="2"/>
          </rPr>
          <t xml:space="preserve">juli dari produksi
100 utk gin (buatkan g14)
</t>
        </r>
        <r>
          <rPr>
            <sz val="9"/>
            <color indexed="81"/>
            <rFont val="Tahoma"/>
            <family val="2"/>
          </rPr>
          <t xml:space="preserve">
nov dr prod 100 utk bd
juli 2017 dari retouran 24</t>
        </r>
      </text>
    </comment>
    <comment ref="F25" authorId="0" shapeId="0">
      <text>
        <r>
          <rPr>
            <b/>
            <sz val="9"/>
            <color indexed="81"/>
            <rFont val="Tahoma"/>
            <family val="2"/>
          </rPr>
          <t>penggabungan retouran
juli 17 = 56</t>
        </r>
      </text>
    </comment>
    <comment ref="F26" authorId="0" shapeId="0">
      <text>
        <r>
          <rPr>
            <b/>
            <sz val="9"/>
            <color indexed="81"/>
            <rFont val="Tahoma"/>
            <family val="2"/>
          </rPr>
          <t>penggabungan retouran
juli 17 = 80</t>
        </r>
        <r>
          <rPr>
            <sz val="9"/>
            <color indexed="81"/>
            <rFont val="Tahoma"/>
            <family val="2"/>
          </rPr>
          <t xml:space="preserve">
</t>
        </r>
      </text>
    </comment>
    <comment ref="F27" authorId="0" shapeId="0">
      <text>
        <r>
          <rPr>
            <b/>
            <sz val="9"/>
            <color indexed="81"/>
            <rFont val="Tahoma"/>
            <family val="2"/>
          </rPr>
          <t>penggabungan retouran
juli 17 = 23</t>
        </r>
        <r>
          <rPr>
            <sz val="9"/>
            <color indexed="81"/>
            <rFont val="Tahoma"/>
            <family val="2"/>
          </rPr>
          <t xml:space="preserve">
</t>
        </r>
      </text>
    </comment>
    <comment ref="F28" authorId="0" shapeId="0">
      <text>
        <r>
          <rPr>
            <b/>
            <sz val="9"/>
            <color indexed="81"/>
            <rFont val="Tahoma"/>
            <family val="2"/>
          </rPr>
          <t>penggabungan retouran
juli 17 = 71</t>
        </r>
        <r>
          <rPr>
            <sz val="9"/>
            <color indexed="81"/>
            <rFont val="Tahoma"/>
            <family val="2"/>
          </rPr>
          <t xml:space="preserve">
</t>
        </r>
      </text>
    </comment>
    <comment ref="F29" authorId="0" shapeId="0">
      <text>
        <r>
          <rPr>
            <b/>
            <sz val="9"/>
            <color indexed="81"/>
            <rFont val="Tahoma"/>
            <family val="2"/>
          </rPr>
          <t>juli 2017 dari retouran 92</t>
        </r>
        <r>
          <rPr>
            <sz val="9"/>
            <color indexed="81"/>
            <rFont val="Tahoma"/>
            <family val="2"/>
          </rPr>
          <t xml:space="preserve">
</t>
        </r>
      </text>
    </comment>
    <comment ref="F30" authorId="0" shapeId="0">
      <text>
        <r>
          <rPr>
            <b/>
            <sz val="9"/>
            <color indexed="81"/>
            <rFont val="Tahoma"/>
            <family val="2"/>
          </rPr>
          <t>juli 2017 dari retouran 92</t>
        </r>
        <r>
          <rPr>
            <sz val="9"/>
            <color indexed="81"/>
            <rFont val="Tahoma"/>
            <family val="2"/>
          </rPr>
          <t xml:space="preserve">
</t>
        </r>
      </text>
    </comment>
    <comment ref="F31" authorId="0" shapeId="0">
      <text>
        <r>
          <rPr>
            <b/>
            <sz val="9"/>
            <color indexed="81"/>
            <rFont val="Tahoma"/>
            <family val="2"/>
          </rPr>
          <t>juli 2017 dari retouran 92</t>
        </r>
        <r>
          <rPr>
            <sz val="9"/>
            <color indexed="81"/>
            <rFont val="Tahoma"/>
            <family val="2"/>
          </rPr>
          <t xml:space="preserve">
</t>
        </r>
      </text>
    </comment>
    <comment ref="F32" authorId="0" shapeId="0">
      <text>
        <r>
          <rPr>
            <b/>
            <sz val="9"/>
            <color indexed="81"/>
            <rFont val="Tahoma"/>
            <family val="2"/>
          </rPr>
          <t>juli 2017 dari retouran 92</t>
        </r>
        <r>
          <rPr>
            <sz val="9"/>
            <color indexed="81"/>
            <rFont val="Tahoma"/>
            <family val="2"/>
          </rPr>
          <t xml:space="preserve">
</t>
        </r>
      </text>
    </comment>
    <comment ref="F33" authorId="0" shapeId="0">
      <text>
        <r>
          <rPr>
            <b/>
            <sz val="9"/>
            <color indexed="81"/>
            <rFont val="Tahoma"/>
            <family val="2"/>
          </rPr>
          <t>juli 2017 dari retouran 820</t>
        </r>
        <r>
          <rPr>
            <sz val="9"/>
            <color indexed="81"/>
            <rFont val="Tahoma"/>
            <family val="2"/>
          </rPr>
          <t xml:space="preserve">
</t>
        </r>
      </text>
    </comment>
    <comment ref="F41" authorId="0" shapeId="0">
      <text>
        <r>
          <rPr>
            <sz val="9"/>
            <color indexed="81"/>
            <rFont val="Tahoma"/>
            <family val="2"/>
          </rPr>
          <t>penggabungan retouran
juli 17 = 597</t>
        </r>
      </text>
    </comment>
    <comment ref="H41" authorId="0" shapeId="0">
      <text>
        <r>
          <rPr>
            <b/>
            <sz val="9"/>
            <color indexed="81"/>
            <rFont val="Tahoma"/>
            <family val="2"/>
          </rPr>
          <t>okt = -erhitungan des 15 oleh KAP bendelan 900 tapi di itung 1.000.
disesuaikan bdsk fisik brg 14.819</t>
        </r>
      </text>
    </comment>
    <comment ref="F42" authorId="0" shapeId="0">
      <text>
        <r>
          <rPr>
            <b/>
            <sz val="9"/>
            <color indexed="81"/>
            <rFont val="Tahoma"/>
            <family val="2"/>
          </rPr>
          <t>penggabungan retouran
juli 17 = 667</t>
        </r>
        <r>
          <rPr>
            <sz val="9"/>
            <color indexed="81"/>
            <rFont val="Tahoma"/>
            <family val="2"/>
          </rPr>
          <t xml:space="preserve">
</t>
        </r>
      </text>
    </comment>
    <comment ref="F43" authorId="0" shapeId="0">
      <text>
        <r>
          <rPr>
            <sz val="9"/>
            <color indexed="81"/>
            <rFont val="Tahoma"/>
            <family val="2"/>
          </rPr>
          <t xml:space="preserve">penggabungan retouran
juli 17 = 581
</t>
        </r>
      </text>
    </comment>
    <comment ref="F44" authorId="0" shapeId="0">
      <text>
        <r>
          <rPr>
            <b/>
            <sz val="9"/>
            <color indexed="81"/>
            <rFont val="Tahoma"/>
            <family val="2"/>
          </rPr>
          <t>penggabungan retouran
juli 17 = 778</t>
        </r>
        <r>
          <rPr>
            <sz val="9"/>
            <color indexed="81"/>
            <rFont val="Tahoma"/>
            <family val="2"/>
          </rPr>
          <t xml:space="preserve">
</t>
        </r>
      </text>
    </comment>
    <comment ref="H45" authorId="0" shapeId="0">
      <text>
        <r>
          <rPr>
            <b/>
            <sz val="9"/>
            <color indexed="81"/>
            <rFont val="Tahoma"/>
            <family val="2"/>
          </rPr>
          <t>mar 2017 prod 10</t>
        </r>
      </text>
    </comment>
    <comment ref="F52" authorId="0" shapeId="0">
      <text>
        <r>
          <rPr>
            <sz val="9"/>
            <color indexed="81"/>
            <rFont val="Tahoma"/>
            <family val="2"/>
          </rPr>
          <t xml:space="preserve">penggabungan retouran
juli 17 = 657
</t>
        </r>
      </text>
    </comment>
    <comment ref="F53" authorId="0" shapeId="0">
      <text>
        <r>
          <rPr>
            <sz val="9"/>
            <color indexed="81"/>
            <rFont val="Tahoma"/>
            <family val="2"/>
          </rPr>
          <t xml:space="preserve">penggabungan retouran
juli 17 = 641
</t>
        </r>
      </text>
    </comment>
    <comment ref="F54" authorId="0" shapeId="0">
      <text>
        <r>
          <rPr>
            <sz val="9"/>
            <color indexed="81"/>
            <rFont val="Tahoma"/>
            <family val="2"/>
          </rPr>
          <t xml:space="preserve">penggabungan retouran
juli 17 = 1703
</t>
        </r>
      </text>
    </comment>
    <comment ref="F56" authorId="0" shapeId="0">
      <text>
        <r>
          <rPr>
            <sz val="9"/>
            <color indexed="81"/>
            <rFont val="Tahoma"/>
            <family val="2"/>
          </rPr>
          <t xml:space="preserve">penggabungan retouran
juli 17 = 445
</t>
        </r>
      </text>
    </comment>
    <comment ref="F60" authorId="0" shapeId="0">
      <text>
        <r>
          <rPr>
            <b/>
            <sz val="9"/>
            <color indexed="81"/>
            <rFont val="Tahoma"/>
            <family val="2"/>
          </rPr>
          <t>juni 2000
JULI 8000
okt 15.000+25,000
17</t>
        </r>
        <r>
          <rPr>
            <sz val="9"/>
            <color indexed="81"/>
            <rFont val="Tahoma"/>
            <family val="2"/>
          </rPr>
          <t>juni2017 2.000
21juni 10.000
awal juli 18,000</t>
        </r>
      </text>
    </comment>
    <comment ref="H60" authorId="0" shapeId="0">
      <text>
        <r>
          <rPr>
            <b/>
            <sz val="9"/>
            <color indexed="81"/>
            <rFont val="Tahoma"/>
            <family val="2"/>
          </rPr>
          <t>des 100 permint bln nov prod 100</t>
        </r>
        <r>
          <rPr>
            <sz val="9"/>
            <color indexed="81"/>
            <rFont val="Tahoma"/>
            <family val="2"/>
          </rPr>
          <t xml:space="preserve">
</t>
        </r>
      </text>
    </comment>
    <comment ref="T60" authorId="0" shapeId="0">
      <text>
        <r>
          <rPr>
            <b/>
            <sz val="9"/>
            <color indexed="81"/>
            <rFont val="Tahoma"/>
            <family val="2"/>
          </rPr>
          <t xml:space="preserve">13 jul 200
</t>
        </r>
        <r>
          <rPr>
            <sz val="9"/>
            <color indexed="81"/>
            <rFont val="Tahoma"/>
            <family val="2"/>
          </rPr>
          <t xml:space="preserve">
</t>
        </r>
      </text>
    </comment>
    <comment ref="F61" authorId="0" shapeId="0">
      <text>
        <r>
          <rPr>
            <b/>
            <sz val="9"/>
            <color indexed="81"/>
            <rFont val="Tahoma"/>
            <family val="2"/>
          </rPr>
          <t xml:space="preserve">juni 3.000
juli 7.000
okt 15.000+7,000
nov 8000
</t>
        </r>
      </text>
    </comment>
    <comment ref="F62" authorId="0" shapeId="0">
      <text>
        <r>
          <rPr>
            <b/>
            <sz val="9"/>
            <color indexed="81"/>
            <rFont val="Tahoma"/>
            <family val="2"/>
          </rPr>
          <t>2000 backgroud</t>
        </r>
        <r>
          <rPr>
            <sz val="9"/>
            <color indexed="81"/>
            <rFont val="Tahoma"/>
            <family val="2"/>
          </rPr>
          <t xml:space="preserve">
jan 17 polos 20.000
20sept17 = 10.000</t>
        </r>
      </text>
    </comment>
    <comment ref="T62" authorId="0" shapeId="0">
      <text>
        <r>
          <rPr>
            <b/>
            <sz val="9"/>
            <color indexed="81"/>
            <rFont val="Tahoma"/>
            <family val="2"/>
          </rPr>
          <t>20 juli 200</t>
        </r>
        <r>
          <rPr>
            <sz val="9"/>
            <color indexed="81"/>
            <rFont val="Tahoma"/>
            <family val="2"/>
          </rPr>
          <t xml:space="preserve">
</t>
        </r>
      </text>
    </comment>
    <comment ref="U62" authorId="0" shapeId="0">
      <text>
        <r>
          <rPr>
            <b/>
            <sz val="9"/>
            <color indexed="81"/>
            <rFont val="Tahoma"/>
            <family val="2"/>
          </rPr>
          <t>siswanto</t>
        </r>
        <r>
          <rPr>
            <sz val="9"/>
            <color indexed="81"/>
            <rFont val="Tahoma"/>
            <family val="2"/>
          </rPr>
          <t xml:space="preserve">
26-4
</t>
        </r>
      </text>
    </comment>
    <comment ref="AJ62" authorId="0" shapeId="0">
      <text>
        <r>
          <rPr>
            <b/>
            <sz val="9"/>
            <color indexed="81"/>
            <rFont val="Tahoma"/>
            <family val="2"/>
          </rPr>
          <t>siswanto</t>
        </r>
        <r>
          <rPr>
            <sz val="9"/>
            <color indexed="81"/>
            <rFont val="Tahoma"/>
            <family val="2"/>
          </rPr>
          <t xml:space="preserve">
26-4
</t>
        </r>
      </text>
    </comment>
    <comment ref="F63" authorId="0" shapeId="0">
      <text>
        <r>
          <rPr>
            <b/>
            <sz val="9"/>
            <color indexed="81"/>
            <rFont val="Tahoma"/>
            <family val="2"/>
          </rPr>
          <t>agustus'17 = 30.000</t>
        </r>
        <r>
          <rPr>
            <sz val="9"/>
            <color indexed="81"/>
            <rFont val="Tahoma"/>
            <family val="2"/>
          </rPr>
          <t xml:space="preserve">
</t>
        </r>
      </text>
    </comment>
    <comment ref="F64" authorId="0" shapeId="0">
      <text>
        <r>
          <rPr>
            <b/>
            <sz val="9"/>
            <color indexed="81"/>
            <rFont val="Tahoma"/>
            <family val="2"/>
          </rPr>
          <t>agustus'17 = 30.000</t>
        </r>
        <r>
          <rPr>
            <sz val="9"/>
            <color indexed="81"/>
            <rFont val="Tahoma"/>
            <family val="2"/>
          </rPr>
          <t xml:space="preserve">
langsung dkrm dr fil / sis ke bukittinggi 520. dibuatkan g14</t>
        </r>
      </text>
    </comment>
    <comment ref="H64" authorId="0" shapeId="0">
      <text>
        <r>
          <rPr>
            <b/>
            <sz val="9"/>
            <color indexed="81"/>
            <rFont val="Tahoma"/>
            <family val="2"/>
          </rPr>
          <t>prog jul dptgn agst
3jul 900 bkt
4 jul 100
sis</t>
        </r>
      </text>
    </comment>
    <comment ref="F65" authorId="0" shapeId="0">
      <text>
        <r>
          <rPr>
            <b/>
            <sz val="9"/>
            <color indexed="81"/>
            <rFont val="Tahoma"/>
            <family val="2"/>
          </rPr>
          <t>29 okt 5,000</t>
        </r>
      </text>
    </comment>
  </commentList>
</comments>
</file>

<file path=xl/comments7.xml><?xml version="1.0" encoding="utf-8"?>
<comments xmlns="http://schemas.openxmlformats.org/spreadsheetml/2006/main">
  <authors>
    <author>Author</author>
  </authors>
  <commentList>
    <comment ref="H33" authorId="0" shapeId="0">
      <text>
        <r>
          <rPr>
            <b/>
            <sz val="9"/>
            <color indexed="81"/>
            <rFont val="Tahoma"/>
            <family val="2"/>
          </rPr>
          <t>okt = setelah dibuka ulang di bendelan kemasan isi 50 ternyata fisik nya hanya 48 (50-2=48)
kirim kembali ke produksi</t>
        </r>
      </text>
    </comment>
    <comment ref="F52" authorId="0" shapeId="0">
      <text>
        <r>
          <rPr>
            <b/>
            <sz val="9"/>
            <color indexed="81"/>
            <rFont val="Tahoma"/>
            <family val="2"/>
          </rPr>
          <t>500 dari kiffa tgl 28 maret, dptgn april</t>
        </r>
        <r>
          <rPr>
            <sz val="9"/>
            <color indexed="81"/>
            <rFont val="Tahoma"/>
            <family val="2"/>
          </rPr>
          <t xml:space="preserve">
</t>
        </r>
      </text>
    </comment>
  </commentList>
</comments>
</file>

<file path=xl/sharedStrings.xml><?xml version="1.0" encoding="utf-8"?>
<sst xmlns="http://schemas.openxmlformats.org/spreadsheetml/2006/main" count="2591" uniqueCount="1250">
  <si>
    <t>Uraian</t>
  </si>
  <si>
    <t>Nominal</t>
  </si>
  <si>
    <t xml:space="preserve">Cerita Rakyat 03        </t>
  </si>
  <si>
    <t xml:space="preserve">Sea Games 03          </t>
  </si>
  <si>
    <t xml:space="preserve">Gunung 03                </t>
  </si>
  <si>
    <t xml:space="preserve">50 th Bank Indonesia 03 </t>
  </si>
  <si>
    <t xml:space="preserve">Tata Suya 03                 </t>
  </si>
  <si>
    <t xml:space="preserve">Sumpah Pemuda 03      </t>
  </si>
  <si>
    <t xml:space="preserve">Flora Fauna 03              </t>
  </si>
  <si>
    <t xml:space="preserve">Tokoh Nasional 03         </t>
  </si>
  <si>
    <t xml:space="preserve">Lomba Tradisional 03     </t>
  </si>
  <si>
    <t xml:space="preserve">Pramuka 03                 </t>
  </si>
  <si>
    <t xml:space="preserve">Pariwisata 03             </t>
  </si>
  <si>
    <t>Buah-buahan (durian)</t>
  </si>
  <si>
    <t>Buah-buahan (belimbing)</t>
  </si>
  <si>
    <t>Buah-buahan  ( mengkudu)</t>
  </si>
  <si>
    <t>Buah-buahan (mangga)</t>
  </si>
  <si>
    <t>Porto bayar warna biru</t>
  </si>
  <si>
    <t>Porto bayar warna merah</t>
  </si>
  <si>
    <t xml:space="preserve">STOK AKHIR </t>
  </si>
  <si>
    <t>BSU</t>
  </si>
  <si>
    <t>Gudang Pusat</t>
  </si>
  <si>
    <t xml:space="preserve">NKRI 04                   </t>
  </si>
  <si>
    <t xml:space="preserve">Cerita Rakyat 04          </t>
  </si>
  <si>
    <t xml:space="preserve">Museum 04              </t>
  </si>
  <si>
    <t xml:space="preserve">Pemilu 04                </t>
  </si>
  <si>
    <t xml:space="preserve">Olympiade Athena       </t>
  </si>
  <si>
    <t xml:space="preserve">Tokoh Wanita 04         </t>
  </si>
  <si>
    <t xml:space="preserve">Peduli Lingkungan 04    </t>
  </si>
  <si>
    <t xml:space="preserve">Makanan Tradisional 04 </t>
  </si>
  <si>
    <t xml:space="preserve">Kendaraan Presiden 04  </t>
  </si>
  <si>
    <t xml:space="preserve">PON XVI 04                  </t>
  </si>
  <si>
    <t xml:space="preserve">Flora Fauna 04              </t>
  </si>
  <si>
    <t xml:space="preserve">Hari Guru Nasional 04    </t>
  </si>
  <si>
    <t xml:space="preserve">Cerita Rakyat 05      </t>
  </si>
  <si>
    <t xml:space="preserve">50 Th KAA 05          </t>
  </si>
  <si>
    <t xml:space="preserve">Bencana Alam 05    </t>
  </si>
  <si>
    <t xml:space="preserve">Peduli Lingkungan 05  </t>
  </si>
  <si>
    <t>600 Th Pel.Laks Zheng He</t>
  </si>
  <si>
    <t xml:space="preserve">Makanan Tradisional 05 </t>
  </si>
  <si>
    <t xml:space="preserve">Presiden/Wapres 05     </t>
  </si>
  <si>
    <t xml:space="preserve">Hemat Energi 05          </t>
  </si>
  <si>
    <t xml:space="preserve">Kapal Borobudur 05      </t>
  </si>
  <si>
    <t xml:space="preserve">Flora Fauna 05             </t>
  </si>
  <si>
    <t xml:space="preserve">Cerita Rakyat 06            </t>
  </si>
  <si>
    <t xml:space="preserve">Hari Filateli 06            </t>
  </si>
  <si>
    <t xml:space="preserve">Piala Dunia </t>
  </si>
  <si>
    <t>Piala Dunia set</t>
  </si>
  <si>
    <t>Piala Dunia fulsheet</t>
  </si>
  <si>
    <t>Peduli Lingkungan</t>
  </si>
  <si>
    <t>Makanan Tradisional</t>
  </si>
  <si>
    <t>Jambore Nasional</t>
  </si>
  <si>
    <t>Tokoh Nasional</t>
  </si>
  <si>
    <t>Tokoh Nasional CT</t>
  </si>
  <si>
    <t>Indonesia Slowakia</t>
  </si>
  <si>
    <t>Hari Raya Islam</t>
  </si>
  <si>
    <t>Slowakia-Ind</t>
  </si>
  <si>
    <t>Flora-Fauna</t>
  </si>
  <si>
    <t>Kerajinan Indonesia</t>
  </si>
  <si>
    <t>12 Lambang Shio</t>
  </si>
  <si>
    <t>Indonesia China</t>
  </si>
  <si>
    <t>China-Indonesia</t>
  </si>
  <si>
    <t>Gemar Membaca</t>
  </si>
  <si>
    <t>Hari Anti mNarkoba</t>
  </si>
  <si>
    <t>Seabad Kepanduan</t>
  </si>
  <si>
    <t>Prko Booklet Kepanduan</t>
  </si>
  <si>
    <t>Omnibus Asean</t>
  </si>
  <si>
    <t>Mercusuar</t>
  </si>
  <si>
    <t>50 TH UNPAD</t>
  </si>
  <si>
    <t>Flora Fauna (Kupu2)</t>
  </si>
  <si>
    <t>Sea Games XXIV</t>
  </si>
  <si>
    <t>50 Th Dek Djuanda</t>
  </si>
  <si>
    <t>Seri Shio Tikus</t>
  </si>
  <si>
    <t>Olympiade Beijing 08</t>
  </si>
  <si>
    <t>Ucapan Selamat</t>
  </si>
  <si>
    <t>Indonesia-Jepang 08</t>
  </si>
  <si>
    <t>- Gunung</t>
  </si>
  <si>
    <t>- Candi</t>
  </si>
  <si>
    <t>- Bunga</t>
  </si>
  <si>
    <t>- Angklung</t>
  </si>
  <si>
    <t>- Arwana</t>
  </si>
  <si>
    <t>Pendidikan Luar Biasa</t>
  </si>
  <si>
    <t>Prko Ina-Kuba</t>
  </si>
  <si>
    <t>100 Th. HARKITNAS</t>
  </si>
  <si>
    <t>Peduli Lingkungan 08</t>
  </si>
  <si>
    <t>PON XVII 08</t>
  </si>
  <si>
    <t>Makanan Tradisional 08</t>
  </si>
  <si>
    <t>Prangko Kuba (2 kep)</t>
  </si>
  <si>
    <t>Lambang Provinsi Bali</t>
  </si>
  <si>
    <t>Lambang Prov. Gorontalo</t>
  </si>
  <si>
    <t>Lambang Provinsi Jabar</t>
  </si>
  <si>
    <t>Lambang Provinsi Jateng</t>
  </si>
  <si>
    <t>Lambang Provinsi Kalbar</t>
  </si>
  <si>
    <t>Lambang Provinsi Maluku</t>
  </si>
  <si>
    <t>Lambang Provinsi NAD</t>
  </si>
  <si>
    <t>Lambang Provinsi Papua</t>
  </si>
  <si>
    <t>Lambang Provinsi Riau</t>
  </si>
  <si>
    <t>Lambang Provinsi Sulbar</t>
  </si>
  <si>
    <t>Lambang Provinsi Sumbar</t>
  </si>
  <si>
    <t>Jalan Raya Pos</t>
  </si>
  <si>
    <t>Cut Nyak Dien 2008</t>
  </si>
  <si>
    <t>Pulau Kecil Teluar 08</t>
  </si>
  <si>
    <t>JIS Singapore - Ina</t>
  </si>
  <si>
    <t>Jis Iran - Ina</t>
  </si>
  <si>
    <t xml:space="preserve">Shio Macan </t>
  </si>
  <si>
    <t>Piala Dunia  Afsel  2010</t>
  </si>
  <si>
    <t>100 Th. Muhammadiyah</t>
  </si>
  <si>
    <t>Youth Olympic Games</t>
  </si>
  <si>
    <t>Presiden dan Wapres RI</t>
  </si>
  <si>
    <t>200 th. Kota Bandung</t>
  </si>
  <si>
    <t>200 th Kota Bandung</t>
  </si>
  <si>
    <t>Kehidupan Bawah Laut</t>
  </si>
  <si>
    <t>Shio Kelinci  2011</t>
  </si>
  <si>
    <t>Upacara Adat</t>
  </si>
  <si>
    <t>Tahun Kimia Internasional</t>
  </si>
  <si>
    <t>Tahun Antariksa</t>
  </si>
  <si>
    <t>Internet Sehat dan aman</t>
  </si>
  <si>
    <t>Gerakan Pramuka</t>
  </si>
  <si>
    <t>Jis Ina - Malaysia    (8)</t>
  </si>
  <si>
    <t>Art. Landmark    (5)</t>
  </si>
  <si>
    <t>Trikora   I</t>
  </si>
  <si>
    <t>Trikora  II  (3)</t>
  </si>
  <si>
    <t>JIS  Ina- Afsel    (5)</t>
  </si>
  <si>
    <t>Sea Games   (6)</t>
  </si>
  <si>
    <t>Flora - Fauna  (2)</t>
  </si>
  <si>
    <t>Shio Naga 2012</t>
  </si>
  <si>
    <t>PON XVIII Riau (6 )</t>
  </si>
  <si>
    <t>JIS AFSEL-INA 2011   (10)</t>
  </si>
  <si>
    <t>Prko 50 Tahun APPU</t>
  </si>
  <si>
    <t>PEDULI LINGKUNGAN</t>
  </si>
  <si>
    <t>BURUNG TERANCAM PUNAH</t>
  </si>
  <si>
    <t>MAKANAN TRAD</t>
  </si>
  <si>
    <t>PRKO KEPANDUAN</t>
  </si>
  <si>
    <t>PRKO SIARAN TV</t>
  </si>
  <si>
    <t>PRKO JATI DIRI BANGSA</t>
  </si>
  <si>
    <t xml:space="preserve">KUSKUS TUTUL HITAM </t>
  </si>
  <si>
    <t>KANDELIA CANDEL</t>
  </si>
  <si>
    <t xml:space="preserve">SOS CHILDREN. BERSAMA </t>
  </si>
  <si>
    <t xml:space="preserve">SOS CHILDREN. PNGASUH </t>
  </si>
  <si>
    <t>Prko Pemilu</t>
  </si>
  <si>
    <t>Prko Tahun Kuda</t>
  </si>
  <si>
    <t>PRKO ALAT MUSIK TRAD</t>
  </si>
  <si>
    <t>Prko 150 thn Ind</t>
  </si>
  <si>
    <t>Prko PAUD</t>
  </si>
  <si>
    <t>Prko Peduli Lingkungan</t>
  </si>
  <si>
    <t>SS Pariwisata 03</t>
  </si>
  <si>
    <t>SS Pameran Bangkok</t>
  </si>
  <si>
    <t>SS Tata Surya</t>
  </si>
  <si>
    <t>SS Flora Fauna</t>
  </si>
  <si>
    <t>SS Panfila Surabaya</t>
  </si>
  <si>
    <t xml:space="preserve">MS.Gunung 03           </t>
  </si>
  <si>
    <t xml:space="preserve">MS.Lomba Trad 03        </t>
  </si>
  <si>
    <t xml:space="preserve">MS.Tata Surya 03         </t>
  </si>
  <si>
    <t xml:space="preserve">Booklet Flora Fauna 03  </t>
  </si>
  <si>
    <t>SS Kendaraan Presiden</t>
  </si>
  <si>
    <t>SS Cerita Rakyat</t>
  </si>
  <si>
    <t>SS Panfila Banten</t>
  </si>
  <si>
    <t>Flora Fauna</t>
  </si>
  <si>
    <t>Panfila Bd</t>
  </si>
  <si>
    <t>Cerita Rakyat</t>
  </si>
  <si>
    <t>Indonesia-China</t>
  </si>
  <si>
    <t>Bangkok</t>
  </si>
  <si>
    <t>SS CT(ECOPHILA)</t>
  </si>
  <si>
    <t>Tahun Tikus 2008</t>
  </si>
  <si>
    <t>Taipei 2008</t>
  </si>
  <si>
    <t>SS Jalan Raya Pos 08</t>
  </si>
  <si>
    <t>SS UNCUT Jakarta 2008</t>
  </si>
  <si>
    <t>SS Jakarta 2008</t>
  </si>
  <si>
    <t>Shio Macan</t>
  </si>
  <si>
    <t>SS  W. Budaya (Hanoman)</t>
  </si>
  <si>
    <t>SS  W. Budaya (Keris)</t>
  </si>
  <si>
    <t>SS Peduli Lingkungan</t>
  </si>
  <si>
    <t>SS Presiden dan Wapres RI</t>
  </si>
  <si>
    <t>SS 200 Th. Kota Bandung</t>
  </si>
  <si>
    <t>SS Panfila Jakarta 2010</t>
  </si>
  <si>
    <t xml:space="preserve">SS Peduli Lingkungan </t>
  </si>
  <si>
    <t>SS Philanippon</t>
  </si>
  <si>
    <t>SS Gerakan Pramuka</t>
  </si>
  <si>
    <t xml:space="preserve">SS China 2011 </t>
  </si>
  <si>
    <t xml:space="preserve">SS Flora-Fauna </t>
  </si>
  <si>
    <t>MS UNCUT FLORA FAUNA</t>
  </si>
  <si>
    <t>MS Ina-Slovakia</t>
  </si>
  <si>
    <t>MS 12 Lambang Shio</t>
  </si>
  <si>
    <t>MS Bangkok</t>
  </si>
  <si>
    <t>MS JIS Jepang-Ina</t>
  </si>
  <si>
    <t>MS Turki-Ina</t>
  </si>
  <si>
    <t>MS Shio Kerbau 09</t>
  </si>
  <si>
    <t>MS Singapore 09</t>
  </si>
  <si>
    <t>MS Burung CT Jipex 09</t>
  </si>
  <si>
    <t>MS JIS Ina-Iran 09</t>
  </si>
  <si>
    <t>Booklet Piala Dunia 2010</t>
  </si>
  <si>
    <t>MS 100 Th. Muhammadiyah</t>
  </si>
  <si>
    <t>MS Flora-Fauna 2010</t>
  </si>
  <si>
    <t>MS Lambang Provinsi  2010</t>
  </si>
  <si>
    <t>MS  Shio Kelinci  2011</t>
  </si>
  <si>
    <t>MS Gemar Ikan</t>
  </si>
  <si>
    <t>MS Kain Tradisional  (Pan. SB)</t>
  </si>
  <si>
    <t>MS Ina - Malaysia</t>
  </si>
  <si>
    <t>MS Shio Naga 2012</t>
  </si>
  <si>
    <t>SS INDONESIA # 1</t>
  </si>
  <si>
    <t>SS INDONESIA # 2</t>
  </si>
  <si>
    <t>SS INDONESIA # 3</t>
  </si>
  <si>
    <t>SS INDONESIA # 4</t>
  </si>
  <si>
    <t>SS INDONESIA # 5</t>
  </si>
  <si>
    <t>SS INDONESIA # 6</t>
  </si>
  <si>
    <t>SS INDONESIA # 7</t>
  </si>
  <si>
    <t>MS BURUNG TERANCAM PUNAH</t>
  </si>
  <si>
    <t>SS KEPANDUAN</t>
  </si>
  <si>
    <t>SS FLORA FAUNA</t>
  </si>
  <si>
    <t>SS PEDULI LINGKUNGAN</t>
  </si>
  <si>
    <t xml:space="preserve">MS Tahun Kuda </t>
  </si>
  <si>
    <t>SS Tahun Kuda</t>
  </si>
  <si>
    <t>SS Four Nation Bdg</t>
  </si>
  <si>
    <t>SS Uncut Four Nation</t>
  </si>
  <si>
    <t xml:space="preserve">SHP Logo Prisma 03.    </t>
  </si>
  <si>
    <t xml:space="preserve">SHP C R 03.            </t>
  </si>
  <si>
    <t xml:space="preserve">SHPSS CR 03               </t>
  </si>
  <si>
    <t xml:space="preserve">SP Borobudur 03           </t>
  </si>
  <si>
    <t xml:space="preserve">SHP Sea Games 03      </t>
  </si>
  <si>
    <t xml:space="preserve">SHP Gunung 03            </t>
  </si>
  <si>
    <t xml:space="preserve">SP MTQ 03                   </t>
  </si>
  <si>
    <t xml:space="preserve">SP Raimuna 03             </t>
  </si>
  <si>
    <t xml:space="preserve">SP Jabar Benar  03     </t>
  </si>
  <si>
    <t xml:space="preserve">SP AASROC 03         </t>
  </si>
  <si>
    <t xml:space="preserve">SHP Lomba Trad 03    </t>
  </si>
  <si>
    <t xml:space="preserve">SHP Pramuka 03        </t>
  </si>
  <si>
    <t xml:space="preserve">SP Pelanggan Nas 03 </t>
  </si>
  <si>
    <t xml:space="preserve">SHP/SS Bangkok 03   </t>
  </si>
  <si>
    <t xml:space="preserve">SHP Tata Surya 03     </t>
  </si>
  <si>
    <t xml:space="preserve">SHP/SS Tata Surya 03 </t>
  </si>
  <si>
    <t>SHP Sumpah Pemuda 03</t>
  </si>
  <si>
    <t xml:space="preserve">SHP HCPSN 03           </t>
  </si>
  <si>
    <t xml:space="preserve">SHP Tokoh Nasional 03  </t>
  </si>
  <si>
    <t xml:space="preserve">SHP C R 04          </t>
  </si>
  <si>
    <t xml:space="preserve">SP Barli 04          </t>
  </si>
  <si>
    <t>SHP Olymp Athena 04</t>
  </si>
  <si>
    <t xml:space="preserve">SP Thomas Uber 04   </t>
  </si>
  <si>
    <t xml:space="preserve">SP Harkitnas 04        </t>
  </si>
  <si>
    <t>SHP Lingkungan Hidup 04</t>
  </si>
  <si>
    <t xml:space="preserve">SP Ass Luka Bakar 04  </t>
  </si>
  <si>
    <t xml:space="preserve">SHP Pon XVI 04           </t>
  </si>
  <si>
    <t xml:space="preserve">SHP Pemilu 04             </t>
  </si>
  <si>
    <t>SHP Museum 04</t>
  </si>
  <si>
    <t>SP Thomas Cup</t>
  </si>
  <si>
    <t>SP Hari Jadi Jepara</t>
  </si>
  <si>
    <t xml:space="preserve">SHP C R 05          </t>
  </si>
  <si>
    <t xml:space="preserve">SHP 50 th KAA 05   </t>
  </si>
  <si>
    <t xml:space="preserve">SHP Ped.Lingkungan 05  </t>
  </si>
  <si>
    <t xml:space="preserve">SHP Zheng He 05          </t>
  </si>
  <si>
    <t xml:space="preserve">SHP Mak.Tradisional 05  </t>
  </si>
  <si>
    <t xml:space="preserve">SP Kereta Api 05          </t>
  </si>
  <si>
    <t xml:space="preserve">SP Zheng He 05           </t>
  </si>
  <si>
    <t>SP  TMII  05</t>
  </si>
  <si>
    <t xml:space="preserve">SHP Pres/Wapres 05   </t>
  </si>
  <si>
    <t xml:space="preserve">SHP Hemat Energi 05   </t>
  </si>
  <si>
    <t xml:space="preserve">SP Comdeka 05          </t>
  </si>
  <si>
    <t>SHP Kapal Borobudur 05</t>
  </si>
  <si>
    <t xml:space="preserve">SP Lok.Filateli 05           </t>
  </si>
  <si>
    <t xml:space="preserve">SHP Flora Fauna 05     </t>
  </si>
  <si>
    <t>SP Hari Habitat Sedunia</t>
  </si>
  <si>
    <t>SP Philip Kotler</t>
  </si>
  <si>
    <t xml:space="preserve">SHP Cerita Rakyat 06           </t>
  </si>
  <si>
    <t>SHP Piala Dunia 06</t>
  </si>
  <si>
    <t>SP Narkoba 06</t>
  </si>
  <si>
    <t>SHP Peduli Lingkungan 06</t>
  </si>
  <si>
    <t>SHP Makanan Tradisional 06</t>
  </si>
  <si>
    <t>SHP Jambore Nasional 06</t>
  </si>
  <si>
    <t>MC Jambore Nasional 06</t>
  </si>
  <si>
    <t>SHP Tokoh Nasional 06</t>
  </si>
  <si>
    <t>SP Kios Pos 06</t>
  </si>
  <si>
    <t>SP UNHAS 06</t>
  </si>
  <si>
    <t>SHP INA-SLOWAKIA 06</t>
  </si>
  <si>
    <t>SP Panfila Bd</t>
  </si>
  <si>
    <t>SP 250 Th Yogya</t>
  </si>
  <si>
    <t>SHP Kerajinan Indonesia</t>
  </si>
  <si>
    <t>SHP 12 Lambang Shio</t>
  </si>
  <si>
    <t>SHP/SS 12 Lambang Shio</t>
  </si>
  <si>
    <t>SHP terpadu Ina-China</t>
  </si>
  <si>
    <t>SHP prko Ina-China</t>
  </si>
  <si>
    <t>SHP SS Ina-China</t>
  </si>
  <si>
    <t>SHP Gemar Membaca</t>
  </si>
  <si>
    <t>SHP Peduli Lingkungan 07</t>
  </si>
  <si>
    <t>SHP SS  Peduli Lingkungan 07</t>
  </si>
  <si>
    <t>SP Unclimate Change Co nf.</t>
  </si>
  <si>
    <t>Blk Spl  Harry Potter</t>
  </si>
  <si>
    <t>SP Sepak Takrau 07</t>
  </si>
  <si>
    <t>SHP Anti Narkoba 07</t>
  </si>
  <si>
    <t>SHP Makanan Tradisional 07</t>
  </si>
  <si>
    <t>SP Bangkok 07</t>
  </si>
  <si>
    <t>SHP Omnibus 07</t>
  </si>
  <si>
    <t>SP Gedung Mahkon RI 07</t>
  </si>
  <si>
    <t>SHP Mercusuar 07</t>
  </si>
  <si>
    <t>SP Lokakarya Filateli 07</t>
  </si>
  <si>
    <t xml:space="preserve">SHP 50 th UNPAD.07   </t>
  </si>
  <si>
    <t xml:space="preserve">SHP Flora Fauna 07     </t>
  </si>
  <si>
    <t xml:space="preserve">SHP/SS Flora Fauna 07     </t>
  </si>
  <si>
    <t>SP Bandung filex(FF CT)</t>
  </si>
  <si>
    <t>SP Pres untk ibu Negara</t>
  </si>
  <si>
    <t>SHP Sea Games XXIV</t>
  </si>
  <si>
    <t>SHP 50 Th Dek Djuanda</t>
  </si>
  <si>
    <t>SP ANTARA KEM</t>
  </si>
  <si>
    <t xml:space="preserve">SP VISIT MUSI </t>
  </si>
  <si>
    <t>SP Ayo Ke Katr Pos</t>
  </si>
  <si>
    <t>SHP Shio Tikus</t>
  </si>
  <si>
    <t>SHPSS SHio Tikus</t>
  </si>
  <si>
    <t>SP 40 hari Wafat Pak Soeharto</t>
  </si>
  <si>
    <t>SP Pameran TAIPEI '08</t>
  </si>
  <si>
    <t>SP Visit Lampung 2008</t>
  </si>
  <si>
    <t>SHP Olympiade Beijing 08</t>
  </si>
  <si>
    <t>SP 50 Tahun BPHN</t>
  </si>
  <si>
    <t>SP Stamp Passion</t>
  </si>
  <si>
    <t>SP Obor Olympiade Beijing</t>
  </si>
  <si>
    <t>SHP Indonesia-Jepang</t>
  </si>
  <si>
    <t>SHP 100 Th. Harkitnas</t>
  </si>
  <si>
    <t>SP Bengkalis</t>
  </si>
  <si>
    <t>SP Indonesia-Kuba</t>
  </si>
  <si>
    <t>SP Mahasiswa Ked. UNHAS</t>
  </si>
  <si>
    <t>SHP Peduli Lingkungan</t>
  </si>
  <si>
    <t>SHP/SS Peduli Lingkungan</t>
  </si>
  <si>
    <t>SP Lingkungan Hidup di Bali</t>
  </si>
  <si>
    <t>SHP PON XVII 08</t>
  </si>
  <si>
    <t>SHP Makanan Tradisional 08</t>
  </si>
  <si>
    <t>SP Visit Musi Palembang</t>
  </si>
  <si>
    <t>SHP Lambang Prov. Bali</t>
  </si>
  <si>
    <t>SHP Lambang Prov. Gorontalo</t>
  </si>
  <si>
    <t>SHP Lambang Prov. Jabar</t>
  </si>
  <si>
    <t>SHP Lambang Prov. Jateng</t>
  </si>
  <si>
    <t>SHP Lambang Prov. Kalbar</t>
  </si>
  <si>
    <t>SHP Lambang Prov. Maluku</t>
  </si>
  <si>
    <t>SHP Lambang Prov. NAD</t>
  </si>
  <si>
    <t>SHP Lambang Prov. Papua</t>
  </si>
  <si>
    <t>SHP Lambang Prov. Riau</t>
  </si>
  <si>
    <t>SHP Lambang Prov. Sulbar</t>
  </si>
  <si>
    <t>SHP Lambang Prov. Sumbar</t>
  </si>
  <si>
    <t>SP Ayo ke Kantor Pos</t>
  </si>
  <si>
    <t>MC Lambang Prov. Bali</t>
  </si>
  <si>
    <t>MC Lambang Prov. Gorontalo</t>
  </si>
  <si>
    <t>MC Lambang Prov. Jabar</t>
  </si>
  <si>
    <t>MC Lambang Prov. Jateng</t>
  </si>
  <si>
    <t>MC Lambang Prov. Kalbar</t>
  </si>
  <si>
    <t>MC Lambang Prov. Maluku</t>
  </si>
  <si>
    <t>MC Lambang Prov. NAD</t>
  </si>
  <si>
    <t>MC Lambang Prov. Papua</t>
  </si>
  <si>
    <t>MC Lambang Prov. Riau</t>
  </si>
  <si>
    <t>MC Lambang Prov. Sulbar</t>
  </si>
  <si>
    <t>MC Lambang Prov. Sumbar</t>
  </si>
  <si>
    <t>SP 1 Abad Harkit Perempuan</t>
  </si>
  <si>
    <t>SHP Jalan Raya Pos</t>
  </si>
  <si>
    <t>SHP/SS Jalan Raya Pos</t>
  </si>
  <si>
    <t>Blko Spl Pameran Jakarta'08</t>
  </si>
  <si>
    <t>SHP JIS Ina- Turki 08</t>
  </si>
  <si>
    <t>SP Jambore ASEAN 08</t>
  </si>
  <si>
    <t>SHP Flora-Fauna 08</t>
  </si>
  <si>
    <t>SHP Cut Nyak Dien 08</t>
  </si>
  <si>
    <t>SHP Pulau 2 Kecil Telar 08</t>
  </si>
  <si>
    <t>SP Jakarta 08 (6 desain)</t>
  </si>
  <si>
    <t>SHP Shio Kerbau 09</t>
  </si>
  <si>
    <t>SHP/SS Shio Kerbau 09</t>
  </si>
  <si>
    <t>SHP 50 th ITB</t>
  </si>
  <si>
    <t>SHP PEMILU 2009</t>
  </si>
  <si>
    <t>SP Beruang Kutub</t>
  </si>
  <si>
    <t>SP China</t>
  </si>
  <si>
    <t>SP UGM</t>
  </si>
  <si>
    <t>Kem SP ADB  Bali</t>
  </si>
  <si>
    <t>SHP/SS Astronomi</t>
  </si>
  <si>
    <t>SHP/SS WOC</t>
  </si>
  <si>
    <t>SHP Jembatan Suramadu</t>
  </si>
  <si>
    <t>SHP/SS Jembatan Suramadu</t>
  </si>
  <si>
    <t>SP Pramuka Santri Nusantara</t>
  </si>
  <si>
    <t>SP Temu Pakar Pedalangan</t>
  </si>
  <si>
    <t>Karnet NapakTilas Jl. Raya Pos</t>
  </si>
  <si>
    <t>SHP Makanan TradisIonal 09</t>
  </si>
  <si>
    <t>SP Festival Borobudur 09</t>
  </si>
  <si>
    <t>SP Ayo Ke Kantor Pos</t>
  </si>
  <si>
    <t>SHP Burung 2009</t>
  </si>
  <si>
    <t>SHP Hari Anak Nasional</t>
  </si>
  <si>
    <t>SP Philakorea 09</t>
  </si>
  <si>
    <t>SP Bunaken (IFR)</t>
  </si>
  <si>
    <t>Max, Card Lambang Provinsi  09</t>
  </si>
  <si>
    <t>SHP Lambang Provinsi  09</t>
  </si>
  <si>
    <t>SP  999</t>
  </si>
  <si>
    <t>SHP Jis INA - SINGAPORE</t>
  </si>
  <si>
    <t>SHP Terpadu Ina-Singapore</t>
  </si>
  <si>
    <t>SHP Flora Fauna 09</t>
  </si>
  <si>
    <t>SP ATP Bali</t>
  </si>
  <si>
    <t>SHP JIS Ina- Iran</t>
  </si>
  <si>
    <t>SHP Terpadu JIS Ina-Iran</t>
  </si>
  <si>
    <t>SHP/SS Shio Macan</t>
  </si>
  <si>
    <t>SHP  Kegiatan Alam Terbuka</t>
  </si>
  <si>
    <t>SHP Warisan Budaya Tak Benda</t>
  </si>
  <si>
    <t>SHP/SS W. Budaya  Tak Benda</t>
  </si>
  <si>
    <t xml:space="preserve">SHP Piala Dunia </t>
  </si>
  <si>
    <t>SHP/SS  Peduli Lingkungan</t>
  </si>
  <si>
    <t>SHP  Muhammadiyah</t>
  </si>
  <si>
    <t>SHP Makanan Tradisional</t>
  </si>
  <si>
    <t>SP Sail Banda</t>
  </si>
  <si>
    <t>SHP Presiden dan Wapres RI</t>
  </si>
  <si>
    <t>SHP/SS Pres. Dan Wapres RI</t>
  </si>
  <si>
    <t>SP Indoesia-Belanda</t>
  </si>
  <si>
    <t>SHP   200 Th. Kota Bandung</t>
  </si>
  <si>
    <t>SHP/SS 200 Th. Kota Bandung</t>
  </si>
  <si>
    <t>SHP Kehidupan Bawah Laut</t>
  </si>
  <si>
    <t>SHP Flora dan Fauna (2)</t>
  </si>
  <si>
    <t>SHP Youth Olympic Games</t>
  </si>
  <si>
    <t>SP INA - CHINA '10</t>
  </si>
  <si>
    <t>SP INA - RUSIA '10</t>
  </si>
  <si>
    <t>SP Wirakarya '10</t>
  </si>
  <si>
    <t>SHP Lambang Prov- 3</t>
  </si>
  <si>
    <t>SHP Shio kelinci  2011</t>
  </si>
  <si>
    <t>SHP/SS Shio Kelinci 2011</t>
  </si>
  <si>
    <t>SHP Upacara Adat 2011</t>
  </si>
  <si>
    <t>Max, Card Upacara Adat</t>
  </si>
  <si>
    <t>SHP Tahun Kimia Internasional</t>
  </si>
  <si>
    <t>SP Panfila Yogyakarta</t>
  </si>
  <si>
    <t>SHP Internet Sehat dan Aman</t>
  </si>
  <si>
    <t>SP Taman  Mini</t>
  </si>
  <si>
    <t>SP Jamnas Palembang</t>
  </si>
  <si>
    <t>SP Philanipposn</t>
  </si>
  <si>
    <t>SHP Gerakan Pramuka</t>
  </si>
  <si>
    <t>SHP/SS Gerakan Pramuka</t>
  </si>
  <si>
    <t>SHP Gemar Ikan</t>
  </si>
  <si>
    <t>SHP Ina - Malaysia</t>
  </si>
  <si>
    <t>SP 265 Th. Pos Indonesia</t>
  </si>
  <si>
    <t>SHP Tokoh Nasional</t>
  </si>
  <si>
    <t>SP 100 TH. KP Medan</t>
  </si>
  <si>
    <t>SHP TRIKORA</t>
  </si>
  <si>
    <t>SP PANFILA BANDUNG</t>
  </si>
  <si>
    <t>SHP SEA GAMES</t>
  </si>
  <si>
    <t>SHP JIS INA-AFSEL</t>
  </si>
  <si>
    <t>SP CHINA  2011</t>
  </si>
  <si>
    <t>SHP FLORA-FAUNA</t>
  </si>
  <si>
    <t>SHP/SS FLORA FAUNA</t>
  </si>
  <si>
    <t>KARTUPOS  11.111  a</t>
  </si>
  <si>
    <t>KARTUPOS  11.111  b</t>
  </si>
  <si>
    <t>KARTUPOS  11.111  c</t>
  </si>
  <si>
    <t>SP Desa Informasi  Pacitan</t>
  </si>
  <si>
    <t>SP Desa Informasi  Waris</t>
  </si>
  <si>
    <t>SP Desa Informasi  Labuha</t>
  </si>
  <si>
    <t>SHP Shio Naga 2012</t>
  </si>
  <si>
    <t>SHP PON XVIII Riau 2012</t>
  </si>
  <si>
    <t>SHP 50 th. APPU  2012</t>
  </si>
  <si>
    <t>SHP BURUNG TERANCAM PUNAH</t>
  </si>
  <si>
    <t>SHP MAKANAN TRAD</t>
  </si>
  <si>
    <t>SHP SIARAN TV</t>
  </si>
  <si>
    <t>SHP KEPANDUAN</t>
  </si>
  <si>
    <t>SHP BANGUNAN BERSEJARAH</t>
  </si>
  <si>
    <t>SHP FLORA FAUNA</t>
  </si>
  <si>
    <t>SP PADANG</t>
  </si>
  <si>
    <t>SP KPK</t>
  </si>
  <si>
    <t>SHP Pemilu</t>
  </si>
  <si>
    <t>SHP Tahun Kuda</t>
  </si>
  <si>
    <t>SHP SS Tahun Kuda</t>
  </si>
  <si>
    <t>SHP Alat Musik Tradisional 2014</t>
  </si>
  <si>
    <t>SHP 150th Prko Ind</t>
  </si>
  <si>
    <t>SHP PAUD</t>
  </si>
  <si>
    <t xml:space="preserve">Kemasan 50 th BI 03                </t>
  </si>
  <si>
    <t>Kemasan Tata Surya 2003</t>
  </si>
  <si>
    <t>Album th 2001</t>
  </si>
  <si>
    <t>Album Kemasan 1998</t>
  </si>
  <si>
    <t>Stamppack CR II 1999</t>
  </si>
  <si>
    <t>Stamppack UGM 1999</t>
  </si>
  <si>
    <t>Stamppack UI 2000</t>
  </si>
  <si>
    <t>Kemasan Khusus BK 2001</t>
  </si>
  <si>
    <t>Album 100 Th BH 2002 + Coin</t>
  </si>
  <si>
    <t>Stamppack BH 2002</t>
  </si>
  <si>
    <t>Kem.12 Lambang Shio</t>
  </si>
  <si>
    <t>Kem Ina-China</t>
  </si>
  <si>
    <t>Blanko SP Harry Potter</t>
  </si>
  <si>
    <t>Map Kemasan Harry Potter</t>
  </si>
  <si>
    <t>Kemasan UNPAD</t>
  </si>
  <si>
    <t xml:space="preserve">Album Omnibus Asean </t>
  </si>
  <si>
    <t>Kem SP CT Ecophila</t>
  </si>
  <si>
    <t>Kem SS CT Ecophila</t>
  </si>
  <si>
    <t>Kem Prisma Looney Tunes</t>
  </si>
  <si>
    <t>Kem blankoPrisma Looney Tunes</t>
  </si>
  <si>
    <t>Album Asean 2003</t>
  </si>
  <si>
    <t>Kemasan Jelang Jakarta</t>
  </si>
  <si>
    <t>Kemasan Shio Tikus</t>
  </si>
  <si>
    <t>Kem. Sp Obor Olympiade Beijing</t>
  </si>
  <si>
    <t>Kemasan Ina-Kuba</t>
  </si>
  <si>
    <t>Kemasan Shio Kerbau 09</t>
  </si>
  <si>
    <t>Kemasan 50 Tahun ITB</t>
  </si>
  <si>
    <t>Kemasan  WOC</t>
  </si>
  <si>
    <t>Kemasan Burung</t>
  </si>
  <si>
    <t>Kemasan JIS Ina-Singapore</t>
  </si>
  <si>
    <t>Kemasan Shio Naga 2012</t>
  </si>
  <si>
    <t>Kemasan Ina - Korea</t>
  </si>
  <si>
    <t xml:space="preserve">Kemasan Pasukan Garuda </t>
  </si>
  <si>
    <t xml:space="preserve">Kemasan Shio Kuda </t>
  </si>
  <si>
    <t>Deluxe Sheet Panfila</t>
  </si>
  <si>
    <t>Gantungan Kunci JKT'08</t>
  </si>
  <si>
    <t>Celengan Bis Surat</t>
  </si>
  <si>
    <t>Katalog Prangko 2009</t>
  </si>
  <si>
    <t>Pinset</t>
  </si>
  <si>
    <t>Pigura Prisma Kecil</t>
  </si>
  <si>
    <t>Album Prangko Sisip</t>
  </si>
  <si>
    <t>Prisma Ulang Tahun 2003</t>
  </si>
  <si>
    <t>Prisma Ucapan Selamat biasa 2003</t>
  </si>
  <si>
    <t>Prisma Ikan KOI 2003</t>
  </si>
  <si>
    <t>Prisma Bunga Matahari 2003</t>
  </si>
  <si>
    <t>Hari Raya Islam 2006</t>
  </si>
  <si>
    <t>P. Jabatangan Nasional 072001-01</t>
  </si>
  <si>
    <t>P, Jabatangan Tradisional 072001-02</t>
  </si>
  <si>
    <t>P, Jabatangan Bendera 07,2001-03</t>
  </si>
  <si>
    <t>P, Jabatangan Bunga 07,2001-04</t>
  </si>
  <si>
    <t>Prisma Harfot Kel DA</t>
  </si>
  <si>
    <t>Prisma Harfot Kel OP</t>
  </si>
  <si>
    <t>Prisma Harfot Kel FF</t>
  </si>
  <si>
    <t>Prisma Harfot Kel DARK</t>
  </si>
  <si>
    <t>Seni Pertunjukan lbr 1</t>
  </si>
  <si>
    <t>Seni Pertunjukan lbr 2</t>
  </si>
  <si>
    <t>Seni Pertunjukan lbr 3</t>
  </si>
  <si>
    <t>Seni Pertunjukan lbr 4</t>
  </si>
  <si>
    <t>Prisma Looney Tunes lbr 1</t>
  </si>
  <si>
    <t>Prisma Looney Tunes lbr 2</t>
  </si>
  <si>
    <t>Prisma Looney Tunes lbr 3</t>
  </si>
  <si>
    <t>Prisma Looney Tunes lbr 4</t>
  </si>
  <si>
    <t>Prisma Tom and Jerry</t>
  </si>
  <si>
    <t>Prisma JT  Bendera 3 + Foto Gub Jabar</t>
  </si>
  <si>
    <t>- Seri Wisuda  2009</t>
  </si>
  <si>
    <t>- Seri Kelahiran 2009</t>
  </si>
  <si>
    <t>- Seri Pernikahan 2009</t>
  </si>
  <si>
    <t>- Seri Islami  2009</t>
  </si>
  <si>
    <t>Prisma 2009</t>
  </si>
  <si>
    <t>Prisma 2010</t>
  </si>
  <si>
    <t>- Paralayang</t>
  </si>
  <si>
    <t>- Panjat tebing</t>
  </si>
  <si>
    <t>- Flying Fox dan Meniti Tali</t>
  </si>
  <si>
    <t>Prisma JamNas Palembang :</t>
  </si>
  <si>
    <t>- Arung Jeram</t>
  </si>
  <si>
    <t>- Panjat Tebing</t>
  </si>
  <si>
    <t>Dokumen Filateli Shio Kuda</t>
  </si>
  <si>
    <t>Dokumen Filateli Alat Musik Tradisional Reguler</t>
  </si>
  <si>
    <t>Dokumen PAUD</t>
  </si>
  <si>
    <t>Dokumen  150 thn Prangko Ind'</t>
  </si>
  <si>
    <t>Dokumen Peduli Lingkungan Hidup</t>
  </si>
  <si>
    <t>SS 150thn Prangko</t>
  </si>
  <si>
    <t>JENIS BENDA FILATELI</t>
  </si>
  <si>
    <t>A.  Prangko</t>
  </si>
  <si>
    <t>F. Prangko Prisma</t>
  </si>
  <si>
    <t xml:space="preserve">JUMLAH </t>
  </si>
  <si>
    <t>B. MS dan SS</t>
  </si>
  <si>
    <t>C. SHP dan SHP/SS</t>
  </si>
  <si>
    <t>D. Kemasan</t>
  </si>
  <si>
    <t>E. Merchandise</t>
  </si>
  <si>
    <t>G. Dokumen Filateli</t>
  </si>
  <si>
    <t>Dibuat oleh</t>
  </si>
  <si>
    <t>Mengetahui</t>
  </si>
  <si>
    <t>Manajer Distribusi dan Persediaan</t>
  </si>
  <si>
    <t>Burung Air / Pantai IND</t>
  </si>
  <si>
    <t xml:space="preserve">Ibu Negara </t>
  </si>
  <si>
    <t>Penanggalan Aksara</t>
  </si>
  <si>
    <t xml:space="preserve">MS Burung Air </t>
  </si>
  <si>
    <t>SHP Flora Fauna</t>
  </si>
  <si>
    <t>SHP SS Flora Fauna</t>
  </si>
  <si>
    <t>SHP Burung Air</t>
  </si>
  <si>
    <t>Kemasan Ibu Negara</t>
  </si>
  <si>
    <t>PRISMA BINGKAI BENDERA</t>
  </si>
  <si>
    <t>PRISMA BINGKAI TRADISIONAL</t>
  </si>
  <si>
    <t xml:space="preserve">Dokumen Burung Air </t>
  </si>
  <si>
    <t>Dokumen Ibu Negara</t>
  </si>
  <si>
    <t>Dokumen 125 tahun paleontropologi</t>
  </si>
  <si>
    <t>Dokumen Aksara IND</t>
  </si>
  <si>
    <t>Dokumen Layanan Pos</t>
  </si>
  <si>
    <t>Prko 125 thn Paleontropolg</t>
  </si>
  <si>
    <t>Prko HUT TNI ke 69</t>
  </si>
  <si>
    <t>Prko Flora Fauna'</t>
  </si>
  <si>
    <t>Prko Kesehatan</t>
  </si>
  <si>
    <t>Prko Jembatan</t>
  </si>
  <si>
    <t>SS Malaysia</t>
  </si>
  <si>
    <t>SHP Ibu Negara</t>
  </si>
  <si>
    <t>SHP 125 th Paleontroplg</t>
  </si>
  <si>
    <t>SHP Hari Aksara Trad</t>
  </si>
  <si>
    <t>SHP Layananpos</t>
  </si>
  <si>
    <t>SHP HUT TNI ke 69</t>
  </si>
  <si>
    <t>SHP Hari Kesehatan</t>
  </si>
  <si>
    <t>SP Malaysia</t>
  </si>
  <si>
    <t xml:space="preserve">SHP Jembatan </t>
  </si>
  <si>
    <t>Dokumen Flora Fauna</t>
  </si>
  <si>
    <t>Dokmen Hari Kesehatan</t>
  </si>
  <si>
    <t>Dokumen Filateli Malaysia</t>
  </si>
  <si>
    <t>Dokumen HUT TNI ke 69</t>
  </si>
  <si>
    <t>Dokumen Jembatan</t>
  </si>
  <si>
    <t>Dokumen Pemilu</t>
  </si>
  <si>
    <t>REKAP STOK AKHIR BENDA FILATELI GUDANG PUSAT</t>
  </si>
  <si>
    <t>Pengeluaran</t>
  </si>
  <si>
    <t>Prangko Shio Kambing</t>
  </si>
  <si>
    <t>Prangko Jis Ina/Korut</t>
  </si>
  <si>
    <t>Prangko Kalimantan Utara</t>
  </si>
  <si>
    <t>Prangko Peduli Lingkungan</t>
  </si>
  <si>
    <t xml:space="preserve">MS Kambing </t>
  </si>
  <si>
    <t>SS Kambing</t>
  </si>
  <si>
    <t>SHP Shio KAMBING</t>
  </si>
  <si>
    <t>SHP/SS Shio KAMBING</t>
  </si>
  <si>
    <t>Kemasan Kambing</t>
  </si>
  <si>
    <t>DOKUMEN SHIO KAMBING</t>
  </si>
  <si>
    <t>Penerimaan</t>
  </si>
  <si>
    <t>Jumlah</t>
  </si>
  <si>
    <t>Nilai Instrinsik</t>
  </si>
  <si>
    <t>Bsu</t>
  </si>
  <si>
    <t>SHP AlatMusik Trad</t>
  </si>
  <si>
    <t>SHP Jis Ina / Korut</t>
  </si>
  <si>
    <t>SHP Kalimantan Utara</t>
  </si>
  <si>
    <t>DOKUMEN ALAT MUSIK TRAD</t>
  </si>
  <si>
    <t>DOKUMEN P BENCANA</t>
  </si>
  <si>
    <t>DOKUMEN JIS INA/KORUT</t>
  </si>
  <si>
    <t>DOKUMEN KALIMANTAN UTARA</t>
  </si>
  <si>
    <t>DOKUMEN PEDULI LINGKUNGAN</t>
  </si>
  <si>
    <t>Prangko Jambore Pramuka</t>
  </si>
  <si>
    <t>Prangko JIS Asean</t>
  </si>
  <si>
    <t>SHP Jambore Dunia</t>
  </si>
  <si>
    <t>DOKUMEN JAMBORE PRAMUKA DUNIA</t>
  </si>
  <si>
    <t>Jumlah dokumen 2015</t>
  </si>
  <si>
    <t>Jumlah dokumen SD 2015</t>
  </si>
  <si>
    <t>Prangko Pres dan Wapres</t>
  </si>
  <si>
    <t>Prangko DPR ke 70 thn</t>
  </si>
  <si>
    <t>SS Singapore</t>
  </si>
  <si>
    <t>SP Singapore</t>
  </si>
  <si>
    <t>SHP Pres dan Wapres</t>
  </si>
  <si>
    <t>SHP DPR 70 thn</t>
  </si>
  <si>
    <t>Kemasan JIS Asean</t>
  </si>
  <si>
    <t>DOKUMEN JIS ASEAN</t>
  </si>
  <si>
    <t>DOKUMEN SINGAPURA</t>
  </si>
  <si>
    <t>DOKUMEN PRES DAN WAPRES</t>
  </si>
  <si>
    <t>DOKUMEN DPR 70 TAHUN</t>
  </si>
  <si>
    <t>Prangko 70 thn PMI</t>
  </si>
  <si>
    <t>Dokumen 70 thn PMI</t>
  </si>
  <si>
    <t>SHP JIS Asean</t>
  </si>
  <si>
    <t>SHP PMI</t>
  </si>
  <si>
    <t>SHP Peduli Lingkungan 2012</t>
  </si>
  <si>
    <t>SP Laskar Pelangi</t>
  </si>
  <si>
    <t>Kemasan Koi</t>
  </si>
  <si>
    <t>Prangko Hapsak</t>
  </si>
  <si>
    <t>Prangko Industri Pertahanan</t>
  </si>
  <si>
    <t>SHP 50thn Hapsak</t>
  </si>
  <si>
    <t>SHP Kebangkitan Ind Pth</t>
  </si>
  <si>
    <t>Dokumen Hapsak</t>
  </si>
  <si>
    <t>Dokumen Kebangkitan Industri Pthnan</t>
  </si>
  <si>
    <t>Prangko Flora Fauna</t>
  </si>
  <si>
    <t>SP Panfila Sby</t>
  </si>
  <si>
    <t>TEDDY EKO PRIHAKSONO</t>
  </si>
  <si>
    <t>Nippos 964216401</t>
  </si>
  <si>
    <t>SRIYADI BASUKI</t>
  </si>
  <si>
    <t>Nippos 973351664</t>
  </si>
  <si>
    <t>MINISHEET</t>
  </si>
  <si>
    <t>Biaya Cetak</t>
  </si>
  <si>
    <t>9 = (2x8)</t>
  </si>
  <si>
    <t>8 = (6-7)</t>
  </si>
  <si>
    <t>6 = (4+5)</t>
  </si>
  <si>
    <t>10 = (3x8)</t>
  </si>
  <si>
    <t>Hemat Energi</t>
  </si>
  <si>
    <t>A. PRANGKO</t>
  </si>
  <si>
    <t>PRANGKO TAHUN 2003</t>
  </si>
  <si>
    <t>No</t>
  </si>
  <si>
    <t>Jumlah Tahun 2003</t>
  </si>
  <si>
    <t>PRANGKO TAHUN 2004</t>
  </si>
  <si>
    <t>Jumlah Tahun 2004</t>
  </si>
  <si>
    <t>PRANGKO TAHUN 2005</t>
  </si>
  <si>
    <t>Jumlah Tahun 2005</t>
  </si>
  <si>
    <t>PRANGKO TAHUN 2006</t>
  </si>
  <si>
    <t>Jumlah Tahun 2006</t>
  </si>
  <si>
    <t>PRANGKO TAHUN 2007</t>
  </si>
  <si>
    <t>Jumlah Tahun 2007</t>
  </si>
  <si>
    <t>PRANGKO TAHUN 2008</t>
  </si>
  <si>
    <t>PRANGKO TAHUN 2009</t>
  </si>
  <si>
    <t>Jumlah Tahun 2008</t>
  </si>
  <si>
    <t>Jumlah Tahun 2009</t>
  </si>
  <si>
    <t>PRANGKO TAHUN 2010</t>
  </si>
  <si>
    <t>PRANGKO TAHUN 2011</t>
  </si>
  <si>
    <t>Jumlah Tahun 2010</t>
  </si>
  <si>
    <t>Jumlah Tahun 2011</t>
  </si>
  <si>
    <t>PRANGKO TAHUN 2012</t>
  </si>
  <si>
    <t>Jumlah Tahun 2012</t>
  </si>
  <si>
    <t>PRANGKO TAHUN 2013</t>
  </si>
  <si>
    <t>PRKO TAHUN ULAR 2564</t>
  </si>
  <si>
    <t>PRKO JIS IND-MEXICO</t>
  </si>
  <si>
    <t>PRKO KIHAJAR DEWANTORO</t>
  </si>
  <si>
    <t>PRKO PEDULI LINGK</t>
  </si>
  <si>
    <t>PRKO. LEM. PURBAKALA</t>
  </si>
  <si>
    <t>PRKO PMI</t>
  </si>
  <si>
    <t>Jumlah Tahun 2013</t>
  </si>
  <si>
    <t>PRANGKO TAHUN 2014</t>
  </si>
  <si>
    <t xml:space="preserve">Jumlah Tahun 2014 </t>
  </si>
  <si>
    <t>PRANGKO TAHUN 2015</t>
  </si>
  <si>
    <t>Jumlah Tahun 2015</t>
  </si>
  <si>
    <t>TAHUN 2003 (SS)</t>
  </si>
  <si>
    <t>Jumlah SS Tahun 2003</t>
  </si>
  <si>
    <t>TAHUN 2003 (MS)</t>
  </si>
  <si>
    <t>Jumlah MS Tahun 2003</t>
  </si>
  <si>
    <t>SS Lingkungan Hidup</t>
  </si>
  <si>
    <t>TAHUN 2004</t>
  </si>
  <si>
    <t>Jumlah SS Tahun 2004</t>
  </si>
  <si>
    <t>TAHUN 2005</t>
  </si>
  <si>
    <t>Jumlah SS Tahun 2005</t>
  </si>
  <si>
    <t>TAHUN 2006</t>
  </si>
  <si>
    <t>Jumlah SS Tahun 2006</t>
  </si>
  <si>
    <t>TAHUN 2007</t>
  </si>
  <si>
    <t>Jumlah SS Tahun 2007</t>
  </si>
  <si>
    <t>Jumlah SS Tahun 2008</t>
  </si>
  <si>
    <t>TAHUN 2008</t>
  </si>
  <si>
    <t>TAHUN 2010</t>
  </si>
  <si>
    <t>Jumlah SS Tahun 2010</t>
  </si>
  <si>
    <t>TAHUN 2011</t>
  </si>
  <si>
    <t>Jumlah SS Tahun 2011</t>
  </si>
  <si>
    <t>Uralian</t>
  </si>
  <si>
    <t>TAHUN 2009</t>
  </si>
  <si>
    <t>TAHUN 2012</t>
  </si>
  <si>
    <t>TAHUN 2013</t>
  </si>
  <si>
    <t>TAHUN 2014</t>
  </si>
  <si>
    <t>TAHUN 2015</t>
  </si>
  <si>
    <t xml:space="preserve">TAHUN 2003 </t>
  </si>
  <si>
    <t xml:space="preserve">TAHUN 2015 </t>
  </si>
  <si>
    <t xml:space="preserve">B.  MINI SHEET (MS) DAN SOUVENIR SHEET (SS)  </t>
  </si>
  <si>
    <t>D. KEMASAN</t>
  </si>
  <si>
    <t>Jumlah  s.d Tahun 2005</t>
  </si>
  <si>
    <t>Jumlah Tahun 2014</t>
  </si>
  <si>
    <t>E. MERCHANDISE</t>
  </si>
  <si>
    <t xml:space="preserve">Jumlah s.d Tahun 2009 </t>
  </si>
  <si>
    <t>F. PRISMA</t>
  </si>
  <si>
    <t>Jumlah s.d Tahun 2005</t>
  </si>
  <si>
    <t>Jumlah  Tahun 2006 s/d 2009 :</t>
  </si>
  <si>
    <t xml:space="preserve">Jumlah  Tahun 2009 </t>
  </si>
  <si>
    <t>Jumlah Tahun 2010 dan 2013</t>
  </si>
  <si>
    <t xml:space="preserve">TOTAL PRISMA </t>
  </si>
  <si>
    <t>G. DOKUMEN FILATELI</t>
  </si>
  <si>
    <t>PRANGKO TAHUN 2016</t>
  </si>
  <si>
    <t>Jumlah Tahun 2016</t>
  </si>
  <si>
    <t>SS Cerita Rakyat 04</t>
  </si>
  <si>
    <t>Cerita Rakyat 06</t>
  </si>
  <si>
    <t>SS Penangulangan Bencana</t>
  </si>
  <si>
    <t>SS Panfila sb</t>
  </si>
  <si>
    <t>MS Kambing Special Edisi</t>
  </si>
  <si>
    <t>TAHUN 2016</t>
  </si>
  <si>
    <t>Stamppack Tata Surya 01</t>
  </si>
  <si>
    <t>Album Detik2 Proklamasi BH 02</t>
  </si>
  <si>
    <t>Kmsn Tematik Reformasi 01</t>
  </si>
  <si>
    <t>Kmsn Khusus Shio Naga 12</t>
  </si>
  <si>
    <t>kmsn Edisi Khusus Kain 12</t>
  </si>
  <si>
    <t>Buku Kmsn Perangko 2011</t>
  </si>
  <si>
    <t>SHP Prko Astronomi</t>
  </si>
  <si>
    <t>SHP Prko WOC</t>
  </si>
  <si>
    <t>SHP SHIO ULAR</t>
  </si>
  <si>
    <t>SHP SS SHIO ULAR</t>
  </si>
  <si>
    <t>SHP RATU BOKO</t>
  </si>
  <si>
    <t>SP INDONESIA FASHION WEEK</t>
  </si>
  <si>
    <t>SP DAHLAN ISKAN</t>
  </si>
  <si>
    <t>SHP ALAT MUSIK TRAD</t>
  </si>
  <si>
    <t>SHP JIS INA-MEXICO</t>
  </si>
  <si>
    <t>SHP PEDULI LINGK</t>
  </si>
  <si>
    <t>SHP PURBAKALA</t>
  </si>
  <si>
    <t>SHP IND-AUSTRALIA</t>
  </si>
  <si>
    <t>SHP KIHAJAR DEWANTORO</t>
  </si>
  <si>
    <t>SHP IRIAN BARAT</t>
  </si>
  <si>
    <t>SHP PMI (HANRY DUNANT)</t>
  </si>
  <si>
    <t>SHP INA-KOREA</t>
  </si>
  <si>
    <t>SHP Penanggulangan Bencana</t>
  </si>
  <si>
    <t>SS TAHUN ULAR 2564</t>
  </si>
  <si>
    <t>MS TAHUN ULAR 2564</t>
  </si>
  <si>
    <t>SS AUSTRALIA</t>
  </si>
  <si>
    <t>SS PEDULI LINGK</t>
  </si>
  <si>
    <t>SS LEM. PURBAKALA</t>
  </si>
  <si>
    <t>SS THAILAND</t>
  </si>
  <si>
    <t>Kmsn Prko Kehidupan Bawah Laut</t>
  </si>
  <si>
    <t xml:space="preserve">Kmsn Khusus Shio Kelinci </t>
  </si>
  <si>
    <t>Jumlah dokumen 2016</t>
  </si>
  <si>
    <r>
      <t xml:space="preserve">- Seri Selebrasi  2009 </t>
    </r>
    <r>
      <rPr>
        <i/>
        <sz val="11"/>
        <rFont val="Calibri"/>
        <family val="2"/>
        <scheme val="minor"/>
      </rPr>
      <t>ulang tahun</t>
    </r>
  </si>
  <si>
    <r>
      <t>Kmsn th 2001</t>
    </r>
    <r>
      <rPr>
        <i/>
        <sz val="11"/>
        <rFont val="Calibri"/>
        <family val="2"/>
        <scheme val="minor"/>
      </rPr>
      <t xml:space="preserve"> ind stamp</t>
    </r>
  </si>
  <si>
    <r>
      <t>Kmsn Khusus Batik #3</t>
    </r>
    <r>
      <rPr>
        <i/>
        <sz val="10"/>
        <rFont val="Calibri"/>
        <family val="2"/>
        <scheme val="minor"/>
      </rPr>
      <t xml:space="preserve"> sb</t>
    </r>
  </si>
  <si>
    <t>Indonesia-Slowakia 06</t>
  </si>
  <si>
    <r>
      <t xml:space="preserve">12 Lambang Shio </t>
    </r>
    <r>
      <rPr>
        <i/>
        <sz val="11"/>
        <rFont val="Calibri"/>
        <family val="2"/>
        <scheme val="minor"/>
      </rPr>
      <t>ss</t>
    </r>
  </si>
  <si>
    <t>Shio Macan MS</t>
  </si>
  <si>
    <t>SS KAIN TRAD bali</t>
  </si>
  <si>
    <t>SS Flora Fauna (2)</t>
  </si>
  <si>
    <t>Kain Trad Indonesia bali keping</t>
  </si>
  <si>
    <t>PRKO RATU BOKO (keping)</t>
  </si>
  <si>
    <t>PRKO 50 th IRIAN BARAT (keping</t>
  </si>
  <si>
    <t>pemeriksaan pa kemal akhir desember jmlnya 10 (11-1-15)</t>
  </si>
  <si>
    <t>Fp Disper Prangko &amp; Filateli</t>
  </si>
  <si>
    <t>Daerah Tujuan Wisata (4)</t>
  </si>
  <si>
    <t>Tahun Monyet (3)</t>
  </si>
  <si>
    <t xml:space="preserve">SS Daerah Tujuan Wisata </t>
  </si>
  <si>
    <t xml:space="preserve">Shp Daerah Tujuan Wisata </t>
  </si>
  <si>
    <t>Daerah Tujuan Wisata</t>
  </si>
  <si>
    <t>UTK SALDO AWAL Copy value</t>
  </si>
  <si>
    <t>SS Tahun Monyet</t>
  </si>
  <si>
    <t>MS Tahun Monyet</t>
  </si>
  <si>
    <t>KTP Thn Monyet</t>
  </si>
  <si>
    <t>KTP Doraemon</t>
  </si>
  <si>
    <t>Shp Prko Thn Monyet</t>
  </si>
  <si>
    <t>Shp SS Thn Monyet</t>
  </si>
  <si>
    <t>Gerhana Matahari Total (3)</t>
  </si>
  <si>
    <t>SS Gerhana Matahari Total</t>
  </si>
  <si>
    <t>Kmsn edsus Thn Monyet</t>
  </si>
  <si>
    <t>Kemasan DTW</t>
  </si>
  <si>
    <t>Kmsn Gerhana M T</t>
  </si>
  <si>
    <t xml:space="preserve">SP Bkkbn </t>
  </si>
  <si>
    <t>Kmsn Komodo Exercise</t>
  </si>
  <si>
    <t>KTP GMT + Prangko</t>
  </si>
  <si>
    <t>KTP GMT tanpa prko</t>
  </si>
  <si>
    <t>KTP GMT KOIN</t>
  </si>
  <si>
    <t>Kmsn Thn Monyet</t>
  </si>
  <si>
    <t>Tahun Monyet</t>
  </si>
  <si>
    <t>Gerhana Matahari Total</t>
  </si>
  <si>
    <t>SS GMT Total + KACAMATA</t>
  </si>
  <si>
    <t>SP Palembang</t>
  </si>
  <si>
    <t>SP Bangka Tengah</t>
  </si>
  <si>
    <t>MS JIS Ina-Thailand</t>
  </si>
  <si>
    <t>SS JIS Ina-Thailand</t>
  </si>
  <si>
    <t>ms imperf thn monyet</t>
  </si>
  <si>
    <t>folder 70 thn pendidikan tekhnik ugm 2016</t>
  </si>
  <si>
    <t>sp 70 thn pendidikan tekhnik ugm 2016</t>
  </si>
  <si>
    <t>SHP GMT Tanpa Prko</t>
  </si>
  <si>
    <t>SHP Jis Ina-Thailan</t>
  </si>
  <si>
    <t xml:space="preserve">Kmsn KTP Doraemon </t>
  </si>
  <si>
    <t>Kmsn prisma kucing</t>
  </si>
  <si>
    <t>Kmsn KTP Kucing</t>
  </si>
  <si>
    <t>PRISMA BINGKAI BENDERA POLOS</t>
  </si>
  <si>
    <t>SHP Jis Ina-Thailan tanpa prko</t>
  </si>
  <si>
    <t>kmsn prisma Doraemon</t>
  </si>
  <si>
    <t>JIS Ina - Thailand</t>
  </si>
  <si>
    <t>dokfil</t>
  </si>
  <si>
    <t>Kmsn Jis Ina Thailand</t>
  </si>
  <si>
    <t>KTP Doraemon Tanpa Prko</t>
  </si>
  <si>
    <t>kartu lebaran 2016</t>
  </si>
  <si>
    <t>Prko Flora Fauna (hiu)</t>
  </si>
  <si>
    <t>bulan juni kemasan di ambil oleh produksi adnan , sis, heri</t>
  </si>
  <si>
    <t>JUNI</t>
  </si>
  <si>
    <t>SP peduli linkungan 2016</t>
  </si>
  <si>
    <t>kmsn PMR Jumbara</t>
  </si>
  <si>
    <t>MS Pon XIX</t>
  </si>
  <si>
    <t>SS Pon XIX</t>
  </si>
  <si>
    <t>SHP Pon XIX</t>
  </si>
  <si>
    <t>KTP Pon XIX</t>
  </si>
  <si>
    <t xml:space="preserve">Rempah rempah </t>
  </si>
  <si>
    <t>SHP Rempah rempah</t>
  </si>
  <si>
    <t>KTP Rempah rempah</t>
  </si>
  <si>
    <t>SS Satelit Indonesia</t>
  </si>
  <si>
    <t>SHP Satelit Indonesia</t>
  </si>
  <si>
    <t>Prisma Ulang Tahun 2003 f10</t>
  </si>
  <si>
    <t>OK</t>
  </si>
  <si>
    <t>OK 750</t>
  </si>
  <si>
    <t>OK 500</t>
  </si>
  <si>
    <t>OK 75</t>
  </si>
  <si>
    <t>OK 447</t>
  </si>
  <si>
    <t>OK 250</t>
  </si>
  <si>
    <t>OK 700</t>
  </si>
  <si>
    <t>OK 200</t>
  </si>
  <si>
    <t>OK 180</t>
  </si>
  <si>
    <t>OK 296</t>
  </si>
  <si>
    <t>OK 800</t>
  </si>
  <si>
    <t>ok 156.800</t>
  </si>
  <si>
    <t>alokasi tadinya 1950 dikurang 50 slo</t>
  </si>
  <si>
    <t>ok 610</t>
  </si>
  <si>
    <t>ok 594</t>
  </si>
  <si>
    <t>ok 600</t>
  </si>
  <si>
    <t>,</t>
  </si>
  <si>
    <t>kmsn edsus #5 jelang bd 2017</t>
  </si>
  <si>
    <t>SP Peduli Linkungan 2016</t>
  </si>
  <si>
    <t>SP Jamnas 2016</t>
  </si>
  <si>
    <t>SP 270th POS Indonesia</t>
  </si>
  <si>
    <t>SP 2016th Kota Bandung</t>
  </si>
  <si>
    <t>SS Philataipei</t>
  </si>
  <si>
    <t>SP Philathaipei</t>
  </si>
  <si>
    <t>78,926 dialihkan menjadi def</t>
  </si>
  <si>
    <t>FULLSHEET KAIN TRAD (jkt)</t>
  </si>
  <si>
    <t>Kmsn Prko 2013 (dokfil)</t>
  </si>
  <si>
    <t>SS Kain Trad. Reguler #7 jkt</t>
  </si>
  <si>
    <t>SS Kain Batik Tradisional (ms sb)</t>
  </si>
  <si>
    <t>MS Kain Tradisional bali</t>
  </si>
  <si>
    <t>MS KAN TRAD #7 jkt</t>
  </si>
  <si>
    <t>SHP Kain Tradisional 8x200</t>
  </si>
  <si>
    <t>Ss flora fauna 2016</t>
  </si>
  <si>
    <t>SHP Flora Fauna 2016</t>
  </si>
  <si>
    <t>KTP Flora fauna 2016</t>
  </si>
  <si>
    <t>340 def</t>
  </si>
  <si>
    <t>139,720 jd def</t>
  </si>
  <si>
    <t>50 kr depok permintaan kp dp info p sis</t>
  </si>
  <si>
    <t>pengalihan menjadi def 1000x 2 = 2,000 kpg</t>
  </si>
  <si>
    <t>pengalihan menjadi definitif 15,000</t>
  </si>
  <si>
    <t>Prangko Penanggulangan Bencana</t>
  </si>
  <si>
    <t>SS Panfila Yogyakarta</t>
  </si>
  <si>
    <t>KTP bergambar 2013</t>
  </si>
  <si>
    <t>ms imperf Bandung Thailand  night</t>
  </si>
  <si>
    <t>SS JIS Ina-Thailand (CT) 2016</t>
  </si>
  <si>
    <t>kmsn 70 th DPR RI</t>
  </si>
  <si>
    <t>Kmsn Putri gading cempaka 2003</t>
  </si>
  <si>
    <t>Kmsn proklamator kemerdekaan 02</t>
  </si>
  <si>
    <t>Album 1 Abad B K + Coin</t>
  </si>
  <si>
    <t>Hiasan Magnet-Gunungan</t>
  </si>
  <si>
    <t>GANTUNGAN KUNCI</t>
  </si>
  <si>
    <t>GANTUNGAN KUNCI METAL</t>
  </si>
  <si>
    <t>Replika Bis Surat</t>
  </si>
  <si>
    <t>DOMPET MODEL SURAT</t>
  </si>
  <si>
    <t>NOV</t>
  </si>
  <si>
    <t>OKT</t>
  </si>
  <si>
    <t>Buku 150Th Prko Ind</t>
  </si>
  <si>
    <t>des okt 2 ke konsfilaut souvenir</t>
  </si>
  <si>
    <t>Satelit Indonesia (rp4000x6)</t>
  </si>
  <si>
    <t>SP Panfila YK tanpa prko</t>
  </si>
  <si>
    <t>des</t>
  </si>
  <si>
    <t>Kaos Satelit Indonesia</t>
  </si>
  <si>
    <t>Petugas Pemeriksa</t>
  </si>
  <si>
    <t>Nippos</t>
  </si>
  <si>
    <t>produksi 1 bln des transaksi bln agust</t>
  </si>
  <si>
    <t>des pengalihan</t>
  </si>
  <si>
    <t xml:space="preserve">des prd 20 </t>
  </si>
  <si>
    <t>PRANGKO TAHUN 2017</t>
  </si>
  <si>
    <t>Jumlah Tahun 2017</t>
  </si>
  <si>
    <t>TAHUN 2017</t>
  </si>
  <si>
    <t>Jumlah s.d Tahun 2017</t>
  </si>
  <si>
    <t>Jumlah SHP 2003 sd 2017</t>
  </si>
  <si>
    <t>Jumlah Total Ms dan SS s.d 2017</t>
  </si>
  <si>
    <t>JUMLAH  Th. 2003 S.D. 2017</t>
  </si>
  <si>
    <t>JD DEF a8.000</t>
  </si>
  <si>
    <t>SS FLORA FAUNA (kuskus)</t>
  </si>
  <si>
    <t>Shio Ayam (rp3.000x3kpg)</t>
  </si>
  <si>
    <t>MS Shio Ayam</t>
  </si>
  <si>
    <t>SS Shio Ayam</t>
  </si>
  <si>
    <t>SHP Prko Shio Ayam</t>
  </si>
  <si>
    <t>SHP SS Shio Ayam</t>
  </si>
  <si>
    <t>KTP Shio Ayam</t>
  </si>
  <si>
    <t>jd def jan 17 = 1200</t>
  </si>
  <si>
    <t>jan jadi def 1.260</t>
  </si>
  <si>
    <t>jan 17 jadi def 18.200</t>
  </si>
  <si>
    <t>jan 17 jadi def 11.600</t>
  </si>
  <si>
    <t>jadi def jan 2017 3.400</t>
  </si>
  <si>
    <t>jadi def jan 2017 1.000</t>
  </si>
  <si>
    <t>jan 2017 jadi def 3.200</t>
  </si>
  <si>
    <t>jan 17 jadi def 14.000 kpg / 3500 set</t>
  </si>
  <si>
    <t>jan 17 jadi def 18.000 kpg / 6000 set</t>
  </si>
  <si>
    <t>jan 17 jd def 3485</t>
  </si>
  <si>
    <t>jan 17 jd def 475</t>
  </si>
  <si>
    <t>jan 2017 jd def jan 400</t>
  </si>
  <si>
    <t>jan 2017 jd def 1200 kpg :2 (600 lbr ss x 2 kpg)</t>
  </si>
  <si>
    <t>jan 2017 jd def 6000 kpg : 4 (1.500 lbr)</t>
  </si>
  <si>
    <t>jan 17 jd def 3000 + 2794 lbr</t>
  </si>
  <si>
    <t>jan 17 jd def 3000 + 9000 + 9000 lbr</t>
  </si>
  <si>
    <t>MSDaerah Tujuan Wisata</t>
  </si>
  <si>
    <t>SS Daerah Tujuan Wisata</t>
  </si>
  <si>
    <t>SHP Daerah Tujuan Wisata</t>
  </si>
  <si>
    <t>feb'17 9,000 jd def</t>
  </si>
  <si>
    <t>feb'17 18,800 jd def</t>
  </si>
  <si>
    <t>feb 2,000</t>
  </si>
  <si>
    <t>feb'17 2,496 def</t>
  </si>
  <si>
    <t>jd def feb'17  860 = 2,580</t>
  </si>
  <si>
    <t>feb'17 jd def 100 set = 1,100 kpg</t>
  </si>
  <si>
    <t>feb'17 jd def 610 set = 1,220 kpg</t>
  </si>
  <si>
    <t>jd def feb'17  625 = 2,500</t>
  </si>
  <si>
    <t>jan 17 jadi def 2.000 kpg / 1,000 set</t>
  </si>
  <si>
    <t>jan 17 jadi def 600 kpg / 1,200 set</t>
  </si>
  <si>
    <t>jan 17 jadi def 2,160 kpg / 1,080 set</t>
  </si>
  <si>
    <t>feb'17 jd def 1,188 set = 594 kpg</t>
  </si>
  <si>
    <t>jd def feb'17  3,050 set = 12,200 kpg</t>
  </si>
  <si>
    <t>Ms flora fauna 2016 (kupu kupu)</t>
  </si>
  <si>
    <t>jan17 4.432 set = 2.216 rp 3.000 def</t>
  </si>
  <si>
    <t>prod</t>
  </si>
  <si>
    <t xml:space="preserve">prod </t>
  </si>
  <si>
    <t>feb 5,200+12400+1700+6300</t>
  </si>
  <si>
    <t>mar 1.300</t>
  </si>
  <si>
    <t>KTP Floating Market</t>
  </si>
  <si>
    <t>kmsn #5 shio ayam 2017</t>
  </si>
  <si>
    <t>cek</t>
  </si>
  <si>
    <t>MS Shio Ayam CT</t>
  </si>
  <si>
    <t>ms kebebasan pers 2017</t>
  </si>
  <si>
    <t>shp kebebasan pers 2017</t>
  </si>
  <si>
    <t>Kebebasan pers 2017 (2 kpg)</t>
  </si>
  <si>
    <t>200 thn Pattimura</t>
  </si>
  <si>
    <t>shp 200 thn pattimura</t>
  </si>
  <si>
    <t>SS dua abad kebon raya bogor</t>
  </si>
  <si>
    <t>MS dua abad kebon raya bogor</t>
  </si>
  <si>
    <t>SHP dua abad KRB</t>
  </si>
  <si>
    <t>2mei cto</t>
  </si>
  <si>
    <t>PRISMA POLOS (4 KEPING)</t>
  </si>
  <si>
    <t>PRISMA POLOS (6 KEPING)</t>
  </si>
  <si>
    <t>2600</t>
  </si>
  <si>
    <t>cocok 31 mei</t>
  </si>
  <si>
    <t>jun def</t>
  </si>
  <si>
    <t xml:space="preserve">jun def </t>
  </si>
  <si>
    <t>40 x3 = 120 kpg</t>
  </si>
  <si>
    <t>jun def 50 x 6 = 300 kpg</t>
  </si>
  <si>
    <t>100th lion club (2 kpg)</t>
  </si>
  <si>
    <t>kiffa 3.000</t>
  </si>
  <si>
    <t>SHP 100th Lion Club</t>
  </si>
  <si>
    <t>KTP Kebun Raya Bogor</t>
  </si>
  <si>
    <t>Peduli Lingkungan (2 kpg)</t>
  </si>
  <si>
    <t>SHP SS peduli lingkungan</t>
  </si>
  <si>
    <t>SHP Prko peduli lingkungan</t>
  </si>
  <si>
    <t>kiffa 3000</t>
  </si>
  <si>
    <t>juni cocok 73.060</t>
  </si>
  <si>
    <t>jun cocok 1.100</t>
  </si>
  <si>
    <t>juni cocok 450</t>
  </si>
  <si>
    <t>juni cocok 800</t>
  </si>
  <si>
    <t>juni cocok 290</t>
  </si>
  <si>
    <t>juni cocok 50</t>
  </si>
  <si>
    <t>juni cocok 570</t>
  </si>
  <si>
    <t>barang ada 290</t>
  </si>
  <si>
    <t>repacking</t>
  </si>
  <si>
    <t>pameran</t>
  </si>
  <si>
    <t>cocok 1 juli 17</t>
  </si>
  <si>
    <t>cocok 1 juli  17</t>
  </si>
  <si>
    <t>cocok 600 1juli</t>
  </si>
  <si>
    <t>coco 1 juli 17, 625</t>
  </si>
  <si>
    <t>coco 1 juli 17, 800</t>
  </si>
  <si>
    <t>90 cocok 1 juli 17</t>
  </si>
  <si>
    <t>21 499 repackung</t>
  </si>
  <si>
    <t>200 cocok 1 juli 17</t>
  </si>
  <si>
    <t>200 cocok 1 juli 2017</t>
  </si>
  <si>
    <t>300 cocok 1 juli 17</t>
  </si>
  <si>
    <t>19.999 cocok 1juli</t>
  </si>
  <si>
    <t>cocok 27.999 I juli</t>
  </si>
  <si>
    <t>cocok 300 1 juli</t>
  </si>
  <si>
    <t>cocok 6.600 lembar 1 juli 17</t>
  </si>
  <si>
    <t>1o.798 cocok 1 juli 17</t>
  </si>
  <si>
    <t>SS Presiden dan Wapres (set x 2)</t>
  </si>
  <si>
    <t>2880 cocok 1 juli 17</t>
  </si>
  <si>
    <t>12o cocok 1 juli 17</t>
  </si>
  <si>
    <t>84 cocok 1juli</t>
  </si>
  <si>
    <t>juli cocok 8.200</t>
  </si>
  <si>
    <t xml:space="preserve">jul def </t>
  </si>
  <si>
    <t>13juli 2017 def 10.798</t>
  </si>
  <si>
    <t>13juli 2017 def 6.600</t>
  </si>
  <si>
    <t>13 juli 2017 def 300</t>
  </si>
  <si>
    <t>Post Crossing (3 kpg)</t>
  </si>
  <si>
    <t>KTP Post Crossing</t>
  </si>
  <si>
    <t>jul def 600</t>
  </si>
  <si>
    <t>jul def 1.000</t>
  </si>
  <si>
    <t>KTP DTW 2017</t>
  </si>
  <si>
    <t>SS Post Crossing</t>
  </si>
  <si>
    <t>SHP postcrossing</t>
  </si>
  <si>
    <t>50 th ASEAN</t>
  </si>
  <si>
    <t>SHP 50th ASEAN</t>
  </si>
  <si>
    <t>agustus 100</t>
  </si>
  <si>
    <t>agustus 270</t>
  </si>
  <si>
    <t>agustus 190</t>
  </si>
  <si>
    <t>austus 50</t>
  </si>
  <si>
    <t>Pasukan Garuda 4x2.500 tahun 2013</t>
  </si>
  <si>
    <t>agustus 2017 = 5000 set prko garuda tahun 2013. habis kolom nya</t>
  </si>
  <si>
    <t>agustus 2017 = 2,000 kpg</t>
  </si>
  <si>
    <t>agst</t>
  </si>
  <si>
    <t>KIFFA</t>
  </si>
  <si>
    <t>imperf</t>
  </si>
  <si>
    <t>souve</t>
  </si>
  <si>
    <t>agst 100 prod di jul 100</t>
  </si>
  <si>
    <t>agustus 6.900</t>
  </si>
  <si>
    <t>4 keping</t>
  </si>
  <si>
    <t>6 keping</t>
  </si>
  <si>
    <t>sisa agst 200</t>
  </si>
  <si>
    <t>26 jan</t>
  </si>
  <si>
    <t>kiffa</t>
  </si>
  <si>
    <t>fil</t>
  </si>
  <si>
    <t>3/2</t>
  </si>
  <si>
    <t>upt</t>
  </si>
  <si>
    <t>7/2</t>
  </si>
  <si>
    <t>8/2</t>
  </si>
  <si>
    <t>13/2</t>
  </si>
  <si>
    <t>20/2</t>
  </si>
  <si>
    <t>22/2</t>
  </si>
  <si>
    <t>28/2</t>
  </si>
  <si>
    <t>7/3</t>
  </si>
  <si>
    <t>15/3</t>
  </si>
  <si>
    <t>4/4</t>
  </si>
  <si>
    <t>11/4</t>
  </si>
  <si>
    <t>2/5</t>
  </si>
  <si>
    <t>3/5</t>
  </si>
  <si>
    <t>prod ct</t>
  </si>
  <si>
    <t>23/5</t>
  </si>
  <si>
    <t>31/5</t>
  </si>
  <si>
    <t>3/6</t>
  </si>
  <si>
    <t>per 1</t>
  </si>
  <si>
    <t>g15</t>
  </si>
  <si>
    <t>g2c</t>
  </si>
  <si>
    <t>lap g2c</t>
  </si>
  <si>
    <t>4/5</t>
  </si>
  <si>
    <t>7/6</t>
  </si>
  <si>
    <t>prod 1+10+99</t>
  </si>
  <si>
    <t>bln juni di ms dtw (pengalihan menjadi definitif)</t>
  </si>
  <si>
    <t>salah rumus utk dtw, jadi aja salah di pengurangan g15, kalo di per 1 udh betul. Di perbaiki pengurangan nya di akhir bln agustus 10.880 kpg : 8 = 1.360. kurang penghapusan 1.360 - 240 = 1.120 lbr. Krn yg baru di bukukan sbg pengurangan 240 lbr</t>
  </si>
  <si>
    <t>di def nya sih udh betul</t>
  </si>
  <si>
    <t>ini salah, penjelasan ada di bawah</t>
  </si>
  <si>
    <t>ular pas akhir agst 17 dihitung ulang ada salah hitung jml di per 1, dikoreksi bln sept 17</t>
  </si>
  <si>
    <t>200 cocok 1 september 17</t>
  </si>
  <si>
    <t>470 coco 1 september 17</t>
  </si>
  <si>
    <t>798 cocok 1 september 17</t>
  </si>
  <si>
    <t>300 cocok 1 september 17</t>
  </si>
  <si>
    <t>400 cocok 1 september 17</t>
  </si>
  <si>
    <t>195 cocok 1 september 17</t>
  </si>
  <si>
    <t>1000 cocok 1 september 17</t>
  </si>
  <si>
    <t>32 cocok 1 september 17</t>
  </si>
  <si>
    <t>2896 cocok 1 september 17</t>
  </si>
  <si>
    <t>240 cocok 1 september 17</t>
  </si>
  <si>
    <t>800 cocok 1 september 17</t>
  </si>
  <si>
    <t>9000 cocok september 2017</t>
  </si>
  <si>
    <t>4399 cocok 1 september 17</t>
  </si>
  <si>
    <t>september cocok 500</t>
  </si>
  <si>
    <t>cocok september 17</t>
  </si>
  <si>
    <t>543 cocok september 17</t>
  </si>
  <si>
    <t>250 cocok september 17</t>
  </si>
  <si>
    <t>SHP Landmark/Arsitektur</t>
  </si>
  <si>
    <t>SP Panfila Surabaya</t>
  </si>
  <si>
    <t>cek harganya</t>
  </si>
  <si>
    <t>cek lg fisik dan bsu nya, (set atau satuan)</t>
  </si>
  <si>
    <t>SHP Antariksa</t>
  </si>
  <si>
    <t>SP IMPI</t>
  </si>
  <si>
    <t>SHP TUNZA</t>
  </si>
  <si>
    <t>SHP Kain Trad Aceh</t>
  </si>
  <si>
    <t>SHP Kain Trad NTT</t>
  </si>
  <si>
    <t>SHP Kain Trad Ba Bel</t>
  </si>
  <si>
    <t>SHP Kain Trad Sul Sel</t>
  </si>
  <si>
    <t>SHP Kain Trad Sul Ut</t>
  </si>
  <si>
    <t>SHP Kain Trad Riau</t>
  </si>
  <si>
    <t>SHP Kain Trad Sul Bar</t>
  </si>
  <si>
    <t>SHP Kain Trad Ja Tim</t>
  </si>
  <si>
    <t>SHP Kain Trad Kal Bar</t>
  </si>
  <si>
    <t>SHP Kain Trad Lampung</t>
  </si>
  <si>
    <t>SHP Kain Trad Kal Sel</t>
  </si>
  <si>
    <t>SHP Kain Trad Sum Bar</t>
  </si>
  <si>
    <t>SHP Kain Trad Sum Ut</t>
  </si>
  <si>
    <t>SHP Kain Trad Sum Sel</t>
  </si>
  <si>
    <t>SHP Kain Trad Ja Teng</t>
  </si>
  <si>
    <t>SHP Kain Trad Sul Tenggara</t>
  </si>
  <si>
    <t>SHP Kain Trad Bengkulu</t>
  </si>
  <si>
    <t>SHP Kain Trad Kal Tim</t>
  </si>
  <si>
    <t>SHP Kain Trad Yogya</t>
  </si>
  <si>
    <t>SHP Kain Trad Papua Barat</t>
  </si>
  <si>
    <t>SHP Kain Trad Papua</t>
  </si>
  <si>
    <t>SHP Kain Trad Maluku</t>
  </si>
  <si>
    <t>SHP Kain Trad Ja Bar</t>
  </si>
  <si>
    <t>SHP Kain Trad NTB</t>
  </si>
  <si>
    <t>cek harga</t>
  </si>
  <si>
    <t>SHP SS Shio Naga 2012</t>
  </si>
  <si>
    <t>SHP Maskot Filateli</t>
  </si>
  <si>
    <t>SHP Cap Gomeh</t>
  </si>
  <si>
    <t>SP Mobil Listrik</t>
  </si>
  <si>
    <t>SHP Kain Trandisional DKI Jakarta</t>
  </si>
  <si>
    <t>SHP Kain Trandisional Maluku Utara</t>
  </si>
  <si>
    <t>SHP Kain Trandisional Jambi</t>
  </si>
  <si>
    <t>SHP Kain Trandisional Kalimantan Tengah</t>
  </si>
  <si>
    <t>SHP Kain Trandisional Kepulauan Riau</t>
  </si>
  <si>
    <t>SHP Kain Trandisional Gorontalo</t>
  </si>
  <si>
    <t>SHP Kain Trandisional Banten</t>
  </si>
  <si>
    <t>SHP Kain Trandisional Sulawesi Tengah</t>
  </si>
  <si>
    <t>SHP Kain Trandisional Bali</t>
  </si>
  <si>
    <t>SP Pesta Rakyat Jabar (de syukron)</t>
  </si>
  <si>
    <t>SHP Pasukan Garuda</t>
  </si>
  <si>
    <t>SHP SS Panfila Thailand</t>
  </si>
  <si>
    <t>cek haraga</t>
  </si>
  <si>
    <t>SHP Jambore Internasional Scout Peace Camp</t>
  </si>
  <si>
    <t>SHP SOS Children Villages</t>
  </si>
  <si>
    <t>SHP Sail Komodo</t>
  </si>
  <si>
    <t>SHP Layanan Pos</t>
  </si>
  <si>
    <t>SHP 50 Th. Monas</t>
  </si>
  <si>
    <t>SP UNODC</t>
  </si>
  <si>
    <t>SHP 1 Abad Mr. Sjafrudin Prawira</t>
  </si>
  <si>
    <t>sept</t>
  </si>
  <si>
    <t>Jis Ina Singapura (2 kpg)</t>
  </si>
  <si>
    <t>SHP Jis Ina Singapura</t>
  </si>
  <si>
    <t>SS Jis Ina Singapura 2017</t>
  </si>
  <si>
    <t>sept 500</t>
  </si>
  <si>
    <t>sept 44.000 kpg</t>
  </si>
  <si>
    <t>sept 1120+410</t>
  </si>
  <si>
    <t>SS Bandung 2017 #1 - #5</t>
  </si>
  <si>
    <t>SS BANDUNG 2017 spesial</t>
  </si>
  <si>
    <t>Indonesia Emas 2045 (3kpg)</t>
  </si>
  <si>
    <t>kiffa 1000</t>
  </si>
  <si>
    <t>SHP Indonesia Emas 2045</t>
  </si>
  <si>
    <t>cock sep 5.000</t>
  </si>
  <si>
    <t>cocok sept 9.000</t>
  </si>
  <si>
    <t>2700 cocok 1  okt 17</t>
  </si>
  <si>
    <t>cocok sept 4.884</t>
  </si>
  <si>
    <t>prko ina sin</t>
  </si>
  <si>
    <t>ss</t>
  </si>
  <si>
    <t>prko</t>
  </si>
  <si>
    <t>prod 100</t>
  </si>
  <si>
    <t>JUMLAH</t>
  </si>
  <si>
    <t>okt 8.950</t>
  </si>
  <si>
    <t>okt def 6000</t>
  </si>
  <si>
    <t>Prisma Papua Barat</t>
  </si>
  <si>
    <t>Buah Nusantara 2017 (4 kpg)</t>
  </si>
  <si>
    <t>SHP Buah Nusantara 2017</t>
  </si>
  <si>
    <t>okt 8400</t>
  </si>
  <si>
    <t>okt 500+500+600</t>
  </si>
  <si>
    <t>okt 500+100</t>
  </si>
  <si>
    <t>Kemasan Prisma Seskoal</t>
  </si>
  <si>
    <t>okt 2000+700</t>
  </si>
  <si>
    <t>Kain 24 provisi</t>
  </si>
  <si>
    <t>Bangunan Ibadah</t>
  </si>
  <si>
    <t>Indonesia Korea</t>
  </si>
  <si>
    <t xml:space="preserve">Pasukan Garuda </t>
  </si>
  <si>
    <t>okt 700+520</t>
  </si>
  <si>
    <t>SP Antinarkoba 2017</t>
  </si>
  <si>
    <t>okt 6000+4000</t>
  </si>
  <si>
    <t xml:space="preserve">SS Buah Nusantara </t>
  </si>
  <si>
    <t>okt 1600+100</t>
  </si>
  <si>
    <t>kemasan balipex 2017</t>
  </si>
  <si>
    <t>okt 2.500+5000+10.000+12.000</t>
  </si>
  <si>
    <t>okt 39.600+1.800+19.680+14.820+12498</t>
  </si>
  <si>
    <t>okt 73.000+65.600+500+17.400+11000+4600</t>
  </si>
  <si>
    <t>okt 400+400+</t>
  </si>
  <si>
    <t>KTP Buah Nusantara</t>
  </si>
  <si>
    <t>300+25</t>
  </si>
  <si>
    <t>okt 423+50</t>
  </si>
  <si>
    <t>23 okt 17 = 8,000</t>
  </si>
  <si>
    <t>Prisma objek wisata bali (balipex)</t>
  </si>
  <si>
    <t>kemasan 50 th LIPI 2017</t>
  </si>
  <si>
    <t>def nov17 20,000</t>
  </si>
  <si>
    <t>nov 2000+1000</t>
  </si>
  <si>
    <t>nov 1000</t>
  </si>
  <si>
    <t>nov 2017 def 24000</t>
  </si>
  <si>
    <t>nov 1600+5299</t>
  </si>
  <si>
    <t>nov 500+400</t>
  </si>
  <si>
    <t>nov def 26,000+27000+10000+130000</t>
  </si>
  <si>
    <t>nov fil 6000+600, def 34800+69,300+10,980+44580+10980</t>
  </si>
  <si>
    <t>nov 15,000+35000+400</t>
  </si>
  <si>
    <t>SP 12,12,12</t>
  </si>
  <si>
    <t>SP kunjungan kenegaraan pres RI</t>
  </si>
  <si>
    <t>SP MTQ Ambon</t>
  </si>
  <si>
    <t>SP Sail Sabang</t>
  </si>
  <si>
    <t>KTP Sail Sabang</t>
  </si>
  <si>
    <t>SP Sea Games Palembang</t>
  </si>
  <si>
    <t>SP Climate Change</t>
  </si>
  <si>
    <t>SP Indonesia Suriname</t>
  </si>
  <si>
    <t>SP Mercubuana</t>
  </si>
  <si>
    <t>VP Konsinyasi dan Filateli</t>
  </si>
  <si>
    <t>AGUNG SUMARJADI RAHARDJO</t>
  </si>
  <si>
    <t>Nippos 965216172</t>
  </si>
  <si>
    <t>SP Indonesia marketeers festival</t>
  </si>
  <si>
    <t>SP Mukhtamar NU</t>
  </si>
  <si>
    <t>Kmsn Kelinci reguler</t>
  </si>
  <si>
    <t>Jembatan 2017</t>
  </si>
  <si>
    <t>shp jembatan 2017</t>
  </si>
  <si>
    <t>Kemasan Jembatan</t>
  </si>
  <si>
    <t>kmsn LE #1 BD 2017</t>
  </si>
  <si>
    <t>kmsn LE #2 BD 2017</t>
  </si>
  <si>
    <t>kmsn LE #3 BD 2017</t>
  </si>
  <si>
    <t>kmsn LE #4 BD 2017</t>
  </si>
  <si>
    <t>kmsn LE #5 BD 2017</t>
  </si>
  <si>
    <t>kmsn prisma BPOM</t>
  </si>
  <si>
    <t>desember 2017</t>
  </si>
  <si>
    <t>kmsn Prisma Kemenpar</t>
  </si>
  <si>
    <r>
      <t xml:space="preserve">MS Daerah Tujuan Wisata </t>
    </r>
    <r>
      <rPr>
        <b/>
        <sz val="11"/>
        <rFont val="Calibri"/>
        <family val="2"/>
        <scheme val="minor"/>
      </rPr>
      <t>CT</t>
    </r>
  </si>
  <si>
    <r>
      <t>SP KOPERASI 07</t>
    </r>
    <r>
      <rPr>
        <i/>
        <sz val="11"/>
        <rFont val="Calibri"/>
        <family val="2"/>
        <scheme val="minor"/>
      </rPr>
      <t xml:space="preserve"> nusantara</t>
    </r>
  </si>
  <si>
    <r>
      <t xml:space="preserve">SHP </t>
    </r>
    <r>
      <rPr>
        <sz val="8"/>
        <rFont val="Calibri"/>
        <family val="2"/>
        <scheme val="minor"/>
      </rPr>
      <t>Gerhana Matahari Total</t>
    </r>
  </si>
  <si>
    <t>Kemasan BK + Prangko</t>
  </si>
  <si>
    <t>Kemasan BK + Istana</t>
  </si>
  <si>
    <t>Kemasan BK + Rakyat</t>
  </si>
  <si>
    <t>Kemasan BK + arsitektur</t>
  </si>
  <si>
    <t>value gb</t>
  </si>
  <si>
    <t>kmsn prisma kemenlu 2017</t>
  </si>
  <si>
    <t>Bulan Januari 2018</t>
  </si>
  <si>
    <t>Bandung, 31 Januari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</si>
</sst>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_(* #,##0_);_(* \(#,##0\);_(* &quot;-&quot;_);_(@_)"/>
    <numFmt numFmtId="165" formatCode="_(* #,##0.00_);_(* \(#,##0.00\);_(* &quot;-&quot;??_);_(@_)"/>
    <numFmt numFmtId="166" formatCode="_(* #,##0_);_(* \(#,##0\);_(* &quot;-&quot;??_);_(@_)"/>
    <numFmt numFmtId="167" formatCode="_(* #,##0.00_);_(* \(#,##0.00\);_(* &quot;-&quot;_);_(@_)"/>
    <numFmt numFmtId="168" formatCode="_(* #,##0.0_);_(* \(#,##0.0\);_(* &quot;-&quot;??_);_(@_)"/>
    <numFmt numFmtId="169" formatCode="0.0"/>
    <numFmt numFmtId="170" formatCode="* #,##0.00\ ;* \(#,##0.00\);* \-#\ ;@\ "/>
    <numFmt numFmtId="171" formatCode="_(* #,##0.00_);_(* \(#,##0.00\);_(* \-_);_(@_)"/>
    <numFmt numFmtId="172" formatCode="* #,##0.00\ ;* \(#,##0.00\);* &quot;- &quot;;@\ "/>
    <numFmt numFmtId="173" formatCode="_(* #,##0.000_);_(* \(#,##0.000\);_(* &quot;-&quot;??_);_(@_)"/>
    <numFmt numFmtId="174" formatCode="_(* #,##0.00_);_(* \(#,##0.00\);_(* \-??_);_(@_)"/>
    <numFmt numFmtId="175" formatCode="_(* #,##0_);_(* \(#,##0\);_(* \-_);_(@_)"/>
    <numFmt numFmtId="176" formatCode="0.00_ "/>
    <numFmt numFmtId="177" formatCode="_(* #,##0_);_(* \(#,##0\);_(* \-??_);_(@_)"/>
  </numFmts>
  <fonts count="34" x14ac:knownFonts="1">
    <font>
      <sz val="11"/>
      <color theme="1"/>
      <name val="Calibri"/>
      <family val="2"/>
      <scheme val="minor"/>
    </font>
    <font>
      <sz val="11"/>
      <color theme="1"/>
      <name val="Calibri"/>
      <family val="2"/>
      <scheme val="minor"/>
    </font>
    <font>
      <sz val="9"/>
      <name val="Arial"/>
      <family val="2"/>
    </font>
    <font>
      <sz val="10"/>
      <name val="Arial"/>
      <family val="2"/>
    </font>
    <font>
      <b/>
      <sz val="10"/>
      <name val="Arial"/>
      <family val="2"/>
    </font>
    <font>
      <b/>
      <sz val="12"/>
      <name val="Arial"/>
      <family val="2"/>
    </font>
    <font>
      <b/>
      <sz val="11"/>
      <color theme="1"/>
      <name val="Calibri"/>
      <family val="2"/>
      <scheme val="minor"/>
    </font>
    <font>
      <sz val="9"/>
      <color theme="1"/>
      <name val="Calibri"/>
      <family val="2"/>
      <scheme val="minor"/>
    </font>
    <font>
      <b/>
      <sz val="11"/>
      <name val="Arial"/>
      <family val="2"/>
    </font>
    <font>
      <sz val="11"/>
      <color rgb="FFFF0000"/>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sz val="10"/>
      <name val="Calibri"/>
      <family val="2"/>
      <scheme val="minor"/>
    </font>
    <font>
      <sz val="8"/>
      <name val="Calibri"/>
      <family val="2"/>
      <scheme val="minor"/>
    </font>
    <font>
      <sz val="8"/>
      <color theme="1"/>
      <name val="Calibri"/>
      <family val="2"/>
      <scheme val="minor"/>
    </font>
    <font>
      <sz val="9"/>
      <name val="Calibri"/>
      <family val="2"/>
      <scheme val="minor"/>
    </font>
    <font>
      <i/>
      <sz val="11"/>
      <name val="Calibri"/>
      <family val="2"/>
      <scheme val="minor"/>
    </font>
    <font>
      <i/>
      <sz val="10"/>
      <name val="Calibri"/>
      <family val="2"/>
      <scheme val="minor"/>
    </font>
    <font>
      <sz val="11"/>
      <color rgb="FF0000FF"/>
      <name val="Calibri"/>
      <family val="2"/>
      <scheme val="minor"/>
    </font>
    <font>
      <sz val="11"/>
      <color rgb="FF0033CC"/>
      <name val="Calibri"/>
      <family val="2"/>
      <scheme val="minor"/>
    </font>
    <font>
      <sz val="11"/>
      <color rgb="FFCC0099"/>
      <name val="Calibri"/>
      <family val="2"/>
      <scheme val="minor"/>
    </font>
    <font>
      <sz val="11"/>
      <color rgb="FF00B0F0"/>
      <name val="Calibri"/>
      <family val="2"/>
      <scheme val="minor"/>
    </font>
    <font>
      <sz val="11"/>
      <color rgb="FF0070C0"/>
      <name val="Calibri"/>
      <family val="2"/>
      <scheme val="minor"/>
    </font>
    <font>
      <b/>
      <sz val="11"/>
      <color rgb="FFFF0000"/>
      <name val="Arial"/>
      <family val="2"/>
    </font>
    <font>
      <sz val="11"/>
      <color rgb="FFD60093"/>
      <name val="Calibri"/>
      <family val="2"/>
      <scheme val="minor"/>
    </font>
    <font>
      <b/>
      <sz val="9"/>
      <color theme="1"/>
      <name val="Calibri"/>
      <family val="2"/>
      <scheme val="minor"/>
    </font>
    <font>
      <sz val="11"/>
      <color theme="0"/>
      <name val="Calibri"/>
      <family val="2"/>
      <scheme val="minor"/>
    </font>
    <font>
      <b/>
      <sz val="11"/>
      <color rgb="FFFF0000"/>
      <name val="Calibri"/>
      <family val="2"/>
      <scheme val="minor"/>
    </font>
    <font>
      <sz val="11"/>
      <color rgb="FF00CC00"/>
      <name val="Calibri"/>
      <family val="2"/>
      <scheme val="minor"/>
    </font>
    <font>
      <sz val="11"/>
      <name val="Calibri"/>
      <family val="2"/>
    </font>
    <font>
      <b/>
      <sz val="9"/>
      <name val="Calibri"/>
      <family val="2"/>
      <scheme val="minor"/>
    </font>
    <font>
      <b/>
      <sz val="1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indexed="22"/>
        <bgColor indexed="64"/>
      </patternFill>
    </fill>
    <fill>
      <patternFill patternType="solid">
        <fgColor rgb="FFFFFF00"/>
        <bgColor indexed="64"/>
      </patternFill>
    </fill>
    <fill>
      <patternFill patternType="solid">
        <fgColor rgb="FFFF0000"/>
        <bgColor indexed="64"/>
      </patternFill>
    </fill>
    <fill>
      <patternFill patternType="solid">
        <fgColor rgb="FF00CC00"/>
        <bgColor indexed="64"/>
      </patternFill>
    </fill>
    <fill>
      <patternFill patternType="solid">
        <fgColor rgb="FFFFFF66"/>
        <bgColor indexed="64"/>
      </patternFill>
    </fill>
  </fills>
  <borders count="58">
    <border>
      <left/>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medium">
        <color indexed="64"/>
      </left>
      <right style="medium">
        <color indexed="64"/>
      </right>
      <top/>
      <bottom/>
      <diagonal/>
    </border>
    <border>
      <left style="thin">
        <color indexed="64"/>
      </left>
      <right style="hair">
        <color indexed="64"/>
      </right>
      <top style="hair">
        <color indexed="64"/>
      </top>
      <bottom style="hair">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thin">
        <color indexed="54"/>
      </left>
      <right style="thin">
        <color indexed="54"/>
      </right>
      <top style="hair">
        <color indexed="54"/>
      </top>
      <bottom style="hair">
        <color indexed="54"/>
      </bottom>
      <diagonal/>
    </border>
    <border>
      <left style="thin">
        <color indexed="54"/>
      </left>
      <right/>
      <top style="hair">
        <color indexed="54"/>
      </top>
      <bottom/>
      <diagonal/>
    </border>
    <border>
      <left/>
      <right/>
      <top style="hair">
        <color indexed="64"/>
      </top>
      <bottom style="hair">
        <color indexed="64"/>
      </bottom>
      <diagonal/>
    </border>
    <border>
      <left/>
      <right/>
      <top style="hair">
        <color indexed="64"/>
      </top>
      <bottom/>
      <diagonal/>
    </border>
    <border>
      <left/>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thin">
        <color indexed="63"/>
      </left>
      <right style="thin">
        <color indexed="63"/>
      </right>
      <top style="hair">
        <color indexed="63"/>
      </top>
      <bottom style="hair">
        <color indexed="63"/>
      </bottom>
      <diagonal/>
    </border>
    <border>
      <left style="thin">
        <color indexed="63"/>
      </left>
      <right style="thin">
        <color indexed="63"/>
      </right>
      <top style="hair">
        <color indexed="63"/>
      </top>
      <bottom/>
      <diagonal/>
    </border>
    <border>
      <left style="thin">
        <color indexed="63"/>
      </left>
      <right style="thin">
        <color indexed="64"/>
      </right>
      <top style="hair">
        <color indexed="63"/>
      </top>
      <bottom style="hair">
        <color indexed="63"/>
      </bottom>
      <diagonal/>
    </border>
    <border>
      <left style="thin">
        <color indexed="63"/>
      </left>
      <right style="thin">
        <color indexed="64"/>
      </right>
      <top style="hair">
        <color indexed="63"/>
      </top>
      <bottom/>
      <diagonal/>
    </border>
    <border>
      <left style="thin">
        <color indexed="63"/>
      </left>
      <right style="thin">
        <color indexed="64"/>
      </right>
      <top/>
      <bottom/>
      <diagonal/>
    </border>
    <border>
      <left/>
      <right style="thin">
        <color indexed="64"/>
      </right>
      <top/>
      <bottom/>
      <diagonal/>
    </border>
    <border>
      <left style="thin">
        <color indexed="63"/>
      </left>
      <right style="thin">
        <color indexed="64"/>
      </right>
      <top/>
      <bottom style="hair">
        <color indexed="64"/>
      </bottom>
      <diagonal/>
    </border>
    <border>
      <left style="thin">
        <color indexed="63"/>
      </left>
      <right style="thin">
        <color indexed="64"/>
      </right>
      <top style="hair">
        <color indexed="63"/>
      </top>
      <bottom style="hair">
        <color indexed="64"/>
      </bottom>
      <diagonal/>
    </border>
    <border>
      <left style="thin">
        <color indexed="63"/>
      </left>
      <right style="thin">
        <color indexed="64"/>
      </right>
      <top style="hair">
        <color indexed="64"/>
      </top>
      <bottom style="hair">
        <color indexed="64"/>
      </bottom>
      <diagonal/>
    </border>
    <border>
      <left style="thin">
        <color indexed="63"/>
      </left>
      <right/>
      <top style="hair">
        <color indexed="63"/>
      </top>
      <bottom/>
      <diagonal/>
    </border>
  </borders>
  <cellStyleXfs count="8">
    <xf numFmtId="0" fontId="0" fillId="0" borderId="0"/>
    <xf numFmtId="165" fontId="1" fillId="0" borderId="0" applyFont="0" applyFill="0" applyBorder="0" applyAlignment="0" applyProtection="0"/>
    <xf numFmtId="164" fontId="1" fillId="0" borderId="0" applyFont="0" applyFill="0" applyBorder="0" applyAlignment="0" applyProtection="0"/>
    <xf numFmtId="0" fontId="3" fillId="0" borderId="0"/>
    <xf numFmtId="164" fontId="3" fillId="0" borderId="0" applyFont="0" applyFill="0" applyBorder="0" applyAlignment="0" applyProtection="0"/>
    <xf numFmtId="0" fontId="3" fillId="0" borderId="0" applyFill="0" applyBorder="0" applyAlignment="0" applyProtection="0"/>
    <xf numFmtId="0" fontId="1" fillId="0" borderId="0"/>
    <xf numFmtId="0" fontId="2" fillId="0" borderId="0">
      <alignment vertical="center"/>
    </xf>
  </cellStyleXfs>
  <cellXfs count="441">
    <xf numFmtId="0" fontId="0" fillId="0" borderId="0" xfId="0"/>
    <xf numFmtId="166" fontId="0" fillId="0" borderId="5" xfId="1" applyNumberFormat="1" applyFont="1" applyBorder="1"/>
    <xf numFmtId="0" fontId="3" fillId="0" borderId="0" xfId="3"/>
    <xf numFmtId="0" fontId="4" fillId="2" borderId="20" xfId="3" applyFont="1" applyFill="1" applyBorder="1" applyAlignment="1">
      <alignment horizontal="center" vertical="center"/>
    </xf>
    <xf numFmtId="164" fontId="4" fillId="2" borderId="1" xfId="2" applyFont="1" applyFill="1" applyBorder="1" applyAlignment="1">
      <alignment horizontal="center" vertical="center" wrapText="1"/>
    </xf>
    <xf numFmtId="164" fontId="4" fillId="2" borderId="25" xfId="2" applyFont="1" applyFill="1" applyBorder="1" applyAlignment="1">
      <alignment horizontal="center" vertical="center" wrapText="1"/>
    </xf>
    <xf numFmtId="0" fontId="4" fillId="4" borderId="13" xfId="3" applyFont="1" applyFill="1" applyBorder="1" applyAlignment="1">
      <alignment horizontal="center" vertical="center"/>
    </xf>
    <xf numFmtId="164" fontId="4" fillId="4" borderId="7" xfId="2" applyFont="1" applyFill="1" applyBorder="1" applyAlignment="1">
      <alignment horizontal="center"/>
    </xf>
    <xf numFmtId="164" fontId="4" fillId="4" borderId="9" xfId="2" applyFont="1" applyFill="1" applyBorder="1" applyAlignment="1">
      <alignment horizontal="center"/>
    </xf>
    <xf numFmtId="0" fontId="3" fillId="0" borderId="16" xfId="3" applyBorder="1" applyAlignment="1">
      <alignment horizontal="left" vertical="center"/>
    </xf>
    <xf numFmtId="164" fontId="3" fillId="0" borderId="4" xfId="3" applyNumberFormat="1" applyBorder="1"/>
    <xf numFmtId="0" fontId="3" fillId="0" borderId="17" xfId="3" applyBorder="1" applyAlignment="1">
      <alignment horizontal="left" vertical="center"/>
    </xf>
    <xf numFmtId="0" fontId="2" fillId="0" borderId="17" xfId="3" applyFont="1" applyBorder="1" applyAlignment="1">
      <alignment horizontal="left" vertical="center"/>
    </xf>
    <xf numFmtId="0" fontId="3" fillId="4" borderId="17" xfId="3" applyFill="1" applyBorder="1" applyAlignment="1">
      <alignment horizontal="center" vertical="center"/>
    </xf>
    <xf numFmtId="0" fontId="3" fillId="4" borderId="5" xfId="3" applyFill="1" applyBorder="1"/>
    <xf numFmtId="0" fontId="3" fillId="4" borderId="26" xfId="3" applyFill="1" applyBorder="1"/>
    <xf numFmtId="0" fontId="4" fillId="0" borderId="19" xfId="3" applyFont="1" applyBorder="1" applyAlignment="1">
      <alignment horizontal="center" vertical="center"/>
    </xf>
    <xf numFmtId="164" fontId="3" fillId="0" borderId="24" xfId="3" applyNumberFormat="1" applyBorder="1"/>
    <xf numFmtId="164" fontId="0" fillId="0" borderId="5" xfId="0" applyNumberFormat="1" applyBorder="1"/>
    <xf numFmtId="166" fontId="0" fillId="0" borderId="0" xfId="1" applyNumberFormat="1" applyFont="1"/>
    <xf numFmtId="164" fontId="4" fillId="4" borderId="8" xfId="2" applyFont="1" applyFill="1" applyBorder="1" applyAlignment="1">
      <alignment horizontal="center"/>
    </xf>
    <xf numFmtId="164" fontId="3" fillId="0" borderId="17" xfId="3" applyNumberFormat="1" applyBorder="1"/>
    <xf numFmtId="0" fontId="3" fillId="4" borderId="14" xfId="3" applyFill="1" applyBorder="1"/>
    <xf numFmtId="164" fontId="3" fillId="0" borderId="29" xfId="3" applyNumberFormat="1" applyBorder="1"/>
    <xf numFmtId="164" fontId="4" fillId="3" borderId="0" xfId="2" applyFont="1" applyFill="1" applyBorder="1" applyAlignment="1">
      <alignment horizontal="center"/>
    </xf>
    <xf numFmtId="164" fontId="4" fillId="4" borderId="5" xfId="2" applyFont="1" applyFill="1" applyBorder="1" applyAlignment="1">
      <alignment horizontal="center"/>
    </xf>
    <xf numFmtId="165" fontId="0" fillId="0" borderId="0" xfId="1" applyFont="1"/>
    <xf numFmtId="165" fontId="0" fillId="0" borderId="0" xfId="0" applyNumberFormat="1"/>
    <xf numFmtId="166" fontId="0" fillId="3" borderId="11" xfId="1" applyNumberFormat="1" applyFont="1" applyFill="1" applyBorder="1"/>
    <xf numFmtId="166" fontId="0" fillId="3" borderId="12" xfId="1" applyNumberFormat="1" applyFont="1" applyFill="1" applyBorder="1"/>
    <xf numFmtId="0" fontId="0" fillId="3" borderId="5" xfId="0" applyFont="1" applyFill="1" applyBorder="1"/>
    <xf numFmtId="165" fontId="0" fillId="3" borderId="27" xfId="1" applyFont="1" applyFill="1" applyBorder="1"/>
    <xf numFmtId="0" fontId="0" fillId="3" borderId="11" xfId="0" applyFont="1" applyFill="1" applyBorder="1"/>
    <xf numFmtId="0" fontId="0" fillId="3" borderId="27" xfId="0" applyFont="1" applyFill="1" applyBorder="1" applyAlignment="1">
      <alignment horizontal="center"/>
    </xf>
    <xf numFmtId="166" fontId="0" fillId="3" borderId="18" xfId="1" applyNumberFormat="1" applyFont="1" applyFill="1" applyBorder="1"/>
    <xf numFmtId="164" fontId="0" fillId="3" borderId="18" xfId="1" applyNumberFormat="1" applyFont="1" applyFill="1" applyBorder="1"/>
    <xf numFmtId="165" fontId="0" fillId="0" borderId="0" xfId="1" applyNumberFormat="1" applyFont="1"/>
    <xf numFmtId="164" fontId="0" fillId="3" borderId="11" xfId="1" applyNumberFormat="1" applyFont="1" applyFill="1" applyBorder="1"/>
    <xf numFmtId="165" fontId="0" fillId="3" borderId="22" xfId="1" applyNumberFormat="1" applyFont="1" applyFill="1" applyBorder="1"/>
    <xf numFmtId="165" fontId="9" fillId="0" borderId="0" xfId="1" applyFont="1"/>
    <xf numFmtId="0" fontId="0" fillId="0" borderId="0" xfId="0" applyFont="1"/>
    <xf numFmtId="0" fontId="0" fillId="0" borderId="0" xfId="0" quotePrefix="1" applyFont="1"/>
    <xf numFmtId="0" fontId="0" fillId="3" borderId="31" xfId="0" applyFont="1" applyFill="1" applyBorder="1"/>
    <xf numFmtId="0" fontId="0" fillId="0" borderId="18" xfId="0" applyFont="1" applyBorder="1"/>
    <xf numFmtId="166" fontId="0" fillId="0" borderId="18" xfId="0" applyNumberFormat="1" applyFont="1" applyBorder="1"/>
    <xf numFmtId="165" fontId="0" fillId="0" borderId="18" xfId="0" applyNumberFormat="1" applyFont="1" applyBorder="1"/>
    <xf numFmtId="164" fontId="0" fillId="3" borderId="18" xfId="0" applyNumberFormat="1" applyFont="1" applyFill="1" applyBorder="1"/>
    <xf numFmtId="0" fontId="0" fillId="3" borderId="18" xfId="0" applyFont="1" applyFill="1" applyBorder="1"/>
    <xf numFmtId="164" fontId="0" fillId="3" borderId="11" xfId="0" applyNumberFormat="1" applyFont="1" applyFill="1" applyBorder="1"/>
    <xf numFmtId="0" fontId="0" fillId="0" borderId="10" xfId="0" applyFont="1" applyBorder="1"/>
    <xf numFmtId="0" fontId="0" fillId="3" borderId="31" xfId="0" applyFont="1" applyFill="1" applyBorder="1" applyAlignment="1">
      <alignment horizontal="center"/>
    </xf>
    <xf numFmtId="166" fontId="0" fillId="0" borderId="32" xfId="0" applyNumberFormat="1" applyFont="1" applyBorder="1"/>
    <xf numFmtId="165" fontId="0" fillId="0" borderId="32" xfId="0" applyNumberFormat="1" applyFont="1" applyBorder="1"/>
    <xf numFmtId="0" fontId="0" fillId="0" borderId="0" xfId="0" applyFont="1" applyBorder="1"/>
    <xf numFmtId="164" fontId="10" fillId="3" borderId="27" xfId="2" applyFont="1" applyFill="1" applyBorder="1" applyAlignment="1">
      <alignment horizontal="center" wrapText="1"/>
    </xf>
    <xf numFmtId="0" fontId="10" fillId="3" borderId="27" xfId="0" applyFont="1" applyFill="1" applyBorder="1" applyAlignment="1">
      <alignment horizontal="center" vertical="center"/>
    </xf>
    <xf numFmtId="0" fontId="10" fillId="3" borderId="27" xfId="3" applyFont="1" applyFill="1" applyBorder="1" applyAlignment="1">
      <alignment horizontal="center"/>
    </xf>
    <xf numFmtId="16" fontId="10" fillId="3" borderId="27" xfId="3" applyNumberFormat="1" applyFont="1" applyFill="1" applyBorder="1" applyAlignment="1">
      <alignment horizontal="center"/>
    </xf>
    <xf numFmtId="0" fontId="11" fillId="3" borderId="31" xfId="0" applyFont="1" applyFill="1" applyBorder="1"/>
    <xf numFmtId="0" fontId="10" fillId="3" borderId="31" xfId="0" applyFont="1" applyFill="1" applyBorder="1"/>
    <xf numFmtId="165" fontId="10" fillId="3" borderId="31" xfId="1" applyNumberFormat="1" applyFont="1" applyFill="1" applyBorder="1" applyAlignment="1"/>
    <xf numFmtId="0" fontId="10" fillId="0" borderId="18" xfId="0" applyFont="1" applyFill="1" applyBorder="1"/>
    <xf numFmtId="166" fontId="10" fillId="0" borderId="18" xfId="1" applyNumberFormat="1" applyFont="1" applyFill="1" applyBorder="1"/>
    <xf numFmtId="165" fontId="10" fillId="0" borderId="18" xfId="1" applyNumberFormat="1" applyFont="1" applyFill="1" applyBorder="1" applyAlignment="1"/>
    <xf numFmtId="0" fontId="11" fillId="0" borderId="6" xfId="0" applyFont="1" applyFill="1" applyBorder="1"/>
    <xf numFmtId="0" fontId="10" fillId="3" borderId="18" xfId="0" applyFont="1" applyFill="1" applyBorder="1"/>
    <xf numFmtId="166" fontId="10" fillId="3" borderId="18" xfId="1" applyNumberFormat="1" applyFont="1" applyFill="1" applyBorder="1"/>
    <xf numFmtId="165" fontId="10" fillId="3" borderId="18" xfId="1" applyNumberFormat="1" applyFont="1" applyFill="1" applyBorder="1" applyAlignment="1"/>
    <xf numFmtId="166" fontId="10" fillId="3" borderId="32" xfId="1" applyNumberFormat="1" applyFont="1" applyFill="1" applyBorder="1"/>
    <xf numFmtId="0" fontId="11" fillId="3" borderId="6" xfId="0" applyFont="1" applyFill="1" applyBorder="1"/>
    <xf numFmtId="166" fontId="10" fillId="3" borderId="11" xfId="1" applyNumberFormat="1" applyFont="1" applyFill="1" applyBorder="1"/>
    <xf numFmtId="165" fontId="10" fillId="3" borderId="11" xfId="1" applyNumberFormat="1" applyFont="1" applyFill="1" applyBorder="1" applyAlignment="1"/>
    <xf numFmtId="166" fontId="10" fillId="3" borderId="11" xfId="1" applyNumberFormat="1" applyFont="1" applyFill="1" applyBorder="1" applyAlignment="1"/>
    <xf numFmtId="165" fontId="10" fillId="3" borderId="22" xfId="1" applyNumberFormat="1" applyFont="1" applyFill="1" applyBorder="1" applyAlignment="1"/>
    <xf numFmtId="165" fontId="10" fillId="3" borderId="18" xfId="1" applyNumberFormat="1" applyFont="1" applyFill="1" applyBorder="1" applyAlignment="1">
      <alignment horizontal="right"/>
    </xf>
    <xf numFmtId="166" fontId="10" fillId="3" borderId="18" xfId="1" applyNumberFormat="1" applyFont="1" applyFill="1" applyBorder="1" applyAlignment="1">
      <alignment horizontal="right"/>
    </xf>
    <xf numFmtId="166" fontId="10" fillId="3" borderId="18" xfId="1" applyNumberFormat="1" applyFont="1" applyFill="1" applyBorder="1" applyAlignment="1"/>
    <xf numFmtId="166" fontId="11" fillId="3" borderId="11" xfId="1" applyNumberFormat="1" applyFont="1" applyFill="1" applyBorder="1"/>
    <xf numFmtId="166" fontId="10" fillId="3" borderId="31" xfId="1" applyNumberFormat="1" applyFont="1" applyFill="1" applyBorder="1"/>
    <xf numFmtId="0" fontId="10" fillId="3" borderId="18" xfId="0" quotePrefix="1" applyFont="1" applyFill="1" applyBorder="1"/>
    <xf numFmtId="0" fontId="10" fillId="0" borderId="10" xfId="0" applyFont="1" applyFill="1" applyBorder="1"/>
    <xf numFmtId="166" fontId="10" fillId="0" borderId="10" xfId="1" applyNumberFormat="1" applyFont="1" applyFill="1" applyBorder="1"/>
    <xf numFmtId="165" fontId="10" fillId="0" borderId="10" xfId="1" applyNumberFormat="1" applyFont="1" applyFill="1" applyBorder="1" applyAlignment="1"/>
    <xf numFmtId="166" fontId="10" fillId="0" borderId="10" xfId="1" applyNumberFormat="1" applyFont="1" applyFill="1" applyBorder="1" applyAlignment="1"/>
    <xf numFmtId="0" fontId="11" fillId="3" borderId="31" xfId="0" applyFont="1" applyFill="1" applyBorder="1" applyAlignment="1">
      <alignment horizontal="center"/>
    </xf>
    <xf numFmtId="165" fontId="11" fillId="3" borderId="31" xfId="1" applyNumberFormat="1" applyFont="1" applyFill="1" applyBorder="1" applyAlignment="1">
      <alignment horizontal="center"/>
    </xf>
    <xf numFmtId="0" fontId="10" fillId="3" borderId="31" xfId="3" applyFont="1" applyFill="1" applyBorder="1" applyAlignment="1">
      <alignment horizontal="center"/>
    </xf>
    <xf numFmtId="16" fontId="10" fillId="3" borderId="31" xfId="3" applyNumberFormat="1" applyFont="1" applyFill="1" applyBorder="1" applyAlignment="1">
      <alignment horizontal="center"/>
    </xf>
    <xf numFmtId="0" fontId="6" fillId="0" borderId="0" xfId="0" applyFont="1"/>
    <xf numFmtId="0" fontId="0" fillId="0" borderId="0" xfId="0" applyFont="1" applyAlignment="1">
      <alignment horizontal="center"/>
    </xf>
    <xf numFmtId="0" fontId="10" fillId="0" borderId="23" xfId="0" applyFont="1" applyFill="1" applyBorder="1"/>
    <xf numFmtId="166" fontId="10" fillId="0" borderId="23" xfId="1" applyNumberFormat="1" applyFont="1" applyFill="1" applyBorder="1"/>
    <xf numFmtId="165" fontId="10" fillId="0" borderId="23" xfId="1" applyNumberFormat="1" applyFont="1" applyFill="1" applyBorder="1" applyAlignment="1"/>
    <xf numFmtId="0" fontId="0" fillId="0" borderId="23" xfId="0" applyFont="1" applyBorder="1"/>
    <xf numFmtId="166" fontId="0" fillId="0" borderId="23" xfId="0" applyNumberFormat="1" applyFont="1" applyBorder="1"/>
    <xf numFmtId="165" fontId="0" fillId="0" borderId="23" xfId="0" applyNumberFormat="1" applyFont="1" applyBorder="1"/>
    <xf numFmtId="0" fontId="11" fillId="0" borderId="11" xfId="0" applyFont="1" applyFill="1" applyBorder="1"/>
    <xf numFmtId="166" fontId="10" fillId="0" borderId="11" xfId="1" applyNumberFormat="1" applyFont="1" applyFill="1" applyBorder="1"/>
    <xf numFmtId="165" fontId="10" fillId="0" borderId="11" xfId="1" applyNumberFormat="1" applyFont="1" applyFill="1" applyBorder="1" applyAlignment="1"/>
    <xf numFmtId="166" fontId="10" fillId="0" borderId="11" xfId="1" applyNumberFormat="1" applyFont="1" applyFill="1" applyBorder="1" applyAlignment="1"/>
    <xf numFmtId="165" fontId="10" fillId="0" borderId="22" xfId="1" applyNumberFormat="1" applyFont="1" applyFill="1" applyBorder="1" applyAlignment="1"/>
    <xf numFmtId="0" fontId="10" fillId="3" borderId="23" xfId="0" applyFont="1" applyFill="1" applyBorder="1"/>
    <xf numFmtId="166" fontId="10" fillId="3" borderId="23" xfId="1" applyNumberFormat="1" applyFont="1" applyFill="1" applyBorder="1"/>
    <xf numFmtId="165" fontId="10" fillId="3" borderId="23" xfId="1" applyNumberFormat="1" applyFont="1" applyFill="1" applyBorder="1" applyAlignment="1"/>
    <xf numFmtId="164" fontId="0" fillId="3" borderId="23" xfId="0" applyNumberFormat="1" applyFont="1" applyFill="1" applyBorder="1"/>
    <xf numFmtId="0" fontId="11" fillId="3" borderId="11" xfId="0" applyFont="1" applyFill="1" applyBorder="1"/>
    <xf numFmtId="0" fontId="10" fillId="3" borderId="18" xfId="0" applyFont="1" applyFill="1" applyBorder="1" applyAlignment="1">
      <alignment horizontal="center"/>
    </xf>
    <xf numFmtId="0" fontId="0" fillId="3" borderId="23" xfId="0" applyFont="1" applyFill="1" applyBorder="1"/>
    <xf numFmtId="166" fontId="0" fillId="3" borderId="23" xfId="1" applyNumberFormat="1" applyFont="1" applyFill="1" applyBorder="1"/>
    <xf numFmtId="0" fontId="10" fillId="3" borderId="23" xfId="0" applyFont="1" applyFill="1" applyBorder="1" applyAlignment="1">
      <alignment horizontal="center"/>
    </xf>
    <xf numFmtId="0" fontId="10" fillId="3" borderId="27" xfId="0" applyFont="1" applyFill="1" applyBorder="1" applyAlignment="1">
      <alignment horizontal="center" vertical="center"/>
    </xf>
    <xf numFmtId="0" fontId="0" fillId="0" borderId="6" xfId="0" applyFont="1" applyBorder="1"/>
    <xf numFmtId="0" fontId="0" fillId="3" borderId="2" xfId="0" applyFont="1" applyFill="1" applyBorder="1"/>
    <xf numFmtId="0" fontId="0" fillId="3" borderId="21" xfId="0" applyFont="1" applyFill="1" applyBorder="1"/>
    <xf numFmtId="0" fontId="0" fillId="3" borderId="0" xfId="0" applyFont="1" applyFill="1" applyBorder="1"/>
    <xf numFmtId="0" fontId="0" fillId="3" borderId="3" xfId="0" applyFont="1" applyFill="1" applyBorder="1"/>
    <xf numFmtId="0" fontId="10" fillId="3" borderId="6" xfId="0" applyFont="1" applyFill="1" applyBorder="1"/>
    <xf numFmtId="166" fontId="10" fillId="3" borderId="11" xfId="0" applyNumberFormat="1" applyFont="1" applyFill="1" applyBorder="1"/>
    <xf numFmtId="164" fontId="0" fillId="0" borderId="18" xfId="0" applyNumberFormat="1" applyFont="1" applyBorder="1"/>
    <xf numFmtId="0" fontId="10" fillId="3" borderId="31" xfId="0" applyFont="1" applyFill="1" applyBorder="1" applyAlignment="1">
      <alignment horizontal="center" vertical="center"/>
    </xf>
    <xf numFmtId="0" fontId="11" fillId="3" borderId="31" xfId="0" applyFont="1" applyFill="1" applyBorder="1" applyAlignment="1">
      <alignment horizontal="left" vertical="center"/>
    </xf>
    <xf numFmtId="165" fontId="10" fillId="3" borderId="18" xfId="1" applyFont="1" applyFill="1" applyBorder="1"/>
    <xf numFmtId="0" fontId="10" fillId="3" borderId="32" xfId="0" applyFont="1" applyFill="1" applyBorder="1" applyAlignment="1">
      <alignment horizontal="center"/>
    </xf>
    <xf numFmtId="0" fontId="10" fillId="3" borderId="32" xfId="0" applyFont="1" applyFill="1" applyBorder="1"/>
    <xf numFmtId="165" fontId="10" fillId="3" borderId="32" xfId="1" applyFont="1" applyFill="1" applyBorder="1"/>
    <xf numFmtId="164" fontId="0" fillId="3" borderId="32" xfId="0" applyNumberFormat="1" applyFont="1" applyFill="1" applyBorder="1"/>
    <xf numFmtId="164" fontId="0" fillId="0" borderId="32" xfId="0" applyNumberFormat="1" applyFont="1" applyBorder="1"/>
    <xf numFmtId="165" fontId="0" fillId="3" borderId="22" xfId="1" applyFont="1" applyFill="1" applyBorder="1"/>
    <xf numFmtId="0" fontId="0" fillId="0" borderId="31" xfId="0" applyFont="1" applyBorder="1" applyAlignment="1">
      <alignment horizontal="center"/>
    </xf>
    <xf numFmtId="165" fontId="10" fillId="3" borderId="31" xfId="1" applyFont="1" applyFill="1" applyBorder="1"/>
    <xf numFmtId="0" fontId="0" fillId="0" borderId="18" xfId="0" applyFont="1" applyBorder="1" applyAlignment="1">
      <alignment horizontal="center"/>
    </xf>
    <xf numFmtId="0" fontId="0" fillId="0" borderId="32" xfId="0" applyFont="1" applyBorder="1" applyAlignment="1">
      <alignment horizontal="center"/>
    </xf>
    <xf numFmtId="166" fontId="0" fillId="3" borderId="32" xfId="1" applyNumberFormat="1" applyFont="1" applyFill="1" applyBorder="1"/>
    <xf numFmtId="165" fontId="10" fillId="3" borderId="22" xfId="0" applyNumberFormat="1" applyFont="1" applyFill="1" applyBorder="1"/>
    <xf numFmtId="0" fontId="0" fillId="3" borderId="32" xfId="0" applyFont="1" applyFill="1" applyBorder="1"/>
    <xf numFmtId="166" fontId="11" fillId="3" borderId="0" xfId="1" applyNumberFormat="1" applyFont="1" applyFill="1" applyBorder="1" applyAlignment="1">
      <alignment horizontal="center" wrapText="1"/>
    </xf>
    <xf numFmtId="166" fontId="10" fillId="3" borderId="0" xfId="1" applyNumberFormat="1" applyFont="1" applyFill="1" applyBorder="1" applyAlignment="1">
      <alignment horizontal="center"/>
    </xf>
    <xf numFmtId="166" fontId="0" fillId="3" borderId="0" xfId="1" applyNumberFormat="1" applyFont="1" applyFill="1" applyBorder="1"/>
    <xf numFmtId="0" fontId="10" fillId="0" borderId="0" xfId="0" applyFont="1" applyFill="1" applyBorder="1"/>
    <xf numFmtId="166" fontId="10" fillId="0" borderId="0" xfId="1" applyNumberFormat="1" applyFont="1" applyFill="1" applyBorder="1"/>
    <xf numFmtId="165" fontId="10" fillId="0" borderId="0" xfId="1" applyNumberFormat="1" applyFont="1" applyFill="1" applyBorder="1" applyAlignment="1"/>
    <xf numFmtId="166" fontId="10" fillId="0" borderId="0" xfId="1" applyNumberFormat="1" applyFont="1" applyFill="1" applyBorder="1" applyAlignment="1"/>
    <xf numFmtId="165" fontId="0" fillId="0" borderId="0" xfId="0" applyNumberFormat="1" applyFont="1"/>
    <xf numFmtId="166" fontId="0" fillId="0" borderId="18" xfId="1" applyNumberFormat="1" applyFont="1" applyBorder="1"/>
    <xf numFmtId="165" fontId="7" fillId="0" borderId="0" xfId="1" applyNumberFormat="1" applyFont="1"/>
    <xf numFmtId="166" fontId="0" fillId="0" borderId="0" xfId="0" applyNumberFormat="1" applyFont="1"/>
    <xf numFmtId="0" fontId="0" fillId="3" borderId="0" xfId="0" applyFont="1" applyFill="1"/>
    <xf numFmtId="2" fontId="0" fillId="0" borderId="0" xfId="0" applyNumberFormat="1" applyFont="1"/>
    <xf numFmtId="166" fontId="0" fillId="0" borderId="32" xfId="1" applyNumberFormat="1" applyFont="1" applyBorder="1"/>
    <xf numFmtId="164" fontId="0" fillId="0" borderId="0" xfId="0" applyNumberFormat="1"/>
    <xf numFmtId="0" fontId="0" fillId="0" borderId="0" xfId="0" quotePrefix="1"/>
    <xf numFmtId="165" fontId="0" fillId="3" borderId="0" xfId="1" applyNumberFormat="1" applyFont="1" applyFill="1" applyBorder="1"/>
    <xf numFmtId="0" fontId="0" fillId="5" borderId="0" xfId="0" applyFill="1"/>
    <xf numFmtId="0" fontId="0" fillId="0" borderId="0" xfId="0" applyAlignment="1">
      <alignment horizontal="center"/>
    </xf>
    <xf numFmtId="164" fontId="0" fillId="0" borderId="0" xfId="0" applyNumberFormat="1" applyFont="1"/>
    <xf numFmtId="167" fontId="0" fillId="0" borderId="0" xfId="0" applyNumberFormat="1" applyFont="1"/>
    <xf numFmtId="0" fontId="0" fillId="0" borderId="0" xfId="0" applyFont="1" applyFill="1" applyBorder="1"/>
    <xf numFmtId="166" fontId="20" fillId="0" borderId="0" xfId="0" applyNumberFormat="1" applyFont="1"/>
    <xf numFmtId="166" fontId="20" fillId="0" borderId="0" xfId="1" applyNumberFormat="1" applyFont="1"/>
    <xf numFmtId="164" fontId="6" fillId="0" borderId="0" xfId="0" applyNumberFormat="1" applyFont="1"/>
    <xf numFmtId="164" fontId="0" fillId="0" borderId="0" xfId="1" applyNumberFormat="1" applyFont="1"/>
    <xf numFmtId="16" fontId="0" fillId="0" borderId="0" xfId="0" applyNumberFormat="1" applyFont="1"/>
    <xf numFmtId="16" fontId="0" fillId="0" borderId="5" xfId="0" applyNumberFormat="1" applyFont="1" applyBorder="1"/>
    <xf numFmtId="0" fontId="21" fillId="0" borderId="5" xfId="0" applyFont="1" applyFill="1" applyBorder="1"/>
    <xf numFmtId="0" fontId="21" fillId="0" borderId="14" xfId="0" applyFont="1" applyFill="1" applyBorder="1"/>
    <xf numFmtId="0" fontId="21" fillId="0" borderId="2" xfId="0" applyFont="1" applyFill="1" applyBorder="1"/>
    <xf numFmtId="0" fontId="21" fillId="0" borderId="3" xfId="0" applyFont="1" applyBorder="1"/>
    <xf numFmtId="0" fontId="21" fillId="0" borderId="0" xfId="0" applyFont="1"/>
    <xf numFmtId="0" fontId="0" fillId="0" borderId="5" xfId="0" applyFont="1" applyBorder="1"/>
    <xf numFmtId="0" fontId="0" fillId="0" borderId="5" xfId="0" applyFont="1" applyFill="1" applyBorder="1"/>
    <xf numFmtId="0" fontId="22" fillId="0" borderId="0" xfId="0" applyFont="1"/>
    <xf numFmtId="0" fontId="21" fillId="0" borderId="0" xfId="0" applyFont="1" applyBorder="1"/>
    <xf numFmtId="0" fontId="23" fillId="0" borderId="0" xfId="0" applyFont="1"/>
    <xf numFmtId="0" fontId="23" fillId="0" borderId="0" xfId="0" applyFont="1" applyFill="1" applyBorder="1"/>
    <xf numFmtId="0" fontId="23" fillId="0" borderId="0" xfId="0" applyFont="1" applyBorder="1"/>
    <xf numFmtId="0" fontId="23" fillId="0" borderId="5" xfId="0" applyFont="1" applyBorder="1"/>
    <xf numFmtId="166" fontId="0" fillId="0" borderId="34" xfId="0" applyNumberFormat="1" applyFont="1" applyBorder="1"/>
    <xf numFmtId="166" fontId="0" fillId="6" borderId="34" xfId="0" applyNumberFormat="1" applyFont="1" applyFill="1" applyBorder="1"/>
    <xf numFmtId="166" fontId="0" fillId="0" borderId="34" xfId="0" applyNumberFormat="1" applyFont="1" applyFill="1" applyBorder="1"/>
    <xf numFmtId="166" fontId="24" fillId="0" borderId="0" xfId="1" applyNumberFormat="1" applyFont="1"/>
    <xf numFmtId="0" fontId="0" fillId="0" borderId="35" xfId="0" applyBorder="1"/>
    <xf numFmtId="0" fontId="26" fillId="0" borderId="0" xfId="0" applyFont="1"/>
    <xf numFmtId="164" fontId="22" fillId="0" borderId="0" xfId="1" applyNumberFormat="1" applyFont="1"/>
    <xf numFmtId="166" fontId="22" fillId="0" borderId="34" xfId="0" applyNumberFormat="1" applyFont="1" applyBorder="1"/>
    <xf numFmtId="0" fontId="22" fillId="0" borderId="0" xfId="0" applyFont="1" applyFill="1" applyBorder="1"/>
    <xf numFmtId="166" fontId="26" fillId="0" borderId="34" xfId="0" applyNumberFormat="1" applyFont="1" applyBorder="1"/>
    <xf numFmtId="0" fontId="0" fillId="5" borderId="0" xfId="0" applyFont="1" applyFill="1"/>
    <xf numFmtId="0" fontId="26" fillId="5" borderId="0" xfId="0" applyFont="1" applyFill="1"/>
    <xf numFmtId="164" fontId="0" fillId="0" borderId="36" xfId="0" applyNumberFormat="1" applyBorder="1"/>
    <xf numFmtId="172" fontId="2" fillId="0" borderId="38" xfId="2" applyNumberFormat="1" applyFont="1" applyFill="1" applyBorder="1" applyAlignment="1" applyProtection="1"/>
    <xf numFmtId="0" fontId="21" fillId="0" borderId="0" xfId="0" applyFont="1" applyFill="1"/>
    <xf numFmtId="0" fontId="0" fillId="0" borderId="0" xfId="0" applyFont="1" applyFill="1"/>
    <xf numFmtId="0" fontId="1" fillId="0" borderId="0" xfId="6"/>
    <xf numFmtId="17" fontId="0" fillId="0" borderId="0" xfId="0" applyNumberFormat="1" applyFont="1"/>
    <xf numFmtId="165" fontId="0" fillId="0" borderId="46" xfId="0" applyNumberFormat="1" applyFont="1" applyBorder="1"/>
    <xf numFmtId="0" fontId="22" fillId="0" borderId="0" xfId="0" applyFont="1" applyBorder="1"/>
    <xf numFmtId="16" fontId="0" fillId="0" borderId="0" xfId="0" applyNumberFormat="1" applyFont="1" applyBorder="1"/>
    <xf numFmtId="0" fontId="0" fillId="0" borderId="0" xfId="0" applyBorder="1"/>
    <xf numFmtId="0" fontId="21" fillId="0" borderId="0" xfId="0" applyFont="1" applyFill="1" applyBorder="1"/>
    <xf numFmtId="0" fontId="26" fillId="0" borderId="0" xfId="0" applyFont="1" applyBorder="1"/>
    <xf numFmtId="0" fontId="0" fillId="0" borderId="21" xfId="0" applyFont="1" applyBorder="1"/>
    <xf numFmtId="166" fontId="22" fillId="0" borderId="21" xfId="0" applyNumberFormat="1" applyFont="1" applyBorder="1"/>
    <xf numFmtId="166" fontId="0" fillId="6" borderId="21" xfId="0" applyNumberFormat="1" applyFont="1" applyFill="1" applyBorder="1"/>
    <xf numFmtId="166" fontId="0" fillId="0" borderId="34" xfId="0" applyNumberFormat="1" applyBorder="1"/>
    <xf numFmtId="0" fontId="0" fillId="0" borderId="18" xfId="0" applyBorder="1"/>
    <xf numFmtId="166" fontId="22" fillId="0" borderId="46" xfId="0" applyNumberFormat="1" applyFont="1" applyBorder="1"/>
    <xf numFmtId="17" fontId="0" fillId="0" borderId="0" xfId="0" applyNumberFormat="1" applyFont="1" applyBorder="1"/>
    <xf numFmtId="166" fontId="0" fillId="0" borderId="46" xfId="0" applyNumberFormat="1" applyFont="1" applyFill="1" applyBorder="1"/>
    <xf numFmtId="164" fontId="10" fillId="5" borderId="5" xfId="4" applyFont="1" applyFill="1" applyBorder="1"/>
    <xf numFmtId="164" fontId="0" fillId="0" borderId="0" xfId="2" applyFont="1" applyFill="1" applyBorder="1"/>
    <xf numFmtId="17" fontId="0" fillId="0" borderId="0" xfId="0" quotePrefix="1" applyNumberFormat="1" applyBorder="1"/>
    <xf numFmtId="166" fontId="22" fillId="7" borderId="21" xfId="0" applyNumberFormat="1" applyFont="1" applyFill="1" applyBorder="1"/>
    <xf numFmtId="166" fontId="0" fillId="0" borderId="21" xfId="0" applyNumberFormat="1" applyBorder="1"/>
    <xf numFmtId="0" fontId="0" fillId="3" borderId="0" xfId="0" applyFont="1" applyFill="1" applyBorder="1" applyAlignment="1">
      <alignment horizontal="center" vertical="center"/>
    </xf>
    <xf numFmtId="0" fontId="0" fillId="3" borderId="0" xfId="0" applyFont="1" applyFill="1" applyBorder="1" applyAlignment="1">
      <alignment horizontal="center"/>
    </xf>
    <xf numFmtId="165" fontId="0" fillId="0" borderId="0" xfId="0" applyNumberFormat="1" applyFont="1" applyBorder="1"/>
    <xf numFmtId="165" fontId="10" fillId="3" borderId="0" xfId="1" applyNumberFormat="1" applyFont="1" applyFill="1" applyBorder="1" applyAlignment="1"/>
    <xf numFmtId="165" fontId="0" fillId="3" borderId="0" xfId="0" applyNumberFormat="1" applyFont="1" applyFill="1" applyBorder="1"/>
    <xf numFmtId="167" fontId="0" fillId="3" borderId="0" xfId="2" applyNumberFormat="1" applyFont="1" applyFill="1" applyBorder="1"/>
    <xf numFmtId="165" fontId="0" fillId="0" borderId="47" xfId="0" applyNumberFormat="1" applyFont="1" applyBorder="1"/>
    <xf numFmtId="165" fontId="0" fillId="0" borderId="21" xfId="0" applyNumberFormat="1" applyFont="1" applyBorder="1"/>
    <xf numFmtId="167" fontId="0" fillId="3" borderId="0" xfId="0" applyNumberFormat="1" applyFont="1" applyFill="1" applyBorder="1"/>
    <xf numFmtId="165" fontId="0" fillId="0" borderId="46" xfId="0" applyNumberFormat="1" applyBorder="1"/>
    <xf numFmtId="165" fontId="0" fillId="3" borderId="0" xfId="1" applyFont="1" applyFill="1" applyBorder="1"/>
    <xf numFmtId="165" fontId="10" fillId="3" borderId="0" xfId="0" applyNumberFormat="1" applyFont="1" applyFill="1" applyBorder="1"/>
    <xf numFmtId="165" fontId="27" fillId="3" borderId="0" xfId="0" applyNumberFormat="1" applyFont="1" applyFill="1" applyBorder="1"/>
    <xf numFmtId="165" fontId="0" fillId="0" borderId="21" xfId="0" applyNumberFormat="1" applyBorder="1"/>
    <xf numFmtId="165" fontId="0" fillId="0" borderId="0" xfId="0" applyNumberFormat="1" applyBorder="1"/>
    <xf numFmtId="165" fontId="9" fillId="0" borderId="46" xfId="0" applyNumberFormat="1" applyFont="1" applyBorder="1"/>
    <xf numFmtId="0" fontId="28" fillId="0" borderId="0" xfId="0" applyFont="1"/>
    <xf numFmtId="0" fontId="28" fillId="0" borderId="0" xfId="0" applyFont="1" applyBorder="1"/>
    <xf numFmtId="3" fontId="0" fillId="0" borderId="0" xfId="0" applyNumberFormat="1" applyFont="1" applyBorder="1"/>
    <xf numFmtId="166" fontId="22" fillId="0" borderId="21" xfId="0" applyNumberFormat="1" applyFont="1" applyFill="1" applyBorder="1"/>
    <xf numFmtId="166" fontId="22" fillId="0" borderId="21" xfId="0" quotePrefix="1" applyNumberFormat="1" applyFont="1" applyFill="1" applyBorder="1"/>
    <xf numFmtId="0" fontId="0" fillId="0" borderId="0" xfId="0" applyFill="1"/>
    <xf numFmtId="0" fontId="23" fillId="0" borderId="0" xfId="0" applyFont="1" applyFill="1"/>
    <xf numFmtId="164" fontId="0" fillId="0" borderId="21" xfId="2" applyFont="1" applyBorder="1"/>
    <xf numFmtId="164" fontId="0" fillId="0" borderId="0" xfId="2" applyFont="1" applyBorder="1"/>
    <xf numFmtId="0" fontId="0" fillId="8" borderId="0" xfId="0" applyFont="1" applyFill="1"/>
    <xf numFmtId="164" fontId="0" fillId="0" borderId="0" xfId="2" applyFont="1"/>
    <xf numFmtId="164" fontId="9" fillId="0" borderId="0" xfId="2" applyFont="1"/>
    <xf numFmtId="164" fontId="21" fillId="0" borderId="0" xfId="2" applyFont="1"/>
    <xf numFmtId="164" fontId="0" fillId="7" borderId="0" xfId="2" applyFont="1" applyFill="1"/>
    <xf numFmtId="164" fontId="0" fillId="0" borderId="0" xfId="0" applyNumberFormat="1" applyBorder="1"/>
    <xf numFmtId="164" fontId="0" fillId="5" borderId="0" xfId="2" applyFont="1" applyFill="1"/>
    <xf numFmtId="0" fontId="0" fillId="5" borderId="0" xfId="0" applyFill="1" applyBorder="1" applyAlignment="1">
      <alignment horizontal="center"/>
    </xf>
    <xf numFmtId="0" fontId="0" fillId="5" borderId="21" xfId="0" applyFill="1" applyBorder="1" applyAlignment="1">
      <alignment horizontal="left"/>
    </xf>
    <xf numFmtId="0" fontId="0" fillId="0" borderId="0" xfId="0" applyBorder="1" applyAlignment="1">
      <alignment horizontal="left"/>
    </xf>
    <xf numFmtId="0" fontId="0" fillId="5" borderId="0" xfId="0" applyFill="1" applyBorder="1"/>
    <xf numFmtId="0" fontId="29" fillId="3" borderId="0" xfId="0" applyFont="1" applyFill="1" applyBorder="1"/>
    <xf numFmtId="165" fontId="28" fillId="0" borderId="0" xfId="0" applyNumberFormat="1" applyFont="1" applyBorder="1"/>
    <xf numFmtId="166" fontId="10" fillId="0" borderId="18" xfId="0" applyNumberFormat="1" applyFont="1" applyFill="1" applyBorder="1"/>
    <xf numFmtId="165" fontId="0" fillId="5" borderId="0" xfId="0" applyNumberFormat="1" applyFill="1" applyBorder="1"/>
    <xf numFmtId="0" fontId="28" fillId="5" borderId="0" xfId="0" applyFont="1" applyFill="1"/>
    <xf numFmtId="0" fontId="0" fillId="0" borderId="0" xfId="0" applyFill="1" applyBorder="1"/>
    <xf numFmtId="165" fontId="30" fillId="0" borderId="0" xfId="0" applyNumberFormat="1" applyFont="1" applyBorder="1"/>
    <xf numFmtId="164" fontId="30" fillId="0" borderId="46" xfId="2" applyFont="1" applyBorder="1"/>
    <xf numFmtId="173" fontId="0" fillId="0" borderId="0" xfId="0" applyNumberFormat="1" applyFont="1"/>
    <xf numFmtId="174" fontId="3" fillId="0" borderId="49" xfId="1" applyNumberFormat="1" applyFont="1" applyFill="1" applyBorder="1" applyAlignment="1" applyProtection="1">
      <alignment horizontal="right"/>
    </xf>
    <xf numFmtId="174" fontId="3" fillId="0" borderId="49" xfId="1" applyNumberFormat="1" applyFont="1" applyFill="1" applyBorder="1" applyAlignment="1" applyProtection="1">
      <alignment horizontal="center"/>
    </xf>
    <xf numFmtId="174" fontId="2" fillId="0" borderId="49" xfId="1" applyNumberFormat="1" applyFont="1" applyFill="1" applyBorder="1" applyAlignment="1" applyProtection="1"/>
    <xf numFmtId="174" fontId="2" fillId="0" borderId="48" xfId="1" applyNumberFormat="1" applyFont="1" applyFill="1" applyBorder="1" applyAlignment="1" applyProtection="1"/>
    <xf numFmtId="175" fontId="2" fillId="0" borderId="49" xfId="2" applyNumberFormat="1" applyFont="1" applyFill="1" applyBorder="1" applyAlignment="1" applyProtection="1"/>
    <xf numFmtId="174" fontId="2" fillId="0" borderId="51" xfId="1" applyNumberFormat="1" applyFont="1" applyFill="1" applyBorder="1" applyAlignment="1" applyProtection="1"/>
    <xf numFmtId="174" fontId="2" fillId="0" borderId="52" xfId="1" applyNumberFormat="1" applyFont="1" applyFill="1" applyBorder="1" applyAlignment="1" applyProtection="1"/>
    <xf numFmtId="174" fontId="2" fillId="0" borderId="18" xfId="1" applyNumberFormat="1" applyFont="1" applyFill="1" applyBorder="1" applyAlignment="1" applyProtection="1"/>
    <xf numFmtId="174" fontId="2" fillId="0" borderId="42" xfId="1" applyNumberFormat="1" applyFont="1" applyFill="1" applyBorder="1" applyAlignment="1" applyProtection="1"/>
    <xf numFmtId="17" fontId="0" fillId="0" borderId="0" xfId="0" applyNumberFormat="1"/>
    <xf numFmtId="17" fontId="0" fillId="0" borderId="0" xfId="0" quotePrefix="1" applyNumberFormat="1"/>
    <xf numFmtId="0" fontId="0" fillId="0" borderId="21" xfId="0" applyBorder="1"/>
    <xf numFmtId="15" fontId="0" fillId="0" borderId="0" xfId="0" quotePrefix="1" applyNumberFormat="1" applyFont="1"/>
    <xf numFmtId="0" fontId="16" fillId="0" borderId="0" xfId="0" applyFont="1" applyBorder="1"/>
    <xf numFmtId="164" fontId="10" fillId="0" borderId="27" xfId="2" applyFont="1" applyFill="1" applyBorder="1" applyAlignment="1">
      <alignment horizontal="center" wrapText="1"/>
    </xf>
    <xf numFmtId="0" fontId="10" fillId="0" borderId="27" xfId="0" applyFont="1" applyFill="1" applyBorder="1" applyAlignment="1">
      <alignment horizontal="center" vertical="center"/>
    </xf>
    <xf numFmtId="0" fontId="10" fillId="0" borderId="27" xfId="3" applyFont="1" applyFill="1" applyBorder="1" applyAlignment="1">
      <alignment horizontal="center"/>
    </xf>
    <xf numFmtId="16" fontId="10" fillId="0" borderId="27" xfId="3" applyNumberFormat="1" applyFont="1" applyFill="1" applyBorder="1" applyAlignment="1">
      <alignment horizontal="center"/>
    </xf>
    <xf numFmtId="0" fontId="11" fillId="0" borderId="31" xfId="0" applyFont="1" applyFill="1" applyBorder="1"/>
    <xf numFmtId="166" fontId="10" fillId="0" borderId="31" xfId="1" applyNumberFormat="1" applyFont="1" applyFill="1" applyBorder="1"/>
    <xf numFmtId="165" fontId="10" fillId="0" borderId="31" xfId="1" applyNumberFormat="1" applyFont="1" applyFill="1" applyBorder="1" applyAlignment="1"/>
    <xf numFmtId="0" fontId="10" fillId="0" borderId="18" xfId="0" applyFont="1" applyFill="1" applyBorder="1" applyAlignment="1">
      <alignment horizontal="center"/>
    </xf>
    <xf numFmtId="0" fontId="10" fillId="0" borderId="32" xfId="0" applyFont="1" applyFill="1" applyBorder="1" applyAlignment="1">
      <alignment horizontal="center"/>
    </xf>
    <xf numFmtId="0" fontId="10" fillId="0" borderId="32" xfId="0" applyFont="1" applyFill="1" applyBorder="1"/>
    <xf numFmtId="166" fontId="10" fillId="0" borderId="32" xfId="1" applyNumberFormat="1" applyFont="1" applyFill="1" applyBorder="1"/>
    <xf numFmtId="0" fontId="18" fillId="0" borderId="18" xfId="0" applyFont="1" applyFill="1" applyBorder="1" applyAlignment="1">
      <alignment horizontal="center"/>
    </xf>
    <xf numFmtId="165" fontId="10" fillId="0" borderId="18" xfId="1" applyNumberFormat="1" applyFont="1" applyFill="1" applyBorder="1"/>
    <xf numFmtId="0" fontId="14" fillId="0" borderId="18" xfId="0" applyFont="1" applyFill="1" applyBorder="1"/>
    <xf numFmtId="165" fontId="10" fillId="0" borderId="23" xfId="1" applyNumberFormat="1" applyFont="1" applyFill="1" applyBorder="1"/>
    <xf numFmtId="0" fontId="10" fillId="0" borderId="27" xfId="0" applyFont="1" applyFill="1" applyBorder="1" applyAlignment="1">
      <alignment horizontal="center"/>
    </xf>
    <xf numFmtId="0" fontId="10" fillId="0" borderId="31" xfId="0" applyFont="1" applyFill="1" applyBorder="1"/>
    <xf numFmtId="164" fontId="10" fillId="0" borderId="18" xfId="0" applyNumberFormat="1" applyFont="1" applyFill="1" applyBorder="1"/>
    <xf numFmtId="165" fontId="10" fillId="0" borderId="18" xfId="0" applyNumberFormat="1" applyFont="1" applyFill="1" applyBorder="1"/>
    <xf numFmtId="164" fontId="10" fillId="0" borderId="18" xfId="2" applyFont="1" applyFill="1" applyBorder="1"/>
    <xf numFmtId="166" fontId="10" fillId="0" borderId="23" xfId="0" applyNumberFormat="1" applyFont="1" applyFill="1" applyBorder="1"/>
    <xf numFmtId="165" fontId="10" fillId="0" borderId="23" xfId="0" applyNumberFormat="1" applyFont="1" applyFill="1" applyBorder="1"/>
    <xf numFmtId="174" fontId="10" fillId="0" borderId="48" xfId="2" applyNumberFormat="1" applyFont="1" applyFill="1" applyBorder="1" applyAlignment="1" applyProtection="1"/>
    <xf numFmtId="164" fontId="10" fillId="0" borderId="32" xfId="0" applyNumberFormat="1" applyFont="1" applyFill="1" applyBorder="1"/>
    <xf numFmtId="0" fontId="10" fillId="0" borderId="11" xfId="0" applyFont="1" applyFill="1" applyBorder="1"/>
    <xf numFmtId="165" fontId="10" fillId="0" borderId="22" xfId="1" applyNumberFormat="1" applyFont="1" applyFill="1" applyBorder="1"/>
    <xf numFmtId="0" fontId="10" fillId="0" borderId="0" xfId="0" applyFont="1" applyFill="1"/>
    <xf numFmtId="174" fontId="10" fillId="0" borderId="48" xfId="1" applyNumberFormat="1" applyFont="1" applyFill="1" applyBorder="1" applyAlignment="1" applyProtection="1"/>
    <xf numFmtId="164" fontId="10" fillId="0" borderId="23" xfId="0" applyNumberFormat="1" applyFont="1" applyFill="1" applyBorder="1"/>
    <xf numFmtId="166" fontId="10" fillId="0" borderId="11" xfId="0" applyNumberFormat="1" applyFont="1" applyFill="1" applyBorder="1"/>
    <xf numFmtId="165" fontId="10" fillId="0" borderId="22" xfId="0" applyNumberFormat="1" applyFont="1" applyFill="1" applyBorder="1"/>
    <xf numFmtId="164" fontId="10" fillId="0" borderId="31" xfId="2" applyFont="1" applyFill="1" applyBorder="1"/>
    <xf numFmtId="12" fontId="10" fillId="0" borderId="18" xfId="0" applyNumberFormat="1" applyFont="1" applyFill="1" applyBorder="1"/>
    <xf numFmtId="164" fontId="10" fillId="0" borderId="23" xfId="2" applyFont="1" applyFill="1" applyBorder="1"/>
    <xf numFmtId="164" fontId="10" fillId="0" borderId="11" xfId="2" applyFont="1" applyFill="1" applyBorder="1"/>
    <xf numFmtId="167" fontId="10" fillId="0" borderId="22" xfId="2" applyNumberFormat="1" applyFont="1" applyFill="1" applyBorder="1"/>
    <xf numFmtId="2" fontId="10" fillId="0" borderId="23" xfId="0" applyNumberFormat="1" applyFont="1" applyFill="1" applyBorder="1"/>
    <xf numFmtId="165" fontId="10" fillId="0" borderId="0" xfId="1" applyFont="1" applyFill="1"/>
    <xf numFmtId="2" fontId="10" fillId="0" borderId="18" xfId="0" applyNumberFormat="1" applyFont="1" applyFill="1" applyBorder="1"/>
    <xf numFmtId="170" fontId="10" fillId="0" borderId="37" xfId="1" applyNumberFormat="1" applyFont="1" applyFill="1" applyBorder="1" applyAlignment="1" applyProtection="1"/>
    <xf numFmtId="0" fontId="11" fillId="0" borderId="0" xfId="0" applyFont="1" applyFill="1"/>
    <xf numFmtId="0" fontId="10" fillId="0" borderId="6" xfId="0" applyFont="1" applyFill="1" applyBorder="1"/>
    <xf numFmtId="164" fontId="10" fillId="0" borderId="11" xfId="0" applyNumberFormat="1" applyFont="1" applyFill="1" applyBorder="1"/>
    <xf numFmtId="167" fontId="10" fillId="0" borderId="11" xfId="0" applyNumberFormat="1" applyFont="1" applyFill="1" applyBorder="1"/>
    <xf numFmtId="165" fontId="10" fillId="0" borderId="18" xfId="1" applyFont="1" applyFill="1" applyBorder="1"/>
    <xf numFmtId="165" fontId="10" fillId="0" borderId="32" xfId="1" applyFont="1" applyFill="1" applyBorder="1"/>
    <xf numFmtId="0" fontId="11" fillId="0" borderId="0" xfId="0" applyFont="1" applyFill="1" applyBorder="1"/>
    <xf numFmtId="166" fontId="11" fillId="0" borderId="18" xfId="1" applyNumberFormat="1" applyFont="1" applyFill="1" applyBorder="1"/>
    <xf numFmtId="167" fontId="10" fillId="0" borderId="32" xfId="2" applyNumberFormat="1" applyFont="1" applyFill="1" applyBorder="1"/>
    <xf numFmtId="167" fontId="10" fillId="0" borderId="18" xfId="1" applyNumberFormat="1" applyFont="1" applyFill="1" applyBorder="1"/>
    <xf numFmtId="166" fontId="10" fillId="0" borderId="32" xfId="0" applyNumberFormat="1" applyFont="1" applyFill="1" applyBorder="1"/>
    <xf numFmtId="165" fontId="10" fillId="0" borderId="32" xfId="0" applyNumberFormat="1" applyFont="1" applyFill="1" applyBorder="1"/>
    <xf numFmtId="0" fontId="10" fillId="0" borderId="31" xfId="0" applyFont="1" applyFill="1" applyBorder="1" applyAlignment="1">
      <alignment horizontal="center"/>
    </xf>
    <xf numFmtId="166" fontId="10" fillId="0" borderId="22" xfId="1" applyNumberFormat="1" applyFont="1" applyFill="1" applyBorder="1"/>
    <xf numFmtId="167" fontId="10" fillId="0" borderId="18" xfId="2" applyNumberFormat="1" applyFont="1" applyFill="1" applyBorder="1"/>
    <xf numFmtId="168" fontId="10" fillId="0" borderId="18" xfId="1" applyNumberFormat="1" applyFont="1" applyFill="1" applyBorder="1"/>
    <xf numFmtId="165" fontId="10" fillId="0" borderId="11" xfId="1" applyNumberFormat="1" applyFont="1" applyFill="1" applyBorder="1"/>
    <xf numFmtId="164" fontId="10" fillId="0" borderId="31" xfId="0" applyNumberFormat="1" applyFont="1" applyFill="1" applyBorder="1"/>
    <xf numFmtId="166" fontId="10" fillId="0" borderId="31" xfId="0" applyNumberFormat="1" applyFont="1" applyFill="1" applyBorder="1"/>
    <xf numFmtId="165" fontId="10" fillId="0" borderId="31" xfId="0" applyNumberFormat="1" applyFont="1" applyFill="1" applyBorder="1"/>
    <xf numFmtId="166" fontId="11" fillId="0" borderId="18" xfId="0" applyNumberFormat="1" applyFont="1" applyFill="1" applyBorder="1"/>
    <xf numFmtId="165" fontId="10" fillId="0" borderId="32" xfId="1" applyNumberFormat="1" applyFont="1" applyFill="1" applyBorder="1"/>
    <xf numFmtId="165" fontId="10" fillId="0" borderId="0" xfId="1" applyNumberFormat="1" applyFont="1" applyFill="1" applyBorder="1"/>
    <xf numFmtId="172" fontId="10" fillId="0" borderId="37" xfId="5" applyNumberFormat="1" applyFont="1" applyFill="1" applyBorder="1" applyAlignment="1" applyProtection="1"/>
    <xf numFmtId="164" fontId="11" fillId="0" borderId="18" xfId="0" applyNumberFormat="1" applyFont="1" applyFill="1" applyBorder="1"/>
    <xf numFmtId="171" fontId="10" fillId="0" borderId="37" xfId="5" applyNumberFormat="1" applyFont="1" applyFill="1" applyBorder="1" applyAlignment="1" applyProtection="1"/>
    <xf numFmtId="0" fontId="10" fillId="0" borderId="23" xfId="0" applyFont="1" applyFill="1" applyBorder="1" applyAlignment="1">
      <alignment horizontal="center"/>
    </xf>
    <xf numFmtId="165" fontId="10" fillId="0" borderId="39" xfId="1" applyNumberFormat="1" applyFont="1" applyFill="1" applyBorder="1"/>
    <xf numFmtId="171" fontId="10" fillId="0" borderId="39" xfId="5" applyNumberFormat="1" applyFont="1" applyFill="1" applyBorder="1" applyAlignment="1" applyProtection="1"/>
    <xf numFmtId="171" fontId="10" fillId="0" borderId="40" xfId="5" applyNumberFormat="1" applyFont="1" applyFill="1" applyBorder="1" applyAlignment="1" applyProtection="1"/>
    <xf numFmtId="171" fontId="10" fillId="0" borderId="41" xfId="5" applyNumberFormat="1" applyFont="1" applyFill="1" applyBorder="1" applyAlignment="1" applyProtection="1"/>
    <xf numFmtId="0" fontId="10" fillId="0" borderId="44" xfId="0" applyFont="1" applyFill="1" applyBorder="1" applyAlignment="1">
      <alignment horizontal="center"/>
    </xf>
    <xf numFmtId="165" fontId="10" fillId="0" borderId="45" xfId="0" applyNumberFormat="1" applyFont="1" applyFill="1" applyBorder="1"/>
    <xf numFmtId="176" fontId="31" fillId="0" borderId="0" xfId="7" applyNumberFormat="1" applyFont="1" applyFill="1" applyAlignment="1" applyProtection="1">
      <alignment horizontal="right" vertical="center" wrapText="1"/>
    </xf>
    <xf numFmtId="165" fontId="10" fillId="0" borderId="46" xfId="0" applyNumberFormat="1" applyFont="1" applyFill="1" applyBorder="1"/>
    <xf numFmtId="171" fontId="10" fillId="0" borderId="51" xfId="2" applyNumberFormat="1" applyFont="1" applyFill="1" applyBorder="1" applyAlignment="1" applyProtection="1"/>
    <xf numFmtId="171" fontId="10" fillId="0" borderId="50" xfId="2" applyNumberFormat="1" applyFont="1" applyFill="1" applyBorder="1" applyAlignment="1" applyProtection="1"/>
    <xf numFmtId="166" fontId="11" fillId="0" borderId="11" xfId="0" applyNumberFormat="1" applyFont="1" applyFill="1" applyBorder="1"/>
    <xf numFmtId="165" fontId="32" fillId="0" borderId="11" xfId="0" applyNumberFormat="1" applyFont="1" applyFill="1" applyBorder="1"/>
    <xf numFmtId="165" fontId="10" fillId="0" borderId="23" xfId="1" applyFont="1" applyFill="1" applyBorder="1"/>
    <xf numFmtId="0" fontId="17" fillId="0" borderId="18" xfId="0" applyFont="1" applyFill="1" applyBorder="1"/>
    <xf numFmtId="0" fontId="10" fillId="0" borderId="42" xfId="0" applyFont="1" applyFill="1" applyBorder="1"/>
    <xf numFmtId="166" fontId="10" fillId="0" borderId="42" xfId="1" applyNumberFormat="1" applyFont="1" applyFill="1" applyBorder="1"/>
    <xf numFmtId="165" fontId="10" fillId="0" borderId="42" xfId="1" applyFont="1" applyFill="1" applyBorder="1"/>
    <xf numFmtId="0" fontId="17" fillId="0" borderId="32" xfId="0" applyFont="1" applyFill="1" applyBorder="1"/>
    <xf numFmtId="0" fontId="11" fillId="0" borderId="18" xfId="0" applyFont="1" applyFill="1" applyBorder="1"/>
    <xf numFmtId="0" fontId="15" fillId="0" borderId="18" xfId="0" applyFont="1" applyFill="1" applyBorder="1"/>
    <xf numFmtId="0" fontId="17" fillId="0" borderId="23" xfId="0" applyFont="1" applyFill="1" applyBorder="1"/>
    <xf numFmtId="49" fontId="2" fillId="0" borderId="49" xfId="0" applyNumberFormat="1" applyFont="1" applyFill="1" applyBorder="1"/>
    <xf numFmtId="0" fontId="10" fillId="0" borderId="43" xfId="0" applyFont="1" applyFill="1" applyBorder="1"/>
    <xf numFmtId="166" fontId="10" fillId="0" borderId="43" xfId="1" applyNumberFormat="1" applyFont="1" applyFill="1" applyBorder="1"/>
    <xf numFmtId="0" fontId="10" fillId="0" borderId="0" xfId="0" quotePrefix="1" applyFont="1" applyFill="1"/>
    <xf numFmtId="165" fontId="10" fillId="0" borderId="11" xfId="1" applyFont="1" applyFill="1" applyBorder="1"/>
    <xf numFmtId="0" fontId="10" fillId="0" borderId="42" xfId="0" applyFont="1" applyFill="1" applyBorder="1" applyAlignment="1">
      <alignment horizontal="center"/>
    </xf>
    <xf numFmtId="164" fontId="10" fillId="0" borderId="42" xfId="0" applyNumberFormat="1" applyFont="1" applyFill="1" applyBorder="1"/>
    <xf numFmtId="166" fontId="10" fillId="0" borderId="42" xfId="0" applyNumberFormat="1" applyFont="1" applyFill="1" applyBorder="1"/>
    <xf numFmtId="165" fontId="10" fillId="0" borderId="42" xfId="0" applyNumberFormat="1" applyFont="1" applyFill="1" applyBorder="1"/>
    <xf numFmtId="0" fontId="10" fillId="0" borderId="43" xfId="0" applyFont="1" applyFill="1" applyBorder="1" applyAlignment="1">
      <alignment horizontal="center"/>
    </xf>
    <xf numFmtId="164" fontId="10" fillId="0" borderId="43" xfId="0" applyNumberFormat="1" applyFont="1" applyFill="1" applyBorder="1"/>
    <xf numFmtId="166" fontId="10" fillId="0" borderId="43" xfId="0" applyNumberFormat="1" applyFont="1" applyFill="1" applyBorder="1"/>
    <xf numFmtId="165" fontId="10" fillId="0" borderId="43" xfId="0" applyNumberFormat="1" applyFont="1" applyFill="1" applyBorder="1"/>
    <xf numFmtId="167" fontId="10" fillId="0" borderId="23" xfId="2" applyNumberFormat="1" applyFont="1" applyFill="1" applyBorder="1"/>
    <xf numFmtId="169" fontId="10" fillId="0" borderId="18" xfId="0" applyNumberFormat="1" applyFont="1" applyFill="1" applyBorder="1"/>
    <xf numFmtId="164" fontId="10" fillId="0" borderId="18" xfId="1" applyNumberFormat="1" applyFont="1" applyFill="1" applyBorder="1"/>
    <xf numFmtId="172" fontId="10" fillId="0" borderId="37" xfId="2" applyNumberFormat="1" applyFont="1" applyFill="1" applyBorder="1" applyAlignment="1" applyProtection="1"/>
    <xf numFmtId="164" fontId="10" fillId="0" borderId="18" xfId="0" applyNumberFormat="1" applyFont="1" applyFill="1" applyBorder="1" applyAlignment="1">
      <alignment horizontal="center"/>
    </xf>
    <xf numFmtId="49" fontId="10" fillId="0" borderId="18" xfId="0" applyNumberFormat="1" applyFont="1" applyFill="1" applyBorder="1" applyAlignment="1">
      <alignment horizontal="left"/>
    </xf>
    <xf numFmtId="0" fontId="10" fillId="0" borderId="18" xfId="0" applyNumberFormat="1" applyFont="1" applyFill="1" applyBorder="1" applyAlignment="1">
      <alignment horizontal="left"/>
    </xf>
    <xf numFmtId="37" fontId="10" fillId="0" borderId="18" xfId="0" applyNumberFormat="1" applyFont="1" applyFill="1" applyBorder="1"/>
    <xf numFmtId="37" fontId="10" fillId="0" borderId="23" xfId="0" applyNumberFormat="1" applyFont="1" applyFill="1" applyBorder="1"/>
    <xf numFmtId="164" fontId="10" fillId="0" borderId="23" xfId="1" applyNumberFormat="1" applyFont="1" applyFill="1" applyBorder="1"/>
    <xf numFmtId="171" fontId="10" fillId="0" borderId="53" xfId="2" applyNumberFormat="1" applyFont="1" applyFill="1" applyBorder="1" applyAlignment="1" applyProtection="1"/>
    <xf numFmtId="164" fontId="10" fillId="0" borderId="23" xfId="0" applyNumberFormat="1" applyFont="1" applyFill="1" applyBorder="1" applyAlignment="1">
      <alignment horizontal="center"/>
    </xf>
    <xf numFmtId="164" fontId="10" fillId="0" borderId="32" xfId="0" applyNumberFormat="1" applyFont="1" applyFill="1" applyBorder="1" applyAlignment="1">
      <alignment horizontal="center"/>
    </xf>
    <xf numFmtId="164" fontId="10" fillId="0" borderId="32" xfId="1" applyNumberFormat="1" applyFont="1" applyFill="1" applyBorder="1"/>
    <xf numFmtId="2" fontId="10" fillId="0" borderId="42" xfId="0" applyNumberFormat="1" applyFont="1" applyFill="1" applyBorder="1"/>
    <xf numFmtId="174" fontId="2" fillId="0" borderId="54" xfId="1" applyNumberFormat="1" applyFont="1" applyFill="1" applyBorder="1" applyAlignment="1" applyProtection="1"/>
    <xf numFmtId="174" fontId="2" fillId="0" borderId="55" xfId="1" applyNumberFormat="1" applyFont="1" applyFill="1" applyBorder="1" applyAlignment="1" applyProtection="1"/>
    <xf numFmtId="174" fontId="2" fillId="0" borderId="56" xfId="1" applyNumberFormat="1" applyFont="1" applyFill="1" applyBorder="1" applyAlignment="1" applyProtection="1"/>
    <xf numFmtId="165" fontId="10" fillId="0" borderId="11" xfId="0" applyNumberFormat="1" applyFont="1" applyFill="1" applyBorder="1"/>
    <xf numFmtId="0" fontId="14" fillId="0" borderId="32" xfId="0" applyFont="1" applyFill="1" applyBorder="1"/>
    <xf numFmtId="0" fontId="10" fillId="0" borderId="22" xfId="0" applyFont="1" applyFill="1" applyBorder="1"/>
    <xf numFmtId="0" fontId="10" fillId="0" borderId="5" xfId="0" applyFont="1" applyFill="1" applyBorder="1"/>
    <xf numFmtId="0" fontId="10" fillId="0" borderId="14" xfId="0" applyFont="1" applyFill="1" applyBorder="1"/>
    <xf numFmtId="0" fontId="17" fillId="0" borderId="2" xfId="0" applyFont="1" applyFill="1" applyBorder="1"/>
    <xf numFmtId="166" fontId="10" fillId="0" borderId="2" xfId="1" applyNumberFormat="1" applyFont="1" applyFill="1" applyBorder="1"/>
    <xf numFmtId="165" fontId="10" fillId="0" borderId="2" xfId="1" applyFont="1" applyFill="1" applyBorder="1"/>
    <xf numFmtId="0" fontId="14" fillId="0" borderId="43" xfId="0" applyFont="1" applyFill="1" applyBorder="1"/>
    <xf numFmtId="165" fontId="10" fillId="0" borderId="43" xfId="1" applyFont="1" applyFill="1" applyBorder="1"/>
    <xf numFmtId="0" fontId="10" fillId="0" borderId="18" xfId="0" applyFont="1" applyFill="1" applyBorder="1" applyAlignment="1">
      <alignment horizontal="left"/>
    </xf>
    <xf numFmtId="0" fontId="14" fillId="0" borderId="32" xfId="0" applyFont="1" applyFill="1" applyBorder="1" applyAlignment="1">
      <alignment horizontal="left"/>
    </xf>
    <xf numFmtId="164" fontId="10" fillId="0" borderId="32" xfId="2" applyFont="1" applyFill="1" applyBorder="1"/>
    <xf numFmtId="165" fontId="33" fillId="0" borderId="11" xfId="0" applyNumberFormat="1" applyFont="1" applyFill="1" applyBorder="1"/>
    <xf numFmtId="0" fontId="14" fillId="0" borderId="23" xfId="0" applyFont="1" applyFill="1" applyBorder="1"/>
    <xf numFmtId="164" fontId="10" fillId="0" borderId="42" xfId="2" applyFont="1" applyFill="1" applyBorder="1"/>
    <xf numFmtId="177" fontId="3" fillId="0" borderId="57" xfId="1" applyNumberFormat="1" applyFont="1" applyFill="1" applyBorder="1" applyAlignment="1" applyProtection="1"/>
    <xf numFmtId="165" fontId="10" fillId="0" borderId="31" xfId="1" applyFont="1" applyFill="1" applyBorder="1"/>
    <xf numFmtId="0" fontId="10" fillId="0" borderId="18" xfId="0" quotePrefix="1" applyFont="1" applyFill="1" applyBorder="1"/>
    <xf numFmtId="0" fontId="10" fillId="0" borderId="32" xfId="0" quotePrefix="1" applyFont="1" applyFill="1" applyBorder="1"/>
    <xf numFmtId="165" fontId="11" fillId="0" borderId="11" xfId="0" applyNumberFormat="1" applyFont="1" applyFill="1" applyBorder="1"/>
    <xf numFmtId="165" fontId="11" fillId="0" borderId="22" xfId="0" applyNumberFormat="1" applyFont="1" applyFill="1" applyBorder="1"/>
    <xf numFmtId="164" fontId="10" fillId="0" borderId="18" xfId="2" applyNumberFormat="1" applyFont="1" applyFill="1" applyBorder="1"/>
    <xf numFmtId="165" fontId="10" fillId="0" borderId="22" xfId="1" applyFont="1" applyFill="1" applyBorder="1"/>
    <xf numFmtId="0" fontId="0" fillId="0" borderId="0" xfId="0" applyAlignment="1">
      <alignment horizontal="center"/>
    </xf>
    <xf numFmtId="164" fontId="10" fillId="0" borderId="28" xfId="2" applyFont="1" applyFill="1" applyBorder="1" applyAlignment="1">
      <alignment horizontal="center" vertical="center" wrapText="1"/>
    </xf>
    <xf numFmtId="164" fontId="10" fillId="0" borderId="30" xfId="2" applyFont="1" applyFill="1" applyBorder="1" applyAlignment="1">
      <alignment horizontal="center" vertical="center" wrapText="1"/>
    </xf>
    <xf numFmtId="0" fontId="10" fillId="0" borderId="28" xfId="0" applyFont="1" applyFill="1" applyBorder="1" applyAlignment="1">
      <alignment horizontal="center" vertical="center"/>
    </xf>
    <xf numFmtId="0" fontId="10" fillId="0" borderId="30" xfId="0" applyFont="1" applyFill="1" applyBorder="1" applyAlignment="1">
      <alignment horizontal="center" vertical="center"/>
    </xf>
    <xf numFmtId="0" fontId="10" fillId="0" borderId="33" xfId="0" applyFont="1" applyFill="1" applyBorder="1" applyAlignment="1">
      <alignment horizontal="center" vertical="center"/>
    </xf>
    <xf numFmtId="0" fontId="10" fillId="0" borderId="27" xfId="0" applyFont="1" applyFill="1" applyBorder="1" applyAlignment="1">
      <alignment horizontal="center" vertical="center"/>
    </xf>
    <xf numFmtId="165" fontId="10" fillId="0" borderId="27" xfId="1" applyNumberFormat="1" applyFont="1" applyFill="1" applyBorder="1" applyAlignment="1">
      <alignment horizontal="center" vertical="center"/>
    </xf>
    <xf numFmtId="164" fontId="10" fillId="0" borderId="27" xfId="2" applyFont="1" applyFill="1" applyBorder="1" applyAlignment="1">
      <alignment horizontal="center"/>
    </xf>
    <xf numFmtId="164" fontId="10" fillId="3" borderId="28" xfId="2" applyFont="1" applyFill="1" applyBorder="1" applyAlignment="1">
      <alignment horizontal="center" vertical="center" wrapText="1"/>
    </xf>
    <xf numFmtId="164" fontId="10" fillId="3" borderId="30" xfId="2" applyFont="1" applyFill="1" applyBorder="1" applyAlignment="1">
      <alignment horizontal="center" vertical="center" wrapText="1"/>
    </xf>
    <xf numFmtId="0" fontId="0" fillId="3" borderId="28" xfId="0" applyFont="1" applyFill="1" applyBorder="1" applyAlignment="1">
      <alignment horizontal="center" vertical="center"/>
    </xf>
    <xf numFmtId="0" fontId="0" fillId="3" borderId="30" xfId="0" applyFont="1" applyFill="1" applyBorder="1" applyAlignment="1">
      <alignment horizontal="center" vertical="center"/>
    </xf>
    <xf numFmtId="0" fontId="10" fillId="3" borderId="27" xfId="0" applyFont="1" applyFill="1" applyBorder="1" applyAlignment="1">
      <alignment horizontal="center" vertical="center"/>
    </xf>
    <xf numFmtId="165" fontId="10" fillId="3" borderId="27" xfId="1" applyNumberFormat="1" applyFont="1" applyFill="1" applyBorder="1" applyAlignment="1">
      <alignment horizontal="center" vertical="center"/>
    </xf>
    <xf numFmtId="164" fontId="10" fillId="3" borderId="27" xfId="2" applyFont="1" applyFill="1" applyBorder="1" applyAlignment="1">
      <alignment horizontal="center"/>
    </xf>
    <xf numFmtId="0" fontId="10" fillId="3" borderId="28"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0" xfId="0" applyFont="1" applyFill="1" applyBorder="1" applyAlignment="1">
      <alignment horizontal="center" vertical="center"/>
    </xf>
    <xf numFmtId="0" fontId="11" fillId="3" borderId="15" xfId="0" applyFont="1" applyFill="1" applyBorder="1" applyAlignment="1">
      <alignment horizontal="center"/>
    </xf>
    <xf numFmtId="0" fontId="11" fillId="3" borderId="21" xfId="0" applyFont="1" applyFill="1" applyBorder="1" applyAlignment="1">
      <alignment horizontal="center"/>
    </xf>
    <xf numFmtId="165" fontId="11" fillId="3" borderId="0" xfId="1" applyNumberFormat="1" applyFont="1" applyFill="1" applyBorder="1" applyAlignment="1">
      <alignment horizontal="center"/>
    </xf>
    <xf numFmtId="0" fontId="0" fillId="0" borderId="0" xfId="0" applyAlignment="1">
      <alignment horizontal="center"/>
    </xf>
    <xf numFmtId="164" fontId="5" fillId="0" borderId="0" xfId="3" applyNumberFormat="1" applyFont="1" applyFill="1" applyAlignment="1">
      <alignment horizontal="center"/>
    </xf>
    <xf numFmtId="17" fontId="25" fillId="0" borderId="0" xfId="3" quotePrefix="1" applyNumberFormat="1" applyFont="1" applyAlignment="1">
      <alignment horizontal="center"/>
    </xf>
    <xf numFmtId="0" fontId="8" fillId="0" borderId="0" xfId="3" applyFont="1" applyAlignment="1">
      <alignment horizontal="center"/>
    </xf>
  </cellXfs>
  <cellStyles count="8">
    <cellStyle name="Comma" xfId="1" builtinId="3"/>
    <cellStyle name="Comma [0]" xfId="2" builtinId="6"/>
    <cellStyle name="Comma [0] 2" xfId="4"/>
    <cellStyle name="Comma[0]_SS,MS" xfId="5"/>
    <cellStyle name="Normal" xfId="0" builtinId="0"/>
    <cellStyle name="Normal 2" xfId="6"/>
    <cellStyle name="Normal 2 2" xfId="3"/>
    <cellStyle name="Normal_SS,MS_2" xfId="7"/>
  </cellStyles>
  <dxfs count="0"/>
  <tableStyles count="0" defaultTableStyle="TableStyleMedium9" defaultPivotStyle="PivotStyleLight16"/>
  <colors>
    <mruColors>
      <color rgb="FF00CC00"/>
      <color rgb="FF0033CC"/>
      <color rgb="FFCC0099"/>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Februari%2020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Documents%20and%20Settings\user\My%20Documents\Berita%20Acara%20Stok%20Opname%20Triwulan%20II%20th%20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Maret%20201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Juni%202013REV.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Januari%20201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JULI%20201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Juli%20201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September%2020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Documents%20and%20Settings\Tito\Application%20Data\Microsoft\Excel\g15-April%20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row r="3">
          <cell r="G3" t="str">
            <v>PRKO RATU BOKO</v>
          </cell>
        </row>
        <row r="5">
          <cell r="H5">
            <v>8000</v>
          </cell>
        </row>
      </sheetData>
      <sheetData sheetId="5" refreshError="1"/>
      <sheetData sheetId="6" refreshError="1"/>
      <sheetData sheetId="7" refreshError="1">
        <row r="2">
          <cell r="GS2" t="str">
            <v>SHP RATU BOKO</v>
          </cell>
        </row>
        <row r="4">
          <cell r="GS4">
            <v>7500</v>
          </cell>
          <cell r="GT4">
            <v>12500</v>
          </cell>
          <cell r="GU4">
            <v>5000</v>
          </cell>
        </row>
      </sheetData>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RITA ACARA"/>
      <sheetName val="Konsinyasi"/>
      <sheetName val="Prangko Definitif"/>
      <sheetName val="Rekap PRKO-DEFINITIF"/>
      <sheetName val="Prangko Filateli "/>
      <sheetName val="SS,MS"/>
      <sheetName val="SHP,SP"/>
      <sheetName val="Kemasan"/>
      <sheetName val="Merchandise,Album"/>
      <sheetName val="PRISMA"/>
      <sheetName val="Lain-lain"/>
      <sheetName val="Rekap"/>
    </sheetNames>
    <sheetDataSet>
      <sheetData sheetId="0" refreshError="1"/>
      <sheetData sheetId="1" refreshError="1"/>
      <sheetData sheetId="2" refreshError="1"/>
      <sheetData sheetId="3" refreshError="1"/>
      <sheetData sheetId="4" refreshError="1">
        <row r="150">
          <cell r="D150">
            <v>178.49</v>
          </cell>
        </row>
        <row r="196">
          <cell r="D196">
            <v>226.62</v>
          </cell>
        </row>
        <row r="201">
          <cell r="D201">
            <v>109.83</v>
          </cell>
        </row>
      </sheetData>
      <sheetData sheetId="5" refreshError="1"/>
      <sheetData sheetId="6" refreshError="1">
        <row r="751">
          <cell r="D751">
            <v>2068</v>
          </cell>
        </row>
        <row r="752">
          <cell r="D752">
            <v>2628</v>
          </cell>
        </row>
        <row r="753">
          <cell r="D753">
            <v>2103</v>
          </cell>
        </row>
        <row r="754">
          <cell r="D754">
            <v>5291</v>
          </cell>
        </row>
        <row r="755">
          <cell r="D755">
            <v>1850</v>
          </cell>
        </row>
        <row r="756">
          <cell r="D756">
            <v>1850</v>
          </cell>
        </row>
        <row r="762">
          <cell r="D762">
            <v>2103</v>
          </cell>
        </row>
      </sheetData>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row r="3">
          <cell r="I3" t="str">
            <v>PRKO ALAT MUSIK TRAD</v>
          </cell>
        </row>
        <row r="5">
          <cell r="I5">
            <v>30000</v>
          </cell>
        </row>
      </sheetData>
      <sheetData sheetId="5" refreshError="1"/>
      <sheetData sheetId="6" refreshError="1"/>
      <sheetData sheetId="7" refreshError="1">
        <row r="2">
          <cell r="GV2" t="str">
            <v>SHP ALAT MUSIK TRAD</v>
          </cell>
        </row>
        <row r="4">
          <cell r="GV4">
            <v>37500</v>
          </cell>
        </row>
      </sheetData>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row r="3">
          <cell r="L3" t="str">
            <v>PRKO PMI</v>
          </cell>
        </row>
        <row r="5">
          <cell r="L5">
            <v>6000</v>
          </cell>
        </row>
      </sheetData>
      <sheetData sheetId="5" refreshError="1">
        <row r="3">
          <cell r="FE3" t="str">
            <v>SS PEDULI LINGK</v>
          </cell>
        </row>
        <row r="5">
          <cell r="FE5">
            <v>5000</v>
          </cell>
          <cell r="FF5">
            <v>10000</v>
          </cell>
          <cell r="FG5">
            <v>10000</v>
          </cell>
        </row>
      </sheetData>
      <sheetData sheetId="6" refreshError="1"/>
      <sheetData sheetId="7" refreshError="1">
        <row r="2">
          <cell r="GX2" t="str">
            <v>SHP PEDULI LINGK</v>
          </cell>
        </row>
        <row r="4">
          <cell r="GX4">
            <v>7500</v>
          </cell>
          <cell r="GY4">
            <v>7500</v>
          </cell>
          <cell r="GZ4">
            <v>12500</v>
          </cell>
          <cell r="HA4">
            <v>5000</v>
          </cell>
          <cell r="HB4">
            <v>10000</v>
          </cell>
          <cell r="HC4">
            <v>8500</v>
          </cell>
        </row>
      </sheetData>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row r="3">
          <cell r="FC3" t="str">
            <v>SS TAHUN ULAR 2564</v>
          </cell>
        </row>
        <row r="5">
          <cell r="FA5">
            <v>5000</v>
          </cell>
        </row>
      </sheetData>
      <sheetData sheetId="5" refreshError="1"/>
      <sheetData sheetId="6" refreshError="1">
        <row r="2">
          <cell r="GQ2" t="str">
            <v>SHP SHIO ULAR</v>
          </cell>
        </row>
        <row r="4">
          <cell r="GQ4">
            <v>17500</v>
          </cell>
        </row>
      </sheetData>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row r="3">
          <cell r="FH3" t="str">
            <v>SS THAILAND</v>
          </cell>
        </row>
        <row r="5">
          <cell r="FH5">
            <v>10000</v>
          </cell>
        </row>
      </sheetData>
      <sheetData sheetId="6" refreshError="1"/>
      <sheetData sheetId="7" refreshError="1"/>
      <sheetData sheetId="8" refreshError="1"/>
      <sheetData sheetId="9" refreshError="1"/>
      <sheetData sheetId="10" refreshError="1">
        <row r="3">
          <cell r="AY3" t="str">
            <v>PRISMA BINGKAI BENDERA</v>
          </cell>
        </row>
        <row r="5">
          <cell r="AY5">
            <v>28000</v>
          </cell>
          <cell r="AZ5">
            <v>28000</v>
          </cell>
        </row>
      </sheetData>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sheetData sheetId="6" refreshError="1">
        <row r="4">
          <cell r="FV4">
            <v>5000</v>
          </cell>
          <cell r="FX4">
            <v>7000</v>
          </cell>
          <cell r="GF4">
            <v>12000</v>
          </cell>
        </row>
      </sheetData>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sheetData sheetId="6" refreshError="1">
        <row r="2">
          <cell r="HL2" t="str">
            <v>SHP JATI DIRI BANGSA</v>
          </cell>
          <cell r="HM2" t="str">
            <v>SP 266 POS</v>
          </cell>
        </row>
        <row r="4">
          <cell r="GG4">
            <v>7000</v>
          </cell>
          <cell r="GH4">
            <v>7000</v>
          </cell>
          <cell r="HL4">
            <v>9500</v>
          </cell>
          <cell r="HM4">
            <v>5000</v>
          </cell>
        </row>
      </sheetData>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GW2" t="str">
            <v>SHP JIS INA-MEXICO</v>
          </cell>
        </row>
        <row r="4">
          <cell r="GW4">
            <v>18500</v>
          </cell>
        </row>
      </sheetData>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T353"/>
  <sheetViews>
    <sheetView topLeftCell="A321" workbookViewId="0">
      <selection activeCell="E315" sqref="E315"/>
    </sheetView>
  </sheetViews>
  <sheetFormatPr defaultColWidth="9.140625" defaultRowHeight="15" x14ac:dyDescent="0.25"/>
  <cols>
    <col min="1" max="1" width="4.5703125" style="40" customWidth="1"/>
    <col min="2" max="2" width="25.85546875" style="40" customWidth="1"/>
    <col min="3" max="3" width="8.5703125" style="40" bestFit="1" customWidth="1"/>
    <col min="4" max="4" width="12.5703125" style="40" bestFit="1" customWidth="1"/>
    <col min="5" max="5" width="13.5703125" style="40" bestFit="1" customWidth="1"/>
    <col min="6" max="6" width="12.140625" style="40" bestFit="1" customWidth="1"/>
    <col min="7" max="7" width="11.85546875" style="40" customWidth="1"/>
    <col min="8" max="8" width="12.5703125" style="40" bestFit="1" customWidth="1"/>
    <col min="9" max="9" width="13.28515625" style="40" bestFit="1" customWidth="1"/>
    <col min="10" max="12" width="18" style="40" customWidth="1"/>
    <col min="13" max="13" width="9.5703125" style="40" bestFit="1" customWidth="1"/>
    <col min="14" max="14" width="9.140625" style="40"/>
    <col min="15" max="15" width="10.42578125" style="40" bestFit="1" customWidth="1"/>
    <col min="16" max="16" width="9.5703125" style="40" bestFit="1" customWidth="1"/>
    <col min="17" max="16384" width="9.140625" style="40"/>
  </cols>
  <sheetData>
    <row r="2" spans="1:12" ht="15.75" thickBot="1" x14ac:dyDescent="0.3">
      <c r="A2" s="88" t="s">
        <v>651</v>
      </c>
      <c r="G2" s="150" t="s">
        <v>1237</v>
      </c>
    </row>
    <row r="3" spans="1:12" ht="15.75" thickBot="1" x14ac:dyDescent="0.3">
      <c r="A3" s="431" t="s">
        <v>653</v>
      </c>
      <c r="B3" s="428" t="s">
        <v>0</v>
      </c>
      <c r="C3" s="428" t="s">
        <v>1</v>
      </c>
      <c r="D3" s="429" t="s">
        <v>645</v>
      </c>
      <c r="E3" s="430" t="s">
        <v>19</v>
      </c>
      <c r="F3" s="430"/>
      <c r="G3" s="430"/>
      <c r="H3" s="430"/>
      <c r="I3" s="430"/>
      <c r="J3" s="424" t="s">
        <v>20</v>
      </c>
      <c r="K3" s="426" t="s">
        <v>598</v>
      </c>
      <c r="L3" s="213"/>
    </row>
    <row r="4" spans="1:12" ht="15.75" thickBot="1" x14ac:dyDescent="0.3">
      <c r="A4" s="432"/>
      <c r="B4" s="428"/>
      <c r="C4" s="428"/>
      <c r="D4" s="429"/>
      <c r="E4" s="54" t="s">
        <v>21</v>
      </c>
      <c r="F4" s="54" t="s">
        <v>596</v>
      </c>
      <c r="G4" s="54" t="s">
        <v>597</v>
      </c>
      <c r="H4" s="54" t="s">
        <v>585</v>
      </c>
      <c r="I4" s="54" t="s">
        <v>597</v>
      </c>
      <c r="J4" s="425"/>
      <c r="K4" s="427"/>
      <c r="L4" s="213"/>
    </row>
    <row r="5" spans="1:12" ht="15.75" thickBot="1" x14ac:dyDescent="0.3">
      <c r="A5" s="433"/>
      <c r="B5" s="55">
        <v>1</v>
      </c>
      <c r="C5" s="55">
        <v>2</v>
      </c>
      <c r="D5" s="55">
        <v>3</v>
      </c>
      <c r="E5" s="56">
        <v>4</v>
      </c>
      <c r="F5" s="56">
        <f>+E5+1</f>
        <v>5</v>
      </c>
      <c r="G5" s="56" t="s">
        <v>648</v>
      </c>
      <c r="H5" s="56">
        <v>7</v>
      </c>
      <c r="I5" s="57" t="s">
        <v>647</v>
      </c>
      <c r="J5" s="33" t="s">
        <v>646</v>
      </c>
      <c r="K5" s="33" t="s">
        <v>649</v>
      </c>
      <c r="L5" s="214"/>
    </row>
    <row r="6" spans="1:12" x14ac:dyDescent="0.25">
      <c r="B6" s="58" t="s">
        <v>652</v>
      </c>
      <c r="C6" s="59"/>
      <c r="D6" s="60"/>
      <c r="E6" s="42"/>
      <c r="F6" s="42"/>
      <c r="G6" s="42"/>
      <c r="H6" s="42"/>
      <c r="I6" s="42"/>
      <c r="J6" s="42"/>
      <c r="K6" s="42"/>
      <c r="L6" s="114"/>
    </row>
    <row r="7" spans="1:12" x14ac:dyDescent="0.25">
      <c r="A7" s="89">
        <v>1</v>
      </c>
      <c r="B7" s="61" t="s">
        <v>2</v>
      </c>
      <c r="C7" s="62">
        <v>1500</v>
      </c>
      <c r="D7" s="63">
        <v>90.24</v>
      </c>
      <c r="E7" s="62"/>
      <c r="F7" s="43"/>
      <c r="G7" s="44">
        <f t="shared" ref="G7:G43" si="0">+E7+F7</f>
        <v>0</v>
      </c>
      <c r="H7" s="43"/>
      <c r="I7" s="44">
        <f t="shared" ref="I7:I43" si="1">+G7-H7</f>
        <v>0</v>
      </c>
      <c r="J7" s="44">
        <f t="shared" ref="J7:J43" si="2">I7*C7</f>
        <v>0</v>
      </c>
      <c r="K7" s="45">
        <f t="shared" ref="K7:K43" si="3">+D7*I7</f>
        <v>0</v>
      </c>
      <c r="L7" s="215"/>
    </row>
    <row r="8" spans="1:12" x14ac:dyDescent="0.25">
      <c r="A8" s="89">
        <v>2</v>
      </c>
      <c r="B8" s="61" t="s">
        <v>3</v>
      </c>
      <c r="C8" s="62">
        <v>1000</v>
      </c>
      <c r="D8" s="63">
        <v>168.13</v>
      </c>
      <c r="E8" s="62"/>
      <c r="F8" s="43"/>
      <c r="G8" s="44">
        <f t="shared" si="0"/>
        <v>0</v>
      </c>
      <c r="H8" s="43"/>
      <c r="I8" s="44">
        <f t="shared" si="1"/>
        <v>0</v>
      </c>
      <c r="J8" s="44">
        <f t="shared" si="2"/>
        <v>0</v>
      </c>
      <c r="K8" s="45">
        <f t="shared" si="3"/>
        <v>0</v>
      </c>
      <c r="L8" s="215"/>
    </row>
    <row r="9" spans="1:12" x14ac:dyDescent="0.25">
      <c r="A9" s="89">
        <v>3</v>
      </c>
      <c r="B9" s="61" t="s">
        <v>3</v>
      </c>
      <c r="C9" s="62">
        <v>1500</v>
      </c>
      <c r="D9" s="63">
        <v>168.13</v>
      </c>
      <c r="E9" s="62"/>
      <c r="F9" s="43"/>
      <c r="G9" s="44">
        <f t="shared" si="0"/>
        <v>0</v>
      </c>
      <c r="H9" s="43"/>
      <c r="I9" s="44">
        <f t="shared" si="1"/>
        <v>0</v>
      </c>
      <c r="J9" s="44">
        <f t="shared" si="2"/>
        <v>0</v>
      </c>
      <c r="K9" s="45">
        <f t="shared" si="3"/>
        <v>0</v>
      </c>
      <c r="L9" s="215"/>
    </row>
    <row r="10" spans="1:12" x14ac:dyDescent="0.25">
      <c r="A10" s="89">
        <v>4</v>
      </c>
      <c r="B10" s="61" t="s">
        <v>3</v>
      </c>
      <c r="C10" s="62">
        <v>2500</v>
      </c>
      <c r="D10" s="63">
        <v>168.13</v>
      </c>
      <c r="E10" s="62"/>
      <c r="F10" s="43"/>
      <c r="G10" s="44">
        <f t="shared" si="0"/>
        <v>0</v>
      </c>
      <c r="H10" s="43"/>
      <c r="I10" s="44">
        <f t="shared" si="1"/>
        <v>0</v>
      </c>
      <c r="J10" s="44">
        <f t="shared" si="2"/>
        <v>0</v>
      </c>
      <c r="K10" s="45">
        <f t="shared" si="3"/>
        <v>0</v>
      </c>
      <c r="L10" s="215"/>
    </row>
    <row r="11" spans="1:12" x14ac:dyDescent="0.25">
      <c r="A11" s="89">
        <v>5</v>
      </c>
      <c r="B11" s="61" t="s">
        <v>4</v>
      </c>
      <c r="C11" s="62">
        <v>1000</v>
      </c>
      <c r="D11" s="63">
        <v>176.52</v>
      </c>
      <c r="E11" s="62"/>
      <c r="F11" s="43"/>
      <c r="G11" s="44">
        <f t="shared" si="0"/>
        <v>0</v>
      </c>
      <c r="H11" s="43"/>
      <c r="I11" s="44">
        <f t="shared" si="1"/>
        <v>0</v>
      </c>
      <c r="J11" s="44">
        <f t="shared" si="2"/>
        <v>0</v>
      </c>
      <c r="K11" s="45">
        <f t="shared" si="3"/>
        <v>0</v>
      </c>
      <c r="L11" s="215"/>
    </row>
    <row r="12" spans="1:12" x14ac:dyDescent="0.25">
      <c r="A12" s="89">
        <v>6</v>
      </c>
      <c r="B12" s="61" t="s">
        <v>4</v>
      </c>
      <c r="C12" s="62">
        <v>1000</v>
      </c>
      <c r="D12" s="63">
        <v>176.52</v>
      </c>
      <c r="E12" s="62"/>
      <c r="F12" s="43"/>
      <c r="G12" s="44">
        <f t="shared" si="0"/>
        <v>0</v>
      </c>
      <c r="H12" s="43"/>
      <c r="I12" s="44">
        <f t="shared" si="1"/>
        <v>0</v>
      </c>
      <c r="J12" s="44">
        <f t="shared" si="2"/>
        <v>0</v>
      </c>
      <c r="K12" s="45">
        <f t="shared" si="3"/>
        <v>0</v>
      </c>
      <c r="L12" s="215"/>
    </row>
    <row r="13" spans="1:12" x14ac:dyDescent="0.25">
      <c r="A13" s="89">
        <v>7</v>
      </c>
      <c r="B13" s="61" t="s">
        <v>4</v>
      </c>
      <c r="C13" s="62">
        <v>1000</v>
      </c>
      <c r="D13" s="63">
        <v>176.52</v>
      </c>
      <c r="E13" s="62"/>
      <c r="F13" s="43"/>
      <c r="G13" s="44">
        <f t="shared" si="0"/>
        <v>0</v>
      </c>
      <c r="H13" s="43"/>
      <c r="I13" s="44">
        <f t="shared" si="1"/>
        <v>0</v>
      </c>
      <c r="J13" s="44">
        <f t="shared" si="2"/>
        <v>0</v>
      </c>
      <c r="K13" s="45">
        <f t="shared" si="3"/>
        <v>0</v>
      </c>
      <c r="L13" s="215"/>
    </row>
    <row r="14" spans="1:12" x14ac:dyDescent="0.25">
      <c r="A14" s="89">
        <v>8</v>
      </c>
      <c r="B14" s="61" t="s">
        <v>4</v>
      </c>
      <c r="C14" s="62">
        <v>500</v>
      </c>
      <c r="D14" s="63">
        <v>176.52</v>
      </c>
      <c r="E14" s="62"/>
      <c r="F14" s="43"/>
      <c r="G14" s="44">
        <f t="shared" si="0"/>
        <v>0</v>
      </c>
      <c r="H14" s="43"/>
      <c r="I14" s="44">
        <f t="shared" si="1"/>
        <v>0</v>
      </c>
      <c r="J14" s="44">
        <f t="shared" si="2"/>
        <v>0</v>
      </c>
      <c r="K14" s="45">
        <f t="shared" si="3"/>
        <v>0</v>
      </c>
      <c r="L14" s="215"/>
    </row>
    <row r="15" spans="1:12" x14ac:dyDescent="0.25">
      <c r="A15" s="89">
        <v>9</v>
      </c>
      <c r="B15" s="61" t="s">
        <v>4</v>
      </c>
      <c r="C15" s="62">
        <v>2000</v>
      </c>
      <c r="D15" s="63">
        <v>176.52</v>
      </c>
      <c r="E15" s="62"/>
      <c r="F15" s="43"/>
      <c r="G15" s="44">
        <f t="shared" si="0"/>
        <v>0</v>
      </c>
      <c r="H15" s="43"/>
      <c r="I15" s="44">
        <f t="shared" si="1"/>
        <v>0</v>
      </c>
      <c r="J15" s="44">
        <f t="shared" si="2"/>
        <v>0</v>
      </c>
      <c r="K15" s="45">
        <f t="shared" si="3"/>
        <v>0</v>
      </c>
      <c r="L15" s="215"/>
    </row>
    <row r="16" spans="1:12" x14ac:dyDescent="0.25">
      <c r="A16" s="89">
        <v>10</v>
      </c>
      <c r="B16" s="61" t="s">
        <v>5</v>
      </c>
      <c r="C16" s="62">
        <v>1000</v>
      </c>
      <c r="D16" s="63">
        <v>217.35</v>
      </c>
      <c r="E16" s="62"/>
      <c r="F16" s="43"/>
      <c r="G16" s="44">
        <f t="shared" si="0"/>
        <v>0</v>
      </c>
      <c r="H16" s="43"/>
      <c r="I16" s="44">
        <f t="shared" si="1"/>
        <v>0</v>
      </c>
      <c r="J16" s="44">
        <f t="shared" si="2"/>
        <v>0</v>
      </c>
      <c r="K16" s="45">
        <f t="shared" si="3"/>
        <v>0</v>
      </c>
      <c r="L16" s="215"/>
    </row>
    <row r="17" spans="1:12" x14ac:dyDescent="0.25">
      <c r="A17" s="89">
        <v>11</v>
      </c>
      <c r="B17" s="61" t="s">
        <v>5</v>
      </c>
      <c r="C17" s="62">
        <v>1500</v>
      </c>
      <c r="D17" s="63">
        <v>217.35</v>
      </c>
      <c r="E17" s="62"/>
      <c r="F17" s="43"/>
      <c r="G17" s="44">
        <f t="shared" si="0"/>
        <v>0</v>
      </c>
      <c r="H17" s="43"/>
      <c r="I17" s="44">
        <f t="shared" si="1"/>
        <v>0</v>
      </c>
      <c r="J17" s="44">
        <f t="shared" si="2"/>
        <v>0</v>
      </c>
      <c r="K17" s="45">
        <f t="shared" si="3"/>
        <v>0</v>
      </c>
      <c r="L17" s="215"/>
    </row>
    <row r="18" spans="1:12" x14ac:dyDescent="0.25">
      <c r="A18" s="89">
        <v>12</v>
      </c>
      <c r="B18" s="61" t="s">
        <v>6</v>
      </c>
      <c r="C18" s="62">
        <v>1000</v>
      </c>
      <c r="D18" s="63">
        <v>147.94999999999999</v>
      </c>
      <c r="E18" s="62"/>
      <c r="F18" s="43"/>
      <c r="G18" s="44">
        <f t="shared" si="0"/>
        <v>0</v>
      </c>
      <c r="H18" s="43"/>
      <c r="I18" s="44">
        <f t="shared" si="1"/>
        <v>0</v>
      </c>
      <c r="J18" s="44">
        <f t="shared" si="2"/>
        <v>0</v>
      </c>
      <c r="K18" s="45">
        <f t="shared" si="3"/>
        <v>0</v>
      </c>
      <c r="L18" s="215"/>
    </row>
    <row r="19" spans="1:12" x14ac:dyDescent="0.25">
      <c r="A19" s="89">
        <v>13</v>
      </c>
      <c r="B19" s="61" t="s">
        <v>6</v>
      </c>
      <c r="C19" s="62">
        <v>1500</v>
      </c>
      <c r="D19" s="63">
        <v>147.94999999999999</v>
      </c>
      <c r="E19" s="43"/>
      <c r="F19" s="43"/>
      <c r="G19" s="44">
        <f t="shared" si="0"/>
        <v>0</v>
      </c>
      <c r="H19" s="43"/>
      <c r="I19" s="44">
        <f t="shared" si="1"/>
        <v>0</v>
      </c>
      <c r="J19" s="44">
        <f t="shared" si="2"/>
        <v>0</v>
      </c>
      <c r="K19" s="45">
        <f t="shared" si="3"/>
        <v>0</v>
      </c>
      <c r="L19" s="215"/>
    </row>
    <row r="20" spans="1:12" x14ac:dyDescent="0.25">
      <c r="A20" s="89">
        <v>14</v>
      </c>
      <c r="B20" s="61" t="s">
        <v>7</v>
      </c>
      <c r="C20" s="62">
        <v>1500</v>
      </c>
      <c r="D20" s="63">
        <v>75.66</v>
      </c>
      <c r="E20" s="43"/>
      <c r="F20" s="43"/>
      <c r="G20" s="44">
        <f t="shared" si="0"/>
        <v>0</v>
      </c>
      <c r="H20" s="43"/>
      <c r="I20" s="44">
        <f t="shared" si="1"/>
        <v>0</v>
      </c>
      <c r="J20" s="44">
        <f t="shared" si="2"/>
        <v>0</v>
      </c>
      <c r="K20" s="45">
        <f t="shared" si="3"/>
        <v>0</v>
      </c>
      <c r="L20" s="215"/>
    </row>
    <row r="21" spans="1:12" x14ac:dyDescent="0.25">
      <c r="A21" s="89">
        <v>15</v>
      </c>
      <c r="B21" s="61" t="s">
        <v>8</v>
      </c>
      <c r="C21" s="62">
        <v>1500</v>
      </c>
      <c r="D21" s="63">
        <v>124.97</v>
      </c>
      <c r="E21" s="43"/>
      <c r="F21" s="43"/>
      <c r="G21" s="44">
        <f t="shared" si="0"/>
        <v>0</v>
      </c>
      <c r="H21" s="43"/>
      <c r="I21" s="44">
        <f t="shared" si="1"/>
        <v>0</v>
      </c>
      <c r="J21" s="44">
        <f t="shared" si="2"/>
        <v>0</v>
      </c>
      <c r="K21" s="45">
        <f t="shared" si="3"/>
        <v>0</v>
      </c>
      <c r="L21" s="215"/>
    </row>
    <row r="22" spans="1:12" x14ac:dyDescent="0.25">
      <c r="A22" s="89">
        <v>16</v>
      </c>
      <c r="B22" s="61" t="s">
        <v>9</v>
      </c>
      <c r="C22" s="62">
        <v>2000</v>
      </c>
      <c r="D22" s="63">
        <f>221.1/4</f>
        <v>55.274999999999999</v>
      </c>
      <c r="E22" s="43"/>
      <c r="F22" s="43"/>
      <c r="G22" s="44">
        <f t="shared" si="0"/>
        <v>0</v>
      </c>
      <c r="H22" s="43"/>
      <c r="I22" s="44">
        <f t="shared" si="1"/>
        <v>0</v>
      </c>
      <c r="J22" s="44">
        <f t="shared" si="2"/>
        <v>0</v>
      </c>
      <c r="K22" s="45">
        <f t="shared" si="3"/>
        <v>0</v>
      </c>
      <c r="L22" s="215"/>
    </row>
    <row r="23" spans="1:12" x14ac:dyDescent="0.25">
      <c r="A23" s="89">
        <v>17</v>
      </c>
      <c r="B23" s="61" t="s">
        <v>10</v>
      </c>
      <c r="C23" s="62">
        <v>1000</v>
      </c>
      <c r="D23" s="63">
        <v>89.38</v>
      </c>
      <c r="E23" s="43"/>
      <c r="F23" s="43"/>
      <c r="G23" s="44">
        <f t="shared" si="0"/>
        <v>0</v>
      </c>
      <c r="H23" s="43"/>
      <c r="I23" s="44">
        <f t="shared" si="1"/>
        <v>0</v>
      </c>
      <c r="J23" s="44">
        <f t="shared" si="2"/>
        <v>0</v>
      </c>
      <c r="K23" s="45">
        <f t="shared" si="3"/>
        <v>0</v>
      </c>
      <c r="L23" s="215"/>
    </row>
    <row r="24" spans="1:12" x14ac:dyDescent="0.25">
      <c r="A24" s="89">
        <v>18</v>
      </c>
      <c r="B24" s="61" t="s">
        <v>10</v>
      </c>
      <c r="C24" s="62">
        <v>1500</v>
      </c>
      <c r="D24" s="63">
        <v>89.38</v>
      </c>
      <c r="E24" s="43"/>
      <c r="F24" s="43"/>
      <c r="G24" s="44">
        <f t="shared" si="0"/>
        <v>0</v>
      </c>
      <c r="H24" s="43"/>
      <c r="I24" s="44">
        <f t="shared" si="1"/>
        <v>0</v>
      </c>
      <c r="J24" s="44">
        <f t="shared" si="2"/>
        <v>0</v>
      </c>
      <c r="K24" s="45">
        <f t="shared" si="3"/>
        <v>0</v>
      </c>
      <c r="L24" s="215"/>
    </row>
    <row r="25" spans="1:12" x14ac:dyDescent="0.25">
      <c r="A25" s="89">
        <v>19</v>
      </c>
      <c r="B25" s="61" t="s">
        <v>11</v>
      </c>
      <c r="C25" s="62">
        <v>1500</v>
      </c>
      <c r="D25" s="63">
        <v>170.67</v>
      </c>
      <c r="E25" s="43"/>
      <c r="F25" s="43"/>
      <c r="G25" s="44">
        <f t="shared" si="0"/>
        <v>0</v>
      </c>
      <c r="H25" s="43"/>
      <c r="I25" s="44">
        <f t="shared" si="1"/>
        <v>0</v>
      </c>
      <c r="J25" s="44">
        <f t="shared" si="2"/>
        <v>0</v>
      </c>
      <c r="K25" s="45">
        <f t="shared" si="3"/>
        <v>0</v>
      </c>
      <c r="L25" s="215"/>
    </row>
    <row r="26" spans="1:12" x14ac:dyDescent="0.25">
      <c r="A26" s="89">
        <v>20</v>
      </c>
      <c r="B26" s="61" t="s">
        <v>12</v>
      </c>
      <c r="C26" s="62">
        <v>1000</v>
      </c>
      <c r="D26" s="63">
        <v>89.58</v>
      </c>
      <c r="E26" s="43"/>
      <c r="F26" s="43"/>
      <c r="G26" s="44">
        <f t="shared" si="0"/>
        <v>0</v>
      </c>
      <c r="H26" s="43"/>
      <c r="I26" s="44">
        <f t="shared" si="1"/>
        <v>0</v>
      </c>
      <c r="J26" s="44">
        <f t="shared" si="2"/>
        <v>0</v>
      </c>
      <c r="K26" s="45">
        <f t="shared" si="3"/>
        <v>0</v>
      </c>
      <c r="L26" s="215"/>
    </row>
    <row r="27" spans="1:12" x14ac:dyDescent="0.25">
      <c r="A27" s="89">
        <v>21</v>
      </c>
      <c r="B27" s="61" t="s">
        <v>12</v>
      </c>
      <c r="C27" s="62">
        <v>1500</v>
      </c>
      <c r="D27" s="63">
        <v>89.58</v>
      </c>
      <c r="E27" s="43"/>
      <c r="F27" s="43"/>
      <c r="G27" s="44">
        <f t="shared" si="0"/>
        <v>0</v>
      </c>
      <c r="H27" s="43"/>
      <c r="I27" s="44">
        <f t="shared" si="1"/>
        <v>0</v>
      </c>
      <c r="J27" s="44">
        <f t="shared" si="2"/>
        <v>0</v>
      </c>
      <c r="K27" s="45">
        <f t="shared" si="3"/>
        <v>0</v>
      </c>
      <c r="L27" s="215"/>
    </row>
    <row r="28" spans="1:12" x14ac:dyDescent="0.25">
      <c r="A28" s="89">
        <v>22</v>
      </c>
      <c r="B28" s="61" t="s">
        <v>13</v>
      </c>
      <c r="C28" s="62">
        <v>300</v>
      </c>
      <c r="D28" s="63">
        <v>26.22</v>
      </c>
      <c r="E28" s="43"/>
      <c r="F28" s="43"/>
      <c r="G28" s="44">
        <f t="shared" si="0"/>
        <v>0</v>
      </c>
      <c r="H28" s="43"/>
      <c r="I28" s="44">
        <f t="shared" si="1"/>
        <v>0</v>
      </c>
      <c r="J28" s="44">
        <f t="shared" si="2"/>
        <v>0</v>
      </c>
      <c r="K28" s="45">
        <f t="shared" si="3"/>
        <v>0</v>
      </c>
      <c r="L28" s="215"/>
    </row>
    <row r="29" spans="1:12" x14ac:dyDescent="0.25">
      <c r="A29" s="89">
        <v>23</v>
      </c>
      <c r="B29" s="61" t="s">
        <v>14</v>
      </c>
      <c r="C29" s="62">
        <v>500</v>
      </c>
      <c r="D29" s="63">
        <v>26.22</v>
      </c>
      <c r="E29" s="43"/>
      <c r="F29" s="43"/>
      <c r="G29" s="44">
        <f t="shared" si="0"/>
        <v>0</v>
      </c>
      <c r="H29" s="43"/>
      <c r="I29" s="44">
        <f t="shared" si="1"/>
        <v>0</v>
      </c>
      <c r="J29" s="44">
        <f t="shared" si="2"/>
        <v>0</v>
      </c>
      <c r="K29" s="45">
        <f t="shared" si="3"/>
        <v>0</v>
      </c>
      <c r="L29" s="215"/>
    </row>
    <row r="30" spans="1:12" x14ac:dyDescent="0.25">
      <c r="A30" s="89">
        <v>24</v>
      </c>
      <c r="B30" s="61" t="s">
        <v>15</v>
      </c>
      <c r="C30" s="62">
        <v>1500</v>
      </c>
      <c r="D30" s="63">
        <v>26.22</v>
      </c>
      <c r="E30" s="43"/>
      <c r="F30" s="43"/>
      <c r="G30" s="44">
        <f t="shared" si="0"/>
        <v>0</v>
      </c>
      <c r="H30" s="43"/>
      <c r="I30" s="44">
        <f t="shared" si="1"/>
        <v>0</v>
      </c>
      <c r="J30" s="44">
        <f t="shared" si="2"/>
        <v>0</v>
      </c>
      <c r="K30" s="45">
        <f t="shared" si="3"/>
        <v>0</v>
      </c>
      <c r="L30" s="215"/>
    </row>
    <row r="31" spans="1:12" x14ac:dyDescent="0.25">
      <c r="A31" s="89">
        <v>25</v>
      </c>
      <c r="B31" s="61" t="s">
        <v>16</v>
      </c>
      <c r="C31" s="62">
        <v>3000</v>
      </c>
      <c r="D31" s="63">
        <v>26.22</v>
      </c>
      <c r="E31" s="43"/>
      <c r="F31" s="43"/>
      <c r="G31" s="44">
        <f t="shared" si="0"/>
        <v>0</v>
      </c>
      <c r="H31" s="43"/>
      <c r="I31" s="44">
        <f t="shared" si="1"/>
        <v>0</v>
      </c>
      <c r="J31" s="44">
        <f t="shared" si="2"/>
        <v>0</v>
      </c>
      <c r="K31" s="45">
        <f t="shared" si="3"/>
        <v>0</v>
      </c>
      <c r="L31" s="215"/>
    </row>
    <row r="32" spans="1:12" x14ac:dyDescent="0.25">
      <c r="A32" s="89">
        <v>26</v>
      </c>
      <c r="B32" s="61" t="s">
        <v>17</v>
      </c>
      <c r="C32" s="62">
        <v>3000</v>
      </c>
      <c r="D32" s="63">
        <v>1336.5</v>
      </c>
      <c r="E32" s="43">
        <v>0</v>
      </c>
      <c r="F32" s="43"/>
      <c r="G32" s="44">
        <f t="shared" si="0"/>
        <v>0</v>
      </c>
      <c r="H32" s="43">
        <f t="shared" ref="H32:H37" si="4">1338-1338</f>
        <v>0</v>
      </c>
      <c r="I32" s="44">
        <f t="shared" si="1"/>
        <v>0</v>
      </c>
      <c r="J32" s="44">
        <f t="shared" si="2"/>
        <v>0</v>
      </c>
      <c r="K32" s="45">
        <f t="shared" si="3"/>
        <v>0</v>
      </c>
      <c r="L32" s="227" t="s">
        <v>996</v>
      </c>
    </row>
    <row r="33" spans="1:12" x14ac:dyDescent="0.25">
      <c r="A33" s="89">
        <v>27</v>
      </c>
      <c r="B33" s="61" t="s">
        <v>17</v>
      </c>
      <c r="C33" s="62">
        <v>5000</v>
      </c>
      <c r="D33" s="63">
        <v>1336.5</v>
      </c>
      <c r="E33" s="43">
        <v>0</v>
      </c>
      <c r="F33" s="43"/>
      <c r="G33" s="44">
        <f t="shared" si="0"/>
        <v>0</v>
      </c>
      <c r="H33" s="43">
        <f t="shared" si="4"/>
        <v>0</v>
      </c>
      <c r="I33" s="44">
        <f t="shared" si="1"/>
        <v>0</v>
      </c>
      <c r="J33" s="44">
        <f t="shared" si="2"/>
        <v>0</v>
      </c>
      <c r="K33" s="45">
        <f t="shared" si="3"/>
        <v>0</v>
      </c>
      <c r="L33" s="227" t="s">
        <v>996</v>
      </c>
    </row>
    <row r="34" spans="1:12" x14ac:dyDescent="0.25">
      <c r="A34" s="89">
        <v>28</v>
      </c>
      <c r="B34" s="61" t="s">
        <v>17</v>
      </c>
      <c r="C34" s="62">
        <v>10000</v>
      </c>
      <c r="D34" s="63">
        <v>1336.5</v>
      </c>
      <c r="E34" s="43">
        <v>0</v>
      </c>
      <c r="F34" s="43"/>
      <c r="G34" s="44">
        <f t="shared" si="0"/>
        <v>0</v>
      </c>
      <c r="H34" s="43">
        <f t="shared" si="4"/>
        <v>0</v>
      </c>
      <c r="I34" s="44">
        <f t="shared" si="1"/>
        <v>0</v>
      </c>
      <c r="J34" s="44">
        <f t="shared" si="2"/>
        <v>0</v>
      </c>
      <c r="K34" s="45">
        <f t="shared" si="3"/>
        <v>0</v>
      </c>
      <c r="L34" s="227" t="s">
        <v>996</v>
      </c>
    </row>
    <row r="35" spans="1:12" x14ac:dyDescent="0.25">
      <c r="A35" s="89">
        <v>29</v>
      </c>
      <c r="B35" s="61" t="s">
        <v>17</v>
      </c>
      <c r="C35" s="62">
        <v>20000</v>
      </c>
      <c r="D35" s="63">
        <v>1336.5</v>
      </c>
      <c r="E35" s="43">
        <v>0</v>
      </c>
      <c r="F35" s="43"/>
      <c r="G35" s="44">
        <f t="shared" si="0"/>
        <v>0</v>
      </c>
      <c r="H35" s="43">
        <f t="shared" si="4"/>
        <v>0</v>
      </c>
      <c r="I35" s="44">
        <f t="shared" si="1"/>
        <v>0</v>
      </c>
      <c r="J35" s="44">
        <f t="shared" si="2"/>
        <v>0</v>
      </c>
      <c r="K35" s="45">
        <f t="shared" si="3"/>
        <v>0</v>
      </c>
      <c r="L35" s="227" t="s">
        <v>996</v>
      </c>
    </row>
    <row r="36" spans="1:12" x14ac:dyDescent="0.25">
      <c r="A36" s="89">
        <v>30</v>
      </c>
      <c r="B36" s="61" t="s">
        <v>17</v>
      </c>
      <c r="C36" s="62">
        <v>25000</v>
      </c>
      <c r="D36" s="63">
        <v>1336.5</v>
      </c>
      <c r="E36" s="43">
        <v>0</v>
      </c>
      <c r="F36" s="43"/>
      <c r="G36" s="44">
        <f t="shared" si="0"/>
        <v>0</v>
      </c>
      <c r="H36" s="43">
        <f t="shared" si="4"/>
        <v>0</v>
      </c>
      <c r="I36" s="44">
        <f t="shared" si="1"/>
        <v>0</v>
      </c>
      <c r="J36" s="44">
        <f t="shared" si="2"/>
        <v>0</v>
      </c>
      <c r="K36" s="45">
        <f t="shared" si="3"/>
        <v>0</v>
      </c>
      <c r="L36" s="227" t="s">
        <v>996</v>
      </c>
    </row>
    <row r="37" spans="1:12" x14ac:dyDescent="0.25">
      <c r="A37" s="89">
        <v>31</v>
      </c>
      <c r="B37" s="61" t="s">
        <v>17</v>
      </c>
      <c r="C37" s="62">
        <v>30000</v>
      </c>
      <c r="D37" s="63">
        <v>1336.5</v>
      </c>
      <c r="E37" s="43">
        <v>0</v>
      </c>
      <c r="F37" s="43"/>
      <c r="G37" s="44">
        <f t="shared" si="0"/>
        <v>0</v>
      </c>
      <c r="H37" s="43">
        <f t="shared" si="4"/>
        <v>0</v>
      </c>
      <c r="I37" s="44">
        <f t="shared" si="1"/>
        <v>0</v>
      </c>
      <c r="J37" s="44">
        <f t="shared" si="2"/>
        <v>0</v>
      </c>
      <c r="K37" s="45">
        <f t="shared" si="3"/>
        <v>0</v>
      </c>
      <c r="L37" s="227" t="s">
        <v>996</v>
      </c>
    </row>
    <row r="38" spans="1:12" x14ac:dyDescent="0.25">
      <c r="A38" s="89">
        <v>32</v>
      </c>
      <c r="B38" s="61" t="s">
        <v>18</v>
      </c>
      <c r="C38" s="62">
        <v>3000</v>
      </c>
      <c r="D38" s="63">
        <v>1336.5</v>
      </c>
      <c r="E38" s="43">
        <v>0</v>
      </c>
      <c r="F38" s="43"/>
      <c r="G38" s="44">
        <f t="shared" si="0"/>
        <v>0</v>
      </c>
      <c r="H38" s="43">
        <f>5341-5341</f>
        <v>0</v>
      </c>
      <c r="I38" s="44">
        <f t="shared" si="1"/>
        <v>0</v>
      </c>
      <c r="J38" s="44">
        <f t="shared" si="2"/>
        <v>0</v>
      </c>
      <c r="K38" s="45">
        <f t="shared" si="3"/>
        <v>0</v>
      </c>
      <c r="L38" s="227" t="s">
        <v>996</v>
      </c>
    </row>
    <row r="39" spans="1:12" x14ac:dyDescent="0.25">
      <c r="A39" s="89">
        <v>33</v>
      </c>
      <c r="B39" s="61" t="s">
        <v>18</v>
      </c>
      <c r="C39" s="62">
        <v>5000</v>
      </c>
      <c r="D39" s="63">
        <v>1336.5</v>
      </c>
      <c r="E39" s="43">
        <v>0</v>
      </c>
      <c r="F39" s="43"/>
      <c r="G39" s="44">
        <f t="shared" si="0"/>
        <v>0</v>
      </c>
      <c r="H39" s="43">
        <f>5341-5341</f>
        <v>0</v>
      </c>
      <c r="I39" s="44">
        <f t="shared" si="1"/>
        <v>0</v>
      </c>
      <c r="J39" s="44">
        <f t="shared" si="2"/>
        <v>0</v>
      </c>
      <c r="K39" s="45">
        <f t="shared" si="3"/>
        <v>0</v>
      </c>
      <c r="L39" s="227" t="s">
        <v>996</v>
      </c>
    </row>
    <row r="40" spans="1:12" x14ac:dyDescent="0.25">
      <c r="A40" s="89">
        <v>34</v>
      </c>
      <c r="B40" s="61" t="s">
        <v>18</v>
      </c>
      <c r="C40" s="62">
        <v>10000</v>
      </c>
      <c r="D40" s="63">
        <v>1336.5</v>
      </c>
      <c r="E40" s="43">
        <v>0</v>
      </c>
      <c r="F40" s="43"/>
      <c r="G40" s="44">
        <f t="shared" si="0"/>
        <v>0</v>
      </c>
      <c r="H40" s="43">
        <f>5341-5341</f>
        <v>0</v>
      </c>
      <c r="I40" s="44">
        <f t="shared" si="1"/>
        <v>0</v>
      </c>
      <c r="J40" s="44">
        <f t="shared" si="2"/>
        <v>0</v>
      </c>
      <c r="K40" s="45">
        <f t="shared" si="3"/>
        <v>0</v>
      </c>
      <c r="L40" s="227" t="s">
        <v>996</v>
      </c>
    </row>
    <row r="41" spans="1:12" x14ac:dyDescent="0.25">
      <c r="A41" s="89">
        <v>35</v>
      </c>
      <c r="B41" s="61" t="s">
        <v>18</v>
      </c>
      <c r="C41" s="62">
        <v>20000</v>
      </c>
      <c r="D41" s="63">
        <v>1336.5</v>
      </c>
      <c r="E41" s="43">
        <v>0</v>
      </c>
      <c r="F41" s="43"/>
      <c r="G41" s="44">
        <f t="shared" si="0"/>
        <v>0</v>
      </c>
      <c r="H41" s="43">
        <f>5341-5341</f>
        <v>0</v>
      </c>
      <c r="I41" s="44">
        <f t="shared" si="1"/>
        <v>0</v>
      </c>
      <c r="J41" s="44">
        <f t="shared" si="2"/>
        <v>0</v>
      </c>
      <c r="K41" s="45">
        <f t="shared" si="3"/>
        <v>0</v>
      </c>
      <c r="L41" s="227" t="s">
        <v>996</v>
      </c>
    </row>
    <row r="42" spans="1:12" x14ac:dyDescent="0.25">
      <c r="A42" s="89">
        <v>36</v>
      </c>
      <c r="B42" s="61" t="s">
        <v>18</v>
      </c>
      <c r="C42" s="62">
        <v>25000</v>
      </c>
      <c r="D42" s="63">
        <v>1336.5</v>
      </c>
      <c r="E42" s="43">
        <v>0</v>
      </c>
      <c r="F42" s="43"/>
      <c r="G42" s="44">
        <f t="shared" si="0"/>
        <v>0</v>
      </c>
      <c r="H42" s="43">
        <f>5341-5341</f>
        <v>0</v>
      </c>
      <c r="I42" s="44">
        <f t="shared" si="1"/>
        <v>0</v>
      </c>
      <c r="J42" s="44">
        <f t="shared" si="2"/>
        <v>0</v>
      </c>
      <c r="K42" s="45">
        <f t="shared" si="3"/>
        <v>0</v>
      </c>
      <c r="L42" s="227" t="s">
        <v>996</v>
      </c>
    </row>
    <row r="43" spans="1:12" ht="15.75" thickBot="1" x14ac:dyDescent="0.3">
      <c r="A43" s="89">
        <v>37</v>
      </c>
      <c r="B43" s="90" t="s">
        <v>18</v>
      </c>
      <c r="C43" s="91">
        <v>30000</v>
      </c>
      <c r="D43" s="92">
        <v>1336.5</v>
      </c>
      <c r="E43" s="93">
        <v>0</v>
      </c>
      <c r="F43" s="93"/>
      <c r="G43" s="94">
        <f t="shared" si="0"/>
        <v>0</v>
      </c>
      <c r="H43" s="93">
        <f>5337-5337</f>
        <v>0</v>
      </c>
      <c r="I43" s="94">
        <f t="shared" si="1"/>
        <v>0</v>
      </c>
      <c r="J43" s="94">
        <f t="shared" si="2"/>
        <v>0</v>
      </c>
      <c r="K43" s="95">
        <f t="shared" si="3"/>
        <v>0</v>
      </c>
      <c r="L43" s="227" t="s">
        <v>996</v>
      </c>
    </row>
    <row r="44" spans="1:12" ht="15.75" thickBot="1" x14ac:dyDescent="0.3">
      <c r="A44" s="64"/>
      <c r="B44" s="96" t="s">
        <v>654</v>
      </c>
      <c r="C44" s="97"/>
      <c r="D44" s="98"/>
      <c r="E44" s="99">
        <f t="shared" ref="E44:K44" si="5">SUM(E7:E43)</f>
        <v>0</v>
      </c>
      <c r="F44" s="99">
        <f t="shared" si="5"/>
        <v>0</v>
      </c>
      <c r="G44" s="99">
        <f t="shared" si="5"/>
        <v>0</v>
      </c>
      <c r="H44" s="99">
        <f t="shared" si="5"/>
        <v>0</v>
      </c>
      <c r="I44" s="99">
        <f t="shared" si="5"/>
        <v>0</v>
      </c>
      <c r="J44" s="99">
        <f t="shared" si="5"/>
        <v>0</v>
      </c>
      <c r="K44" s="100">
        <f t="shared" si="5"/>
        <v>0</v>
      </c>
      <c r="L44" s="140"/>
    </row>
    <row r="45" spans="1:12" ht="15.75" thickBot="1" x14ac:dyDescent="0.3">
      <c r="B45" s="80"/>
      <c r="C45" s="81"/>
      <c r="D45" s="82"/>
      <c r="E45" s="83"/>
      <c r="F45" s="49"/>
      <c r="G45" s="83"/>
      <c r="H45" s="83"/>
      <c r="I45" s="83"/>
      <c r="J45" s="83"/>
      <c r="K45" s="83"/>
      <c r="L45" s="141"/>
    </row>
    <row r="46" spans="1:12" ht="15.75" thickBot="1" x14ac:dyDescent="0.3">
      <c r="A46" s="431" t="s">
        <v>653</v>
      </c>
      <c r="B46" s="428" t="s">
        <v>0</v>
      </c>
      <c r="C46" s="428" t="s">
        <v>1</v>
      </c>
      <c r="D46" s="429" t="s">
        <v>645</v>
      </c>
      <c r="E46" s="430" t="s">
        <v>19</v>
      </c>
      <c r="F46" s="430"/>
      <c r="G46" s="430"/>
      <c r="H46" s="430"/>
      <c r="I46" s="430"/>
      <c r="J46" s="424" t="s">
        <v>20</v>
      </c>
      <c r="K46" s="426" t="s">
        <v>598</v>
      </c>
      <c r="L46" s="213"/>
    </row>
    <row r="47" spans="1:12" ht="15.75" thickBot="1" x14ac:dyDescent="0.3">
      <c r="A47" s="432"/>
      <c r="B47" s="428"/>
      <c r="C47" s="428"/>
      <c r="D47" s="429"/>
      <c r="E47" s="54" t="s">
        <v>21</v>
      </c>
      <c r="F47" s="54" t="s">
        <v>596</v>
      </c>
      <c r="G47" s="54" t="s">
        <v>597</v>
      </c>
      <c r="H47" s="54" t="s">
        <v>585</v>
      </c>
      <c r="I47" s="54" t="s">
        <v>597</v>
      </c>
      <c r="J47" s="425"/>
      <c r="K47" s="427"/>
      <c r="L47" s="213"/>
    </row>
    <row r="48" spans="1:12" ht="15.75" thickBot="1" x14ac:dyDescent="0.3">
      <c r="A48" s="433"/>
      <c r="B48" s="55">
        <v>1</v>
      </c>
      <c r="C48" s="55">
        <v>2</v>
      </c>
      <c r="D48" s="55">
        <v>3</v>
      </c>
      <c r="E48" s="56">
        <v>4</v>
      </c>
      <c r="F48" s="56">
        <f>+E48+1</f>
        <v>5</v>
      </c>
      <c r="G48" s="56" t="s">
        <v>648</v>
      </c>
      <c r="H48" s="56">
        <v>7</v>
      </c>
      <c r="I48" s="57" t="s">
        <v>647</v>
      </c>
      <c r="J48" s="33" t="s">
        <v>646</v>
      </c>
      <c r="K48" s="33" t="s">
        <v>649</v>
      </c>
      <c r="L48" s="214"/>
    </row>
    <row r="49" spans="1:13" x14ac:dyDescent="0.25">
      <c r="A49" s="58"/>
      <c r="B49" s="58" t="s">
        <v>655</v>
      </c>
      <c r="C49" s="59"/>
      <c r="D49" s="60"/>
      <c r="E49" s="42"/>
      <c r="F49" s="42"/>
      <c r="G49" s="42"/>
      <c r="H49" s="42"/>
      <c r="I49" s="42"/>
      <c r="J49" s="42"/>
      <c r="K49" s="42"/>
      <c r="L49" s="114"/>
    </row>
    <row r="50" spans="1:13" x14ac:dyDescent="0.25">
      <c r="A50" s="106">
        <v>1</v>
      </c>
      <c r="B50" s="65" t="s">
        <v>22</v>
      </c>
      <c r="C50" s="66">
        <v>1500</v>
      </c>
      <c r="D50" s="67">
        <v>44.73</v>
      </c>
      <c r="E50" s="46">
        <v>0</v>
      </c>
      <c r="F50" s="46"/>
      <c r="G50" s="44">
        <f t="shared" ref="G50:G61" si="6">+E50+F50</f>
        <v>0</v>
      </c>
      <c r="H50" s="43"/>
      <c r="I50" s="44">
        <f t="shared" ref="I50:I61" si="7">+G50-H50</f>
        <v>0</v>
      </c>
      <c r="J50" s="44">
        <f t="shared" ref="J50:J61" si="8">I50*C50</f>
        <v>0</v>
      </c>
      <c r="K50" s="45">
        <f t="shared" ref="K50:K61" si="9">+D50*I50</f>
        <v>0</v>
      </c>
      <c r="L50" s="215"/>
    </row>
    <row r="51" spans="1:13" x14ac:dyDescent="0.25">
      <c r="A51" s="106">
        <v>2</v>
      </c>
      <c r="B51" s="65" t="s">
        <v>23</v>
      </c>
      <c r="C51" s="66">
        <v>1500</v>
      </c>
      <c r="D51" s="67">
        <v>69.78</v>
      </c>
      <c r="E51" s="35">
        <v>0</v>
      </c>
      <c r="F51" s="46"/>
      <c r="G51" s="44">
        <f t="shared" si="6"/>
        <v>0</v>
      </c>
      <c r="H51" s="43">
        <f>10200-10200</f>
        <v>0</v>
      </c>
      <c r="I51" s="44">
        <f t="shared" si="7"/>
        <v>0</v>
      </c>
      <c r="J51" s="44">
        <f t="shared" si="8"/>
        <v>0</v>
      </c>
      <c r="K51" s="45">
        <f t="shared" si="9"/>
        <v>0</v>
      </c>
      <c r="L51" s="215"/>
    </row>
    <row r="52" spans="1:13" x14ac:dyDescent="0.25">
      <c r="A52" s="106">
        <v>3</v>
      </c>
      <c r="B52" s="65" t="s">
        <v>24</v>
      </c>
      <c r="C52" s="66">
        <v>1500</v>
      </c>
      <c r="D52" s="67">
        <v>54.07</v>
      </c>
      <c r="E52" s="46">
        <v>0</v>
      </c>
      <c r="F52" s="46"/>
      <c r="G52" s="44">
        <f t="shared" si="6"/>
        <v>0</v>
      </c>
      <c r="H52" s="43"/>
      <c r="I52" s="44">
        <f t="shared" si="7"/>
        <v>0</v>
      </c>
      <c r="J52" s="44">
        <f t="shared" si="8"/>
        <v>0</v>
      </c>
      <c r="K52" s="45">
        <f t="shared" si="9"/>
        <v>0</v>
      </c>
      <c r="L52" s="215"/>
    </row>
    <row r="53" spans="1:13" x14ac:dyDescent="0.25">
      <c r="A53" s="106">
        <v>4</v>
      </c>
      <c r="B53" s="65" t="s">
        <v>25</v>
      </c>
      <c r="C53" s="66">
        <v>1500</v>
      </c>
      <c r="D53" s="67">
        <v>54.07</v>
      </c>
      <c r="E53" s="46">
        <v>0</v>
      </c>
      <c r="F53" s="46"/>
      <c r="G53" s="44">
        <f t="shared" si="6"/>
        <v>0</v>
      </c>
      <c r="H53" s="43"/>
      <c r="I53" s="44">
        <f t="shared" si="7"/>
        <v>0</v>
      </c>
      <c r="J53" s="44">
        <f t="shared" si="8"/>
        <v>0</v>
      </c>
      <c r="K53" s="45">
        <f t="shared" si="9"/>
        <v>0</v>
      </c>
      <c r="L53" s="215"/>
    </row>
    <row r="54" spans="1:13" x14ac:dyDescent="0.25">
      <c r="A54" s="106">
        <v>5</v>
      </c>
      <c r="B54" s="65" t="s">
        <v>26</v>
      </c>
      <c r="C54" s="66">
        <v>2500</v>
      </c>
      <c r="D54" s="67">
        <v>187.2</v>
      </c>
      <c r="E54" s="46">
        <v>0</v>
      </c>
      <c r="F54" s="46"/>
      <c r="G54" s="44">
        <f t="shared" si="6"/>
        <v>0</v>
      </c>
      <c r="H54" s="204">
        <f>1260-1260</f>
        <v>0</v>
      </c>
      <c r="I54" s="44">
        <f t="shared" si="7"/>
        <v>0</v>
      </c>
      <c r="J54" s="44">
        <f t="shared" si="8"/>
        <v>0</v>
      </c>
      <c r="K54" s="45">
        <f t="shared" si="9"/>
        <v>0</v>
      </c>
      <c r="L54" s="215"/>
      <c r="M54" t="s">
        <v>922</v>
      </c>
    </row>
    <row r="55" spans="1:13" x14ac:dyDescent="0.25">
      <c r="A55" s="106">
        <v>6</v>
      </c>
      <c r="B55" s="65" t="s">
        <v>27</v>
      </c>
      <c r="C55" s="66">
        <v>2500</v>
      </c>
      <c r="D55" s="67">
        <v>132.19</v>
      </c>
      <c r="E55" s="46">
        <v>0</v>
      </c>
      <c r="F55" s="46"/>
      <c r="G55" s="44">
        <f t="shared" si="6"/>
        <v>0</v>
      </c>
      <c r="H55" s="43"/>
      <c r="I55" s="44">
        <f t="shared" si="7"/>
        <v>0</v>
      </c>
      <c r="J55" s="44">
        <f t="shared" si="8"/>
        <v>0</v>
      </c>
      <c r="K55" s="45">
        <f t="shared" si="9"/>
        <v>0</v>
      </c>
      <c r="L55" s="215"/>
    </row>
    <row r="56" spans="1:13" x14ac:dyDescent="0.25">
      <c r="A56" s="106">
        <v>7</v>
      </c>
      <c r="B56" s="65" t="s">
        <v>28</v>
      </c>
      <c r="C56" s="66">
        <v>1500</v>
      </c>
      <c r="D56" s="67">
        <v>54.07</v>
      </c>
      <c r="E56" s="46">
        <v>0</v>
      </c>
      <c r="F56" s="46"/>
      <c r="G56" s="44">
        <f t="shared" si="6"/>
        <v>0</v>
      </c>
      <c r="H56" s="43"/>
      <c r="I56" s="44">
        <f t="shared" si="7"/>
        <v>0</v>
      </c>
      <c r="J56" s="44">
        <f t="shared" si="8"/>
        <v>0</v>
      </c>
      <c r="K56" s="45">
        <f t="shared" si="9"/>
        <v>0</v>
      </c>
      <c r="L56" s="215"/>
    </row>
    <row r="57" spans="1:13" x14ac:dyDescent="0.25">
      <c r="A57" s="106">
        <v>8</v>
      </c>
      <c r="B57" s="65" t="s">
        <v>29</v>
      </c>
      <c r="C57" s="66">
        <v>1500</v>
      </c>
      <c r="D57" s="67">
        <v>63.44</v>
      </c>
      <c r="E57" s="46">
        <v>0</v>
      </c>
      <c r="F57" s="46"/>
      <c r="G57" s="44">
        <f t="shared" si="6"/>
        <v>0</v>
      </c>
      <c r="H57" s="43"/>
      <c r="I57" s="44">
        <f t="shared" si="7"/>
        <v>0</v>
      </c>
      <c r="J57" s="44">
        <f t="shared" si="8"/>
        <v>0</v>
      </c>
      <c r="K57" s="45">
        <f t="shared" si="9"/>
        <v>0</v>
      </c>
      <c r="L57" s="215"/>
    </row>
    <row r="58" spans="1:13" x14ac:dyDescent="0.25">
      <c r="A58" s="106">
        <v>9</v>
      </c>
      <c r="B58" s="65" t="s">
        <v>30</v>
      </c>
      <c r="C58" s="66">
        <v>2500</v>
      </c>
      <c r="D58" s="67">
        <v>174.44</v>
      </c>
      <c r="E58" s="46">
        <v>0</v>
      </c>
      <c r="F58" s="46"/>
      <c r="G58" s="44">
        <f t="shared" si="6"/>
        <v>0</v>
      </c>
      <c r="H58" s="43"/>
      <c r="I58" s="44">
        <f t="shared" si="7"/>
        <v>0</v>
      </c>
      <c r="J58" s="44">
        <f t="shared" si="8"/>
        <v>0</v>
      </c>
      <c r="K58" s="45">
        <f t="shared" si="9"/>
        <v>0</v>
      </c>
      <c r="L58" s="215"/>
    </row>
    <row r="59" spans="1:13" x14ac:dyDescent="0.25">
      <c r="A59" s="106">
        <v>10</v>
      </c>
      <c r="B59" s="65" t="s">
        <v>31</v>
      </c>
      <c r="C59" s="66">
        <v>1500</v>
      </c>
      <c r="D59" s="67">
        <v>77.53</v>
      </c>
      <c r="E59" s="46">
        <v>0</v>
      </c>
      <c r="F59" s="46"/>
      <c r="G59" s="44">
        <f t="shared" si="6"/>
        <v>0</v>
      </c>
      <c r="H59" s="43">
        <f>1840-1840</f>
        <v>0</v>
      </c>
      <c r="I59" s="44">
        <f t="shared" si="7"/>
        <v>0</v>
      </c>
      <c r="J59" s="44">
        <f t="shared" si="8"/>
        <v>0</v>
      </c>
      <c r="K59" s="45">
        <f t="shared" si="9"/>
        <v>0</v>
      </c>
      <c r="L59" s="215"/>
    </row>
    <row r="60" spans="1:13" x14ac:dyDescent="0.25">
      <c r="A60" s="106">
        <v>11</v>
      </c>
      <c r="B60" s="65" t="s">
        <v>32</v>
      </c>
      <c r="C60" s="66">
        <v>1500</v>
      </c>
      <c r="D60" s="67">
        <v>59.49</v>
      </c>
      <c r="E60" s="46">
        <v>0</v>
      </c>
      <c r="F60" s="46"/>
      <c r="G60" s="44">
        <f t="shared" si="6"/>
        <v>0</v>
      </c>
      <c r="H60" s="43"/>
      <c r="I60" s="44">
        <f t="shared" si="7"/>
        <v>0</v>
      </c>
      <c r="J60" s="44">
        <f t="shared" si="8"/>
        <v>0</v>
      </c>
      <c r="K60" s="45">
        <f t="shared" si="9"/>
        <v>0</v>
      </c>
      <c r="L60" s="215"/>
    </row>
    <row r="61" spans="1:13" ht="15.75" thickBot="1" x14ac:dyDescent="0.3">
      <c r="A61" s="106">
        <v>12</v>
      </c>
      <c r="B61" s="101" t="s">
        <v>33</v>
      </c>
      <c r="C61" s="102">
        <v>1500</v>
      </c>
      <c r="D61" s="103">
        <v>59.49</v>
      </c>
      <c r="E61" s="104">
        <v>0</v>
      </c>
      <c r="F61" s="104"/>
      <c r="G61" s="94">
        <f t="shared" si="6"/>
        <v>0</v>
      </c>
      <c r="H61" s="93"/>
      <c r="I61" s="94">
        <f t="shared" si="7"/>
        <v>0</v>
      </c>
      <c r="J61" s="94">
        <f t="shared" si="8"/>
        <v>0</v>
      </c>
      <c r="K61" s="95">
        <f t="shared" si="9"/>
        <v>0</v>
      </c>
      <c r="L61" s="215"/>
    </row>
    <row r="62" spans="1:13" ht="15.75" thickBot="1" x14ac:dyDescent="0.3">
      <c r="A62" s="69"/>
      <c r="B62" s="105" t="s">
        <v>656</v>
      </c>
      <c r="C62" s="70"/>
      <c r="D62" s="71"/>
      <c r="E62" s="72">
        <f t="shared" ref="E62:K62" si="10">SUM(E50:E61)</f>
        <v>0</v>
      </c>
      <c r="F62" s="72">
        <f t="shared" si="10"/>
        <v>0</v>
      </c>
      <c r="G62" s="72">
        <f t="shared" si="10"/>
        <v>0</v>
      </c>
      <c r="H62" s="72">
        <f t="shared" si="10"/>
        <v>0</v>
      </c>
      <c r="I62" s="72">
        <f t="shared" si="10"/>
        <v>0</v>
      </c>
      <c r="J62" s="72">
        <f t="shared" si="10"/>
        <v>0</v>
      </c>
      <c r="K62" s="73">
        <f t="shared" si="10"/>
        <v>0</v>
      </c>
      <c r="L62" s="216"/>
    </row>
    <row r="63" spans="1:13" ht="15.75" thickBot="1" x14ac:dyDescent="0.3">
      <c r="B63" s="80"/>
      <c r="C63" s="81"/>
      <c r="D63" s="82"/>
      <c r="E63" s="83"/>
      <c r="F63" s="49"/>
      <c r="G63" s="83"/>
      <c r="H63" s="83"/>
      <c r="I63" s="83"/>
      <c r="J63" s="83"/>
      <c r="K63" s="83"/>
      <c r="L63" s="141"/>
    </row>
    <row r="64" spans="1:13" ht="15.75" thickBot="1" x14ac:dyDescent="0.3">
      <c r="A64" s="431" t="s">
        <v>653</v>
      </c>
      <c r="B64" s="428" t="s">
        <v>0</v>
      </c>
      <c r="C64" s="428" t="s">
        <v>1</v>
      </c>
      <c r="D64" s="429" t="s">
        <v>645</v>
      </c>
      <c r="E64" s="430" t="s">
        <v>19</v>
      </c>
      <c r="F64" s="430"/>
      <c r="G64" s="430"/>
      <c r="H64" s="430"/>
      <c r="I64" s="430"/>
      <c r="J64" s="424" t="s">
        <v>20</v>
      </c>
      <c r="K64" s="426" t="s">
        <v>598</v>
      </c>
      <c r="L64" s="213"/>
    </row>
    <row r="65" spans="1:12" ht="15.75" thickBot="1" x14ac:dyDescent="0.3">
      <c r="A65" s="432"/>
      <c r="B65" s="428"/>
      <c r="C65" s="428"/>
      <c r="D65" s="429"/>
      <c r="E65" s="54" t="s">
        <v>21</v>
      </c>
      <c r="F65" s="54" t="s">
        <v>596</v>
      </c>
      <c r="G65" s="54" t="s">
        <v>597</v>
      </c>
      <c r="H65" s="54" t="s">
        <v>585</v>
      </c>
      <c r="I65" s="54" t="s">
        <v>597</v>
      </c>
      <c r="J65" s="425"/>
      <c r="K65" s="427"/>
      <c r="L65" s="213"/>
    </row>
    <row r="66" spans="1:12" ht="15.75" thickBot="1" x14ac:dyDescent="0.3">
      <c r="A66" s="433"/>
      <c r="B66" s="55">
        <v>1</v>
      </c>
      <c r="C66" s="55">
        <v>2</v>
      </c>
      <c r="D66" s="55">
        <v>3</v>
      </c>
      <c r="E66" s="56">
        <v>4</v>
      </c>
      <c r="F66" s="56">
        <f>+E66+1</f>
        <v>5</v>
      </c>
      <c r="G66" s="56" t="s">
        <v>648</v>
      </c>
      <c r="H66" s="56">
        <v>7</v>
      </c>
      <c r="I66" s="57" t="s">
        <v>647</v>
      </c>
      <c r="J66" s="33" t="s">
        <v>646</v>
      </c>
      <c r="K66" s="33" t="s">
        <v>649</v>
      </c>
      <c r="L66" s="214"/>
    </row>
    <row r="67" spans="1:12" x14ac:dyDescent="0.25">
      <c r="A67" s="58"/>
      <c r="B67" s="58" t="s">
        <v>657</v>
      </c>
      <c r="C67" s="59"/>
      <c r="D67" s="60"/>
      <c r="E67" s="42"/>
      <c r="F67" s="42"/>
      <c r="G67" s="42"/>
      <c r="H67" s="42"/>
      <c r="I67" s="42"/>
      <c r="J67" s="42"/>
      <c r="K67" s="42"/>
      <c r="L67" s="114"/>
    </row>
    <row r="68" spans="1:12" x14ac:dyDescent="0.25">
      <c r="A68" s="106">
        <v>1</v>
      </c>
      <c r="B68" s="65" t="s">
        <v>34</v>
      </c>
      <c r="C68" s="66">
        <v>1500</v>
      </c>
      <c r="D68" s="67">
        <v>116.66</v>
      </c>
      <c r="E68" s="34">
        <v>0</v>
      </c>
      <c r="F68" s="47"/>
      <c r="G68" s="44">
        <f t="shared" ref="G68:G80" si="11">+E68+F68</f>
        <v>0</v>
      </c>
      <c r="H68" s="43">
        <f>20000-20000</f>
        <v>0</v>
      </c>
      <c r="I68" s="44">
        <f t="shared" ref="I68:I80" si="12">+G68-H68</f>
        <v>0</v>
      </c>
      <c r="J68" s="44">
        <f t="shared" ref="J68:J80" si="13">I68*C68</f>
        <v>0</v>
      </c>
      <c r="K68" s="45">
        <f t="shared" ref="K68:K80" si="14">+D68*I68</f>
        <v>0</v>
      </c>
      <c r="L68" s="215"/>
    </row>
    <row r="69" spans="1:12" x14ac:dyDescent="0.25">
      <c r="A69" s="106">
        <v>2</v>
      </c>
      <c r="B69" s="65" t="s">
        <v>35</v>
      </c>
      <c r="C69" s="66">
        <v>2500</v>
      </c>
      <c r="D69" s="67">
        <v>201.63</v>
      </c>
      <c r="E69" s="34">
        <v>0</v>
      </c>
      <c r="F69" s="47"/>
      <c r="G69" s="44">
        <f t="shared" si="11"/>
        <v>0</v>
      </c>
      <c r="H69" s="43"/>
      <c r="I69" s="44">
        <f t="shared" si="12"/>
        <v>0</v>
      </c>
      <c r="J69" s="44">
        <f t="shared" si="13"/>
        <v>0</v>
      </c>
      <c r="K69" s="45">
        <f t="shared" si="14"/>
        <v>0</v>
      </c>
      <c r="L69" s="215"/>
    </row>
    <row r="70" spans="1:12" x14ac:dyDescent="0.25">
      <c r="A70" s="106">
        <v>3</v>
      </c>
      <c r="B70" s="65" t="s">
        <v>36</v>
      </c>
      <c r="C70" s="66">
        <v>1800</v>
      </c>
      <c r="D70" s="67">
        <v>58.93</v>
      </c>
      <c r="E70" s="34">
        <v>0</v>
      </c>
      <c r="F70" s="47"/>
      <c r="G70" s="44">
        <f t="shared" si="11"/>
        <v>0</v>
      </c>
      <c r="H70" s="43">
        <f>600+16274-16874</f>
        <v>0</v>
      </c>
      <c r="I70" s="44">
        <f t="shared" si="12"/>
        <v>0</v>
      </c>
      <c r="J70" s="44">
        <f t="shared" si="13"/>
        <v>0</v>
      </c>
      <c r="K70" s="45">
        <f t="shared" si="14"/>
        <v>0</v>
      </c>
      <c r="L70" s="215"/>
    </row>
    <row r="71" spans="1:12" x14ac:dyDescent="0.25">
      <c r="A71" s="106">
        <v>4</v>
      </c>
      <c r="B71" s="65" t="s">
        <v>37</v>
      </c>
      <c r="C71" s="66">
        <v>1500</v>
      </c>
      <c r="D71" s="67">
        <v>82.02</v>
      </c>
      <c r="E71" s="34">
        <v>0</v>
      </c>
      <c r="F71" s="47"/>
      <c r="G71" s="44">
        <f t="shared" si="11"/>
        <v>0</v>
      </c>
      <c r="H71" s="43"/>
      <c r="I71" s="44">
        <f t="shared" si="12"/>
        <v>0</v>
      </c>
      <c r="J71" s="44">
        <f t="shared" si="13"/>
        <v>0</v>
      </c>
      <c r="K71" s="45">
        <f t="shared" si="14"/>
        <v>0</v>
      </c>
      <c r="L71" s="215"/>
    </row>
    <row r="72" spans="1:12" x14ac:dyDescent="0.25">
      <c r="A72" s="106">
        <v>5</v>
      </c>
      <c r="B72" s="65" t="s">
        <v>38</v>
      </c>
      <c r="C72" s="66">
        <v>2500</v>
      </c>
      <c r="D72" s="67">
        <v>129.71</v>
      </c>
      <c r="E72" s="34">
        <v>0</v>
      </c>
      <c r="F72" s="47"/>
      <c r="G72" s="44">
        <f t="shared" si="11"/>
        <v>0</v>
      </c>
      <c r="H72" s="43"/>
      <c r="I72" s="44">
        <f t="shared" si="12"/>
        <v>0</v>
      </c>
      <c r="J72" s="44">
        <f t="shared" si="13"/>
        <v>0</v>
      </c>
      <c r="K72" s="45">
        <f t="shared" si="14"/>
        <v>0</v>
      </c>
      <c r="L72" s="215"/>
    </row>
    <row r="73" spans="1:12" x14ac:dyDescent="0.25">
      <c r="A73" s="106">
        <v>6</v>
      </c>
      <c r="B73" s="65" t="s">
        <v>39</v>
      </c>
      <c r="C73" s="66">
        <v>1500</v>
      </c>
      <c r="D73" s="67">
        <v>71.36</v>
      </c>
      <c r="E73" s="34">
        <v>0</v>
      </c>
      <c r="F73" s="47"/>
      <c r="G73" s="44">
        <f t="shared" si="11"/>
        <v>0</v>
      </c>
      <c r="H73" s="43">
        <f>2000-2000</f>
        <v>0</v>
      </c>
      <c r="I73" s="44">
        <f t="shared" si="12"/>
        <v>0</v>
      </c>
      <c r="J73" s="44">
        <f t="shared" si="13"/>
        <v>0</v>
      </c>
      <c r="K73" s="45">
        <f t="shared" si="14"/>
        <v>0</v>
      </c>
      <c r="L73" s="215"/>
    </row>
    <row r="74" spans="1:12" x14ac:dyDescent="0.25">
      <c r="A74" s="106">
        <v>7</v>
      </c>
      <c r="B74" s="65" t="s">
        <v>40</v>
      </c>
      <c r="C74" s="66">
        <v>1500</v>
      </c>
      <c r="D74" s="67">
        <v>250.98</v>
      </c>
      <c r="E74" s="47">
        <v>0</v>
      </c>
      <c r="F74" s="47"/>
      <c r="G74" s="44">
        <f t="shared" si="11"/>
        <v>0</v>
      </c>
      <c r="H74" s="43"/>
      <c r="I74" s="44">
        <f t="shared" si="12"/>
        <v>0</v>
      </c>
      <c r="J74" s="44">
        <f t="shared" si="13"/>
        <v>0</v>
      </c>
      <c r="K74" s="45">
        <f t="shared" si="14"/>
        <v>0</v>
      </c>
      <c r="L74" s="215"/>
    </row>
    <row r="75" spans="1:12" x14ac:dyDescent="0.25">
      <c r="A75" s="106">
        <v>8</v>
      </c>
      <c r="B75" s="65" t="s">
        <v>40</v>
      </c>
      <c r="C75" s="66">
        <v>2500</v>
      </c>
      <c r="D75" s="67">
        <v>250.98</v>
      </c>
      <c r="E75" s="47">
        <v>0</v>
      </c>
      <c r="F75" s="47"/>
      <c r="G75" s="44">
        <f t="shared" si="11"/>
        <v>0</v>
      </c>
      <c r="H75" s="43"/>
      <c r="I75" s="44">
        <f t="shared" si="12"/>
        <v>0</v>
      </c>
      <c r="J75" s="44">
        <f t="shared" si="13"/>
        <v>0</v>
      </c>
      <c r="K75" s="45">
        <f t="shared" si="14"/>
        <v>0</v>
      </c>
      <c r="L75" s="215"/>
    </row>
    <row r="76" spans="1:12" x14ac:dyDescent="0.25">
      <c r="A76" s="106">
        <v>9</v>
      </c>
      <c r="B76" s="65" t="s">
        <v>41</v>
      </c>
      <c r="C76" s="66">
        <v>1500</v>
      </c>
      <c r="D76" s="67">
        <f>139.77/3</f>
        <v>46.59</v>
      </c>
      <c r="E76" s="47">
        <v>0</v>
      </c>
      <c r="F76" s="47"/>
      <c r="G76" s="44">
        <f t="shared" si="11"/>
        <v>0</v>
      </c>
      <c r="H76" s="43"/>
      <c r="I76" s="44">
        <f t="shared" si="12"/>
        <v>0</v>
      </c>
      <c r="J76" s="44">
        <f t="shared" si="13"/>
        <v>0</v>
      </c>
      <c r="K76" s="45">
        <f t="shared" si="14"/>
        <v>0</v>
      </c>
      <c r="L76" s="215"/>
    </row>
    <row r="77" spans="1:12" x14ac:dyDescent="0.25">
      <c r="A77" s="106">
        <v>10</v>
      </c>
      <c r="B77" s="65" t="s">
        <v>41</v>
      </c>
      <c r="C77" s="66">
        <v>2000</v>
      </c>
      <c r="D77" s="67">
        <v>46.59</v>
      </c>
      <c r="E77" s="47">
        <v>0</v>
      </c>
      <c r="F77" s="47"/>
      <c r="G77" s="44">
        <f t="shared" si="11"/>
        <v>0</v>
      </c>
      <c r="H77" s="43"/>
      <c r="I77" s="44">
        <f t="shared" si="12"/>
        <v>0</v>
      </c>
      <c r="J77" s="44">
        <f t="shared" si="13"/>
        <v>0</v>
      </c>
      <c r="K77" s="45">
        <f t="shared" si="14"/>
        <v>0</v>
      </c>
      <c r="L77" s="215"/>
    </row>
    <row r="78" spans="1:12" x14ac:dyDescent="0.25">
      <c r="A78" s="106">
        <v>11</v>
      </c>
      <c r="B78" s="65" t="s">
        <v>41</v>
      </c>
      <c r="C78" s="66">
        <v>2500</v>
      </c>
      <c r="D78" s="67">
        <v>46.59</v>
      </c>
      <c r="E78" s="47">
        <v>0</v>
      </c>
      <c r="F78" s="47"/>
      <c r="G78" s="44">
        <f t="shared" si="11"/>
        <v>0</v>
      </c>
      <c r="H78" s="43"/>
      <c r="I78" s="44">
        <f t="shared" si="12"/>
        <v>0</v>
      </c>
      <c r="J78" s="44">
        <f t="shared" si="13"/>
        <v>0</v>
      </c>
      <c r="K78" s="45">
        <f t="shared" si="14"/>
        <v>0</v>
      </c>
      <c r="L78" s="215"/>
    </row>
    <row r="79" spans="1:12" x14ac:dyDescent="0.25">
      <c r="A79" s="106">
        <v>12</v>
      </c>
      <c r="B79" s="65" t="s">
        <v>42</v>
      </c>
      <c r="C79" s="66">
        <v>1500</v>
      </c>
      <c r="D79" s="67">
        <v>139.77000000000001</v>
      </c>
      <c r="E79" s="47">
        <v>0</v>
      </c>
      <c r="F79" s="47"/>
      <c r="G79" s="44">
        <f t="shared" si="11"/>
        <v>0</v>
      </c>
      <c r="H79" s="43"/>
      <c r="I79" s="44">
        <f t="shared" si="12"/>
        <v>0</v>
      </c>
      <c r="J79" s="44">
        <f t="shared" si="13"/>
        <v>0</v>
      </c>
      <c r="K79" s="45">
        <f t="shared" si="14"/>
        <v>0</v>
      </c>
      <c r="L79" s="215"/>
    </row>
    <row r="80" spans="1:12" ht="15.75" thickBot="1" x14ac:dyDescent="0.3">
      <c r="A80" s="106">
        <v>13</v>
      </c>
      <c r="B80" s="101" t="s">
        <v>43</v>
      </c>
      <c r="C80" s="102">
        <v>1500</v>
      </c>
      <c r="D80" s="103">
        <f>465.68/4</f>
        <v>116.42</v>
      </c>
      <c r="E80" s="107">
        <v>0</v>
      </c>
      <c r="F80" s="107"/>
      <c r="G80" s="94">
        <f t="shared" si="11"/>
        <v>0</v>
      </c>
      <c r="H80" s="93"/>
      <c r="I80" s="94">
        <f t="shared" si="12"/>
        <v>0</v>
      </c>
      <c r="J80" s="94">
        <f t="shared" si="13"/>
        <v>0</v>
      </c>
      <c r="K80" s="95">
        <f t="shared" si="14"/>
        <v>0</v>
      </c>
      <c r="L80" s="215"/>
    </row>
    <row r="81" spans="1:12" ht="15.75" thickBot="1" x14ac:dyDescent="0.3">
      <c r="A81" s="69"/>
      <c r="B81" s="105" t="s">
        <v>658</v>
      </c>
      <c r="C81" s="70"/>
      <c r="D81" s="72"/>
      <c r="E81" s="72">
        <f t="shared" ref="E81:K81" si="15">SUM(E68:E80)</f>
        <v>0</v>
      </c>
      <c r="F81" s="72">
        <f t="shared" si="15"/>
        <v>0</v>
      </c>
      <c r="G81" s="72">
        <f t="shared" si="15"/>
        <v>0</v>
      </c>
      <c r="H81" s="72">
        <f t="shared" si="15"/>
        <v>0</v>
      </c>
      <c r="I81" s="72">
        <f t="shared" si="15"/>
        <v>0</v>
      </c>
      <c r="J81" s="72">
        <f t="shared" si="15"/>
        <v>0</v>
      </c>
      <c r="K81" s="73">
        <f t="shared" si="15"/>
        <v>0</v>
      </c>
      <c r="L81" s="216"/>
    </row>
    <row r="82" spans="1:12" ht="15.75" thickBot="1" x14ac:dyDescent="0.3">
      <c r="B82" s="80"/>
      <c r="C82" s="81"/>
      <c r="D82" s="82"/>
      <c r="E82" s="83"/>
      <c r="F82" s="49"/>
      <c r="G82" s="83"/>
      <c r="H82" s="83"/>
      <c r="I82" s="83"/>
      <c r="J82" s="83"/>
      <c r="K82" s="83"/>
      <c r="L82" s="141"/>
    </row>
    <row r="83" spans="1:12" ht="15.75" thickBot="1" x14ac:dyDescent="0.3">
      <c r="A83" s="431" t="s">
        <v>653</v>
      </c>
      <c r="B83" s="428" t="s">
        <v>0</v>
      </c>
      <c r="C83" s="428" t="s">
        <v>1</v>
      </c>
      <c r="D83" s="429" t="s">
        <v>645</v>
      </c>
      <c r="E83" s="430" t="s">
        <v>19</v>
      </c>
      <c r="F83" s="430"/>
      <c r="G83" s="430"/>
      <c r="H83" s="430"/>
      <c r="I83" s="430"/>
      <c r="J83" s="424" t="s">
        <v>20</v>
      </c>
      <c r="K83" s="426" t="s">
        <v>598</v>
      </c>
      <c r="L83" s="213"/>
    </row>
    <row r="84" spans="1:12" ht="15.75" thickBot="1" x14ac:dyDescent="0.3">
      <c r="A84" s="432"/>
      <c r="B84" s="428"/>
      <c r="C84" s="428"/>
      <c r="D84" s="429"/>
      <c r="E84" s="54" t="s">
        <v>21</v>
      </c>
      <c r="F84" s="54" t="s">
        <v>596</v>
      </c>
      <c r="G84" s="54" t="s">
        <v>597</v>
      </c>
      <c r="H84" s="54" t="s">
        <v>585</v>
      </c>
      <c r="I84" s="54" t="s">
        <v>597</v>
      </c>
      <c r="J84" s="425"/>
      <c r="K84" s="427"/>
      <c r="L84" s="213"/>
    </row>
    <row r="85" spans="1:12" ht="15.75" thickBot="1" x14ac:dyDescent="0.3">
      <c r="A85" s="433"/>
      <c r="B85" s="55">
        <v>1</v>
      </c>
      <c r="C85" s="55">
        <v>2</v>
      </c>
      <c r="D85" s="55">
        <v>3</v>
      </c>
      <c r="E85" s="56">
        <v>4</v>
      </c>
      <c r="F85" s="56">
        <f>+E85+1</f>
        <v>5</v>
      </c>
      <c r="G85" s="56" t="s">
        <v>648</v>
      </c>
      <c r="H85" s="56">
        <v>7</v>
      </c>
      <c r="I85" s="57" t="s">
        <v>647</v>
      </c>
      <c r="J85" s="33" t="s">
        <v>646</v>
      </c>
      <c r="K85" s="33" t="s">
        <v>649</v>
      </c>
      <c r="L85" s="214"/>
    </row>
    <row r="86" spans="1:12" x14ac:dyDescent="0.25">
      <c r="A86" s="58"/>
      <c r="B86" s="58" t="s">
        <v>659</v>
      </c>
      <c r="C86" s="59"/>
      <c r="D86" s="60"/>
      <c r="E86" s="42"/>
      <c r="F86" s="42"/>
      <c r="G86" s="42"/>
      <c r="H86" s="42"/>
      <c r="I86" s="42"/>
      <c r="J86" s="42"/>
      <c r="K86" s="42"/>
      <c r="L86" s="114"/>
    </row>
    <row r="87" spans="1:12" x14ac:dyDescent="0.25">
      <c r="A87" s="106">
        <v>1</v>
      </c>
      <c r="B87" s="65" t="s">
        <v>44</v>
      </c>
      <c r="C87" s="66">
        <v>1500</v>
      </c>
      <c r="D87" s="67">
        <v>79.569999999999993</v>
      </c>
      <c r="E87" s="34">
        <v>0</v>
      </c>
      <c r="F87" s="47"/>
      <c r="G87" s="44">
        <f t="shared" ref="G87:G101" si="16">+E87+F87</f>
        <v>0</v>
      </c>
      <c r="H87" s="43">
        <f>928-928</f>
        <v>0</v>
      </c>
      <c r="I87" s="44">
        <f t="shared" ref="I87:I101" si="17">+G87-H87</f>
        <v>0</v>
      </c>
      <c r="J87" s="44">
        <f t="shared" ref="J87:J101" si="18">I87*C87</f>
        <v>0</v>
      </c>
      <c r="K87" s="45">
        <f t="shared" ref="K87:K101" si="19">+D87*I87</f>
        <v>0</v>
      </c>
      <c r="L87" s="215"/>
    </row>
    <row r="88" spans="1:12" x14ac:dyDescent="0.25">
      <c r="A88" s="106">
        <v>2</v>
      </c>
      <c r="B88" s="65" t="s">
        <v>45</v>
      </c>
      <c r="C88" s="66">
        <v>42000</v>
      </c>
      <c r="D88" s="74">
        <v>122.5</v>
      </c>
      <c r="E88" s="34">
        <v>0</v>
      </c>
      <c r="F88" s="47"/>
      <c r="G88" s="44">
        <f t="shared" si="16"/>
        <v>0</v>
      </c>
      <c r="H88" s="43"/>
      <c r="I88" s="44">
        <f t="shared" si="17"/>
        <v>0</v>
      </c>
      <c r="J88" s="44">
        <f t="shared" si="18"/>
        <v>0</v>
      </c>
      <c r="K88" s="45">
        <f t="shared" si="19"/>
        <v>0</v>
      </c>
      <c r="L88" s="215"/>
    </row>
    <row r="89" spans="1:12" x14ac:dyDescent="0.25">
      <c r="A89" s="106">
        <v>3</v>
      </c>
      <c r="B89" s="65" t="s">
        <v>46</v>
      </c>
      <c r="C89" s="66">
        <v>2500</v>
      </c>
      <c r="D89" s="75">
        <v>539</v>
      </c>
      <c r="E89" s="34">
        <v>0</v>
      </c>
      <c r="F89" s="47"/>
      <c r="G89" s="44">
        <f t="shared" si="16"/>
        <v>0</v>
      </c>
      <c r="H89" s="43">
        <f>3744-3744</f>
        <v>0</v>
      </c>
      <c r="I89" s="44">
        <f t="shared" si="17"/>
        <v>0</v>
      </c>
      <c r="J89" s="44">
        <f t="shared" si="18"/>
        <v>0</v>
      </c>
      <c r="K89" s="45">
        <f t="shared" si="19"/>
        <v>0</v>
      </c>
      <c r="L89" s="215"/>
    </row>
    <row r="90" spans="1:12" x14ac:dyDescent="0.25">
      <c r="A90" s="106">
        <v>4</v>
      </c>
      <c r="B90" s="65" t="s">
        <v>47</v>
      </c>
      <c r="C90" s="66">
        <v>10000</v>
      </c>
      <c r="D90" s="76">
        <v>539</v>
      </c>
      <c r="E90" s="34">
        <v>0</v>
      </c>
      <c r="F90" s="47"/>
      <c r="G90" s="44">
        <f t="shared" si="16"/>
        <v>0</v>
      </c>
      <c r="H90" s="43"/>
      <c r="I90" s="44">
        <f t="shared" si="17"/>
        <v>0</v>
      </c>
      <c r="J90" s="44">
        <f t="shared" si="18"/>
        <v>0</v>
      </c>
      <c r="K90" s="45">
        <f t="shared" si="19"/>
        <v>0</v>
      </c>
      <c r="L90" s="215"/>
    </row>
    <row r="91" spans="1:12" x14ac:dyDescent="0.25">
      <c r="A91" s="106">
        <v>5</v>
      </c>
      <c r="B91" s="65" t="s">
        <v>48</v>
      </c>
      <c r="C91" s="66">
        <v>40000</v>
      </c>
      <c r="D91" s="76">
        <v>2156</v>
      </c>
      <c r="E91" s="34">
        <v>0</v>
      </c>
      <c r="F91" s="47"/>
      <c r="G91" s="44">
        <f t="shared" si="16"/>
        <v>0</v>
      </c>
      <c r="H91" s="43"/>
      <c r="I91" s="44">
        <f t="shared" si="17"/>
        <v>0</v>
      </c>
      <c r="J91" s="44">
        <f t="shared" si="18"/>
        <v>0</v>
      </c>
      <c r="K91" s="45">
        <f t="shared" si="19"/>
        <v>0</v>
      </c>
      <c r="L91" s="215"/>
    </row>
    <row r="92" spans="1:12" x14ac:dyDescent="0.25">
      <c r="A92" s="106">
        <v>6</v>
      </c>
      <c r="B92" s="65" t="s">
        <v>49</v>
      </c>
      <c r="C92" s="66">
        <v>1500</v>
      </c>
      <c r="D92" s="67">
        <v>58.89</v>
      </c>
      <c r="E92" s="34">
        <v>0</v>
      </c>
      <c r="F92" s="47"/>
      <c r="G92" s="44">
        <f t="shared" si="16"/>
        <v>0</v>
      </c>
      <c r="H92" s="43"/>
      <c r="I92" s="44">
        <f t="shared" si="17"/>
        <v>0</v>
      </c>
      <c r="J92" s="44">
        <f t="shared" si="18"/>
        <v>0</v>
      </c>
      <c r="K92" s="45">
        <f t="shared" si="19"/>
        <v>0</v>
      </c>
      <c r="L92" s="215"/>
    </row>
    <row r="93" spans="1:12" x14ac:dyDescent="0.25">
      <c r="A93" s="106">
        <v>7</v>
      </c>
      <c r="B93" s="65" t="s">
        <v>50</v>
      </c>
      <c r="C93" s="66">
        <v>1500</v>
      </c>
      <c r="D93" s="67">
        <v>64.84</v>
      </c>
      <c r="E93" s="34">
        <v>0</v>
      </c>
      <c r="F93" s="47"/>
      <c r="G93" s="44">
        <f t="shared" si="16"/>
        <v>0</v>
      </c>
      <c r="H93" s="43">
        <f>22000-22000</f>
        <v>0</v>
      </c>
      <c r="I93" s="44">
        <f t="shared" si="17"/>
        <v>0</v>
      </c>
      <c r="J93" s="44">
        <f t="shared" si="18"/>
        <v>0</v>
      </c>
      <c r="K93" s="45">
        <f t="shared" si="19"/>
        <v>0</v>
      </c>
      <c r="L93" s="215"/>
    </row>
    <row r="94" spans="1:12" x14ac:dyDescent="0.25">
      <c r="A94" s="106">
        <v>8</v>
      </c>
      <c r="B94" s="65" t="s">
        <v>51</v>
      </c>
      <c r="C94" s="66">
        <v>1500</v>
      </c>
      <c r="D94" s="67">
        <f>136.1/2</f>
        <v>68.05</v>
      </c>
      <c r="E94" s="34">
        <v>0</v>
      </c>
      <c r="F94" s="47"/>
      <c r="G94" s="44">
        <f t="shared" si="16"/>
        <v>0</v>
      </c>
      <c r="H94" s="43"/>
      <c r="I94" s="44">
        <f t="shared" si="17"/>
        <v>0</v>
      </c>
      <c r="J94" s="44">
        <f t="shared" si="18"/>
        <v>0</v>
      </c>
      <c r="K94" s="45">
        <f t="shared" si="19"/>
        <v>0</v>
      </c>
      <c r="L94" s="215"/>
    </row>
    <row r="95" spans="1:12" x14ac:dyDescent="0.25">
      <c r="A95" s="106">
        <v>9</v>
      </c>
      <c r="B95" s="65" t="s">
        <v>52</v>
      </c>
      <c r="C95" s="66">
        <v>1500</v>
      </c>
      <c r="D95" s="67">
        <f>170.12/4</f>
        <v>42.53</v>
      </c>
      <c r="E95" s="34">
        <v>0</v>
      </c>
      <c r="F95" s="47"/>
      <c r="G95" s="44">
        <f t="shared" si="16"/>
        <v>0</v>
      </c>
      <c r="H95" s="43"/>
      <c r="I95" s="44">
        <f t="shared" si="17"/>
        <v>0</v>
      </c>
      <c r="J95" s="44">
        <f t="shared" si="18"/>
        <v>0</v>
      </c>
      <c r="K95" s="45">
        <f t="shared" si="19"/>
        <v>0</v>
      </c>
      <c r="L95" s="215"/>
    </row>
    <row r="96" spans="1:12" x14ac:dyDescent="0.25">
      <c r="A96" s="106">
        <v>10</v>
      </c>
      <c r="B96" s="65" t="s">
        <v>53</v>
      </c>
      <c r="C96" s="66">
        <v>1500</v>
      </c>
      <c r="D96" s="67">
        <f>788.59/16</f>
        <v>49.286875000000002</v>
      </c>
      <c r="E96" s="34">
        <v>0</v>
      </c>
      <c r="F96" s="47"/>
      <c r="G96" s="44">
        <f t="shared" si="16"/>
        <v>0</v>
      </c>
      <c r="H96" s="43"/>
      <c r="I96" s="44">
        <f t="shared" si="17"/>
        <v>0</v>
      </c>
      <c r="J96" s="44">
        <f t="shared" si="18"/>
        <v>0</v>
      </c>
      <c r="K96" s="45">
        <f t="shared" si="19"/>
        <v>0</v>
      </c>
      <c r="L96" s="215"/>
    </row>
    <row r="97" spans="1:14" x14ac:dyDescent="0.25">
      <c r="A97" s="106">
        <v>11</v>
      </c>
      <c r="B97" s="65" t="s">
        <v>54</v>
      </c>
      <c r="C97" s="66">
        <v>2500</v>
      </c>
      <c r="D97" s="67">
        <f>159.14/2</f>
        <v>79.569999999999993</v>
      </c>
      <c r="E97" s="34">
        <v>0</v>
      </c>
      <c r="F97" s="47"/>
      <c r="G97" s="44">
        <f t="shared" si="16"/>
        <v>0</v>
      </c>
      <c r="H97" s="43">
        <f>2036-2036</f>
        <v>0</v>
      </c>
      <c r="I97" s="44">
        <f t="shared" si="17"/>
        <v>0</v>
      </c>
      <c r="J97" s="44">
        <f t="shared" si="18"/>
        <v>0</v>
      </c>
      <c r="K97" s="45">
        <f t="shared" si="19"/>
        <v>0</v>
      </c>
      <c r="L97" s="215"/>
    </row>
    <row r="98" spans="1:14" x14ac:dyDescent="0.25">
      <c r="A98" s="106">
        <v>12</v>
      </c>
      <c r="B98" s="65" t="s">
        <v>55</v>
      </c>
      <c r="C98" s="66">
        <v>1500</v>
      </c>
      <c r="D98" s="67">
        <f>151.67/8</f>
        <v>18.958749999999998</v>
      </c>
      <c r="E98" s="34">
        <v>0</v>
      </c>
      <c r="F98" s="47"/>
      <c r="G98" s="44">
        <f t="shared" si="16"/>
        <v>0</v>
      </c>
      <c r="H98" s="43">
        <f>19824-19824</f>
        <v>0</v>
      </c>
      <c r="I98" s="44">
        <f t="shared" si="17"/>
        <v>0</v>
      </c>
      <c r="J98" s="44">
        <f t="shared" si="18"/>
        <v>0</v>
      </c>
      <c r="K98" s="45">
        <f t="shared" si="19"/>
        <v>0</v>
      </c>
      <c r="L98" s="215"/>
    </row>
    <row r="99" spans="1:14" x14ac:dyDescent="0.25">
      <c r="A99" s="106">
        <v>13</v>
      </c>
      <c r="B99" s="65" t="s">
        <v>56</v>
      </c>
      <c r="C99" s="66">
        <v>15000</v>
      </c>
      <c r="D99" s="76">
        <v>15000</v>
      </c>
      <c r="E99" s="34">
        <v>0</v>
      </c>
      <c r="F99" s="47"/>
      <c r="G99" s="44">
        <f t="shared" si="16"/>
        <v>0</v>
      </c>
      <c r="H99" s="43"/>
      <c r="I99" s="44">
        <f t="shared" si="17"/>
        <v>0</v>
      </c>
      <c r="J99" s="44">
        <f t="shared" si="18"/>
        <v>0</v>
      </c>
      <c r="K99" s="45">
        <f t="shared" si="19"/>
        <v>0</v>
      </c>
      <c r="L99" s="215"/>
    </row>
    <row r="100" spans="1:14" x14ac:dyDescent="0.25">
      <c r="A100" s="106">
        <v>14</v>
      </c>
      <c r="B100" s="65" t="s">
        <v>57</v>
      </c>
      <c r="C100" s="66">
        <v>1500</v>
      </c>
      <c r="D100" s="67">
        <v>88.42</v>
      </c>
      <c r="E100" s="34">
        <v>0</v>
      </c>
      <c r="F100" s="47"/>
      <c r="G100" s="44">
        <f t="shared" si="16"/>
        <v>0</v>
      </c>
      <c r="H100" s="43">
        <f>4432-4432</f>
        <v>0</v>
      </c>
      <c r="I100" s="44">
        <f t="shared" si="17"/>
        <v>0</v>
      </c>
      <c r="J100" s="44">
        <f t="shared" si="18"/>
        <v>0</v>
      </c>
      <c r="K100" s="45">
        <f t="shared" si="19"/>
        <v>0</v>
      </c>
      <c r="L100" s="215"/>
      <c r="N100" t="s">
        <v>954</v>
      </c>
    </row>
    <row r="101" spans="1:14" ht="15.75" thickBot="1" x14ac:dyDescent="0.3">
      <c r="A101" s="106">
        <v>15</v>
      </c>
      <c r="B101" s="101" t="s">
        <v>58</v>
      </c>
      <c r="C101" s="102">
        <v>1500</v>
      </c>
      <c r="D101" s="103">
        <v>82.68</v>
      </c>
      <c r="E101" s="108">
        <v>0</v>
      </c>
      <c r="F101" s="107"/>
      <c r="G101" s="94">
        <f t="shared" si="16"/>
        <v>0</v>
      </c>
      <c r="H101" s="93"/>
      <c r="I101" s="94">
        <f t="shared" si="17"/>
        <v>0</v>
      </c>
      <c r="J101" s="94">
        <f t="shared" si="18"/>
        <v>0</v>
      </c>
      <c r="K101" s="95">
        <f t="shared" si="19"/>
        <v>0</v>
      </c>
      <c r="L101" s="215"/>
    </row>
    <row r="102" spans="1:14" ht="15.75" thickBot="1" x14ac:dyDescent="0.3">
      <c r="A102" s="69"/>
      <c r="B102" s="105" t="s">
        <v>660</v>
      </c>
      <c r="C102" s="77"/>
      <c r="D102" s="72"/>
      <c r="E102" s="72">
        <f t="shared" ref="E102:K102" si="20">SUM(E87:E101)</f>
        <v>0</v>
      </c>
      <c r="F102" s="72">
        <f t="shared" si="20"/>
        <v>0</v>
      </c>
      <c r="G102" s="72">
        <f t="shared" si="20"/>
        <v>0</v>
      </c>
      <c r="H102" s="72">
        <f t="shared" si="20"/>
        <v>0</v>
      </c>
      <c r="I102" s="72">
        <f t="shared" si="20"/>
        <v>0</v>
      </c>
      <c r="J102" s="72">
        <f t="shared" si="20"/>
        <v>0</v>
      </c>
      <c r="K102" s="73">
        <f t="shared" si="20"/>
        <v>0</v>
      </c>
      <c r="L102" s="216"/>
    </row>
    <row r="103" spans="1:14" ht="15.75" thickBot="1" x14ac:dyDescent="0.3">
      <c r="B103" s="80"/>
      <c r="C103" s="81"/>
      <c r="D103" s="82"/>
      <c r="E103" s="83"/>
      <c r="F103" s="49"/>
      <c r="G103" s="83"/>
      <c r="H103" s="83"/>
      <c r="I103" s="83"/>
      <c r="J103" s="83"/>
      <c r="K103" s="83"/>
      <c r="L103" s="141"/>
    </row>
    <row r="104" spans="1:14" ht="15.75" thickBot="1" x14ac:dyDescent="0.3">
      <c r="A104" s="431" t="s">
        <v>653</v>
      </c>
      <c r="B104" s="428" t="s">
        <v>0</v>
      </c>
      <c r="C104" s="428" t="s">
        <v>1</v>
      </c>
      <c r="D104" s="429" t="s">
        <v>645</v>
      </c>
      <c r="E104" s="430" t="s">
        <v>19</v>
      </c>
      <c r="F104" s="430"/>
      <c r="G104" s="430"/>
      <c r="H104" s="430"/>
      <c r="I104" s="430"/>
      <c r="J104" s="424" t="s">
        <v>20</v>
      </c>
      <c r="K104" s="426" t="s">
        <v>598</v>
      </c>
      <c r="L104" s="213"/>
    </row>
    <row r="105" spans="1:14" ht="15.75" thickBot="1" x14ac:dyDescent="0.3">
      <c r="A105" s="432"/>
      <c r="B105" s="428"/>
      <c r="C105" s="428"/>
      <c r="D105" s="429"/>
      <c r="E105" s="54" t="s">
        <v>21</v>
      </c>
      <c r="F105" s="54" t="s">
        <v>596</v>
      </c>
      <c r="G105" s="54" t="s">
        <v>597</v>
      </c>
      <c r="H105" s="54" t="s">
        <v>585</v>
      </c>
      <c r="I105" s="54" t="s">
        <v>597</v>
      </c>
      <c r="J105" s="425"/>
      <c r="K105" s="427"/>
      <c r="L105" s="213"/>
    </row>
    <row r="106" spans="1:14" ht="15.75" thickBot="1" x14ac:dyDescent="0.3">
      <c r="A106" s="433"/>
      <c r="B106" s="55">
        <v>1</v>
      </c>
      <c r="C106" s="55">
        <v>2</v>
      </c>
      <c r="D106" s="55">
        <v>3</v>
      </c>
      <c r="E106" s="56">
        <v>4</v>
      </c>
      <c r="F106" s="56">
        <f>+E106+1</f>
        <v>5</v>
      </c>
      <c r="G106" s="56" t="s">
        <v>648</v>
      </c>
      <c r="H106" s="56">
        <v>7</v>
      </c>
      <c r="I106" s="57" t="s">
        <v>647</v>
      </c>
      <c r="J106" s="33" t="s">
        <v>646</v>
      </c>
      <c r="K106" s="33" t="s">
        <v>649</v>
      </c>
      <c r="L106" s="214"/>
    </row>
    <row r="107" spans="1:14" x14ac:dyDescent="0.25">
      <c r="A107" s="58"/>
      <c r="B107" s="58" t="s">
        <v>661</v>
      </c>
      <c r="C107" s="59"/>
      <c r="D107" s="60"/>
      <c r="E107" s="42"/>
      <c r="F107" s="42"/>
      <c r="G107" s="42"/>
      <c r="H107" s="42"/>
      <c r="I107" s="42"/>
      <c r="J107" s="42"/>
      <c r="K107" s="42"/>
      <c r="L107" s="114"/>
    </row>
    <row r="108" spans="1:14" x14ac:dyDescent="0.25">
      <c r="A108" s="106">
        <v>1</v>
      </c>
      <c r="B108" s="65" t="s">
        <v>59</v>
      </c>
      <c r="C108" s="66">
        <v>1500</v>
      </c>
      <c r="D108" s="67">
        <v>88.42</v>
      </c>
      <c r="E108" s="46">
        <v>0</v>
      </c>
      <c r="F108" s="46"/>
      <c r="G108" s="44">
        <f t="shared" ref="G108:G123" si="21">+E108+F108</f>
        <v>0</v>
      </c>
      <c r="H108" s="43">
        <f>50+218-268</f>
        <v>0</v>
      </c>
      <c r="I108" s="44">
        <f t="shared" ref="I108:I123" si="22">+G108-H108</f>
        <v>0</v>
      </c>
      <c r="J108" s="44">
        <f t="shared" ref="J108:J123" si="23">I108*C108</f>
        <v>0</v>
      </c>
      <c r="K108" s="45">
        <f t="shared" ref="K108:K123" si="24">+D108*I108</f>
        <v>0</v>
      </c>
      <c r="L108" s="215"/>
    </row>
    <row r="109" spans="1:14" x14ac:dyDescent="0.25">
      <c r="A109" s="106">
        <v>2</v>
      </c>
      <c r="B109" s="65" t="s">
        <v>60</v>
      </c>
      <c r="C109" s="66">
        <v>2500</v>
      </c>
      <c r="D109" s="67">
        <v>88.42</v>
      </c>
      <c r="E109" s="46">
        <v>0</v>
      </c>
      <c r="F109" s="46"/>
      <c r="G109" s="44">
        <f t="shared" si="21"/>
        <v>0</v>
      </c>
      <c r="H109" s="43"/>
      <c r="I109" s="44">
        <f t="shared" si="22"/>
        <v>0</v>
      </c>
      <c r="J109" s="44">
        <f t="shared" si="23"/>
        <v>0</v>
      </c>
      <c r="K109" s="45">
        <f t="shared" si="24"/>
        <v>0</v>
      </c>
      <c r="L109" s="215"/>
    </row>
    <row r="110" spans="1:14" x14ac:dyDescent="0.25">
      <c r="A110" s="106">
        <v>3</v>
      </c>
      <c r="B110" s="65" t="s">
        <v>61</v>
      </c>
      <c r="C110" s="66">
        <v>1500</v>
      </c>
      <c r="D110" s="67">
        <v>88.42</v>
      </c>
      <c r="E110" s="46">
        <v>0</v>
      </c>
      <c r="F110" s="46"/>
      <c r="G110" s="44">
        <f t="shared" si="21"/>
        <v>0</v>
      </c>
      <c r="H110" s="43">
        <f>5932-5932</f>
        <v>0</v>
      </c>
      <c r="I110" s="44">
        <f t="shared" si="22"/>
        <v>0</v>
      </c>
      <c r="J110" s="44">
        <f t="shared" si="23"/>
        <v>0</v>
      </c>
      <c r="K110" s="45">
        <f t="shared" si="24"/>
        <v>0</v>
      </c>
      <c r="L110" s="215"/>
    </row>
    <row r="111" spans="1:14" x14ac:dyDescent="0.25">
      <c r="A111" s="106">
        <v>4</v>
      </c>
      <c r="B111" s="65" t="s">
        <v>62</v>
      </c>
      <c r="C111" s="66">
        <v>1500</v>
      </c>
      <c r="D111" s="67">
        <v>88.42</v>
      </c>
      <c r="E111" s="46">
        <v>0</v>
      </c>
      <c r="F111" s="46"/>
      <c r="G111" s="44">
        <f t="shared" si="21"/>
        <v>0</v>
      </c>
      <c r="H111" s="43"/>
      <c r="I111" s="44">
        <f t="shared" si="22"/>
        <v>0</v>
      </c>
      <c r="J111" s="44">
        <f t="shared" si="23"/>
        <v>0</v>
      </c>
      <c r="K111" s="45">
        <f t="shared" si="24"/>
        <v>0</v>
      </c>
      <c r="L111" s="215"/>
    </row>
    <row r="112" spans="1:14" x14ac:dyDescent="0.25">
      <c r="A112" s="106">
        <v>5</v>
      </c>
      <c r="B112" s="65" t="s">
        <v>49</v>
      </c>
      <c r="C112" s="66">
        <v>1500</v>
      </c>
      <c r="D112" s="67">
        <v>64.78</v>
      </c>
      <c r="E112" s="46">
        <v>0</v>
      </c>
      <c r="F112" s="46"/>
      <c r="G112" s="44">
        <f t="shared" si="21"/>
        <v>0</v>
      </c>
      <c r="H112" s="43"/>
      <c r="I112" s="44">
        <f t="shared" si="22"/>
        <v>0</v>
      </c>
      <c r="J112" s="44">
        <f t="shared" si="23"/>
        <v>0</v>
      </c>
      <c r="K112" s="45">
        <f t="shared" si="24"/>
        <v>0</v>
      </c>
      <c r="L112" s="215"/>
    </row>
    <row r="113" spans="1:12" x14ac:dyDescent="0.25">
      <c r="A113" s="106">
        <v>6</v>
      </c>
      <c r="B113" s="65" t="s">
        <v>63</v>
      </c>
      <c r="C113" s="66">
        <v>1500</v>
      </c>
      <c r="D113" s="67">
        <v>64.78</v>
      </c>
      <c r="E113" s="46">
        <v>0</v>
      </c>
      <c r="F113" s="46"/>
      <c r="G113" s="44">
        <f t="shared" si="21"/>
        <v>0</v>
      </c>
      <c r="H113" s="43"/>
      <c r="I113" s="44">
        <f t="shared" si="22"/>
        <v>0</v>
      </c>
      <c r="J113" s="44">
        <f t="shared" si="23"/>
        <v>0</v>
      </c>
      <c r="K113" s="45">
        <f t="shared" si="24"/>
        <v>0</v>
      </c>
      <c r="L113" s="215"/>
    </row>
    <row r="114" spans="1:12" x14ac:dyDescent="0.25">
      <c r="A114" s="106">
        <v>7</v>
      </c>
      <c r="B114" s="65" t="s">
        <v>50</v>
      </c>
      <c r="C114" s="66">
        <v>1500</v>
      </c>
      <c r="D114" s="67">
        <v>64.78</v>
      </c>
      <c r="E114" s="46">
        <v>0</v>
      </c>
      <c r="F114" s="46"/>
      <c r="G114" s="44">
        <f t="shared" si="21"/>
        <v>0</v>
      </c>
      <c r="H114" s="43"/>
      <c r="I114" s="44">
        <f t="shared" si="22"/>
        <v>0</v>
      </c>
      <c r="J114" s="44">
        <f t="shared" si="23"/>
        <v>0</v>
      </c>
      <c r="K114" s="45">
        <f t="shared" si="24"/>
        <v>0</v>
      </c>
      <c r="L114" s="215"/>
    </row>
    <row r="115" spans="1:12" x14ac:dyDescent="0.25">
      <c r="A115" s="106">
        <v>8</v>
      </c>
      <c r="B115" s="65" t="s">
        <v>64</v>
      </c>
      <c r="C115" s="66">
        <v>2500</v>
      </c>
      <c r="D115" s="67">
        <v>32.39</v>
      </c>
      <c r="E115" s="46">
        <v>0</v>
      </c>
      <c r="F115" s="46"/>
      <c r="G115" s="44">
        <f t="shared" si="21"/>
        <v>0</v>
      </c>
      <c r="H115" s="43">
        <f>12-12</f>
        <v>0</v>
      </c>
      <c r="I115" s="44">
        <f t="shared" si="22"/>
        <v>0</v>
      </c>
      <c r="J115" s="44">
        <f t="shared" si="23"/>
        <v>0</v>
      </c>
      <c r="K115" s="45">
        <f t="shared" si="24"/>
        <v>0</v>
      </c>
      <c r="L115" s="215"/>
    </row>
    <row r="116" spans="1:12" x14ac:dyDescent="0.25">
      <c r="A116" s="106">
        <v>9</v>
      </c>
      <c r="B116" s="65" t="s">
        <v>65</v>
      </c>
      <c r="C116" s="66">
        <v>15000</v>
      </c>
      <c r="D116" s="67">
        <v>194.34</v>
      </c>
      <c r="E116" s="46">
        <v>0</v>
      </c>
      <c r="F116" s="46"/>
      <c r="G116" s="44">
        <f t="shared" si="21"/>
        <v>0</v>
      </c>
      <c r="H116" s="43"/>
      <c r="I116" s="44">
        <f t="shared" si="22"/>
        <v>0</v>
      </c>
      <c r="J116" s="44">
        <f t="shared" si="23"/>
        <v>0</v>
      </c>
      <c r="K116" s="45">
        <f t="shared" si="24"/>
        <v>0</v>
      </c>
      <c r="L116" s="215"/>
    </row>
    <row r="117" spans="1:12" x14ac:dyDescent="0.25">
      <c r="A117" s="106">
        <v>10</v>
      </c>
      <c r="B117" s="65" t="s">
        <v>66</v>
      </c>
      <c r="C117" s="66">
        <v>1500</v>
      </c>
      <c r="D117" s="67">
        <v>64.78</v>
      </c>
      <c r="E117" s="46">
        <v>0</v>
      </c>
      <c r="F117" s="46"/>
      <c r="G117" s="44">
        <f t="shared" si="21"/>
        <v>0</v>
      </c>
      <c r="H117" s="43"/>
      <c r="I117" s="44">
        <f t="shared" si="22"/>
        <v>0</v>
      </c>
      <c r="J117" s="44">
        <f t="shared" si="23"/>
        <v>0</v>
      </c>
      <c r="K117" s="45">
        <f t="shared" si="24"/>
        <v>0</v>
      </c>
      <c r="L117" s="215"/>
    </row>
    <row r="118" spans="1:12" x14ac:dyDescent="0.25">
      <c r="A118" s="106">
        <v>11</v>
      </c>
      <c r="B118" s="65" t="s">
        <v>67</v>
      </c>
      <c r="C118" s="66">
        <v>1500</v>
      </c>
      <c r="D118" s="67">
        <v>70.77</v>
      </c>
      <c r="E118" s="46">
        <v>0</v>
      </c>
      <c r="F118" s="46"/>
      <c r="G118" s="44">
        <f t="shared" si="21"/>
        <v>0</v>
      </c>
      <c r="H118" s="43"/>
      <c r="I118" s="44">
        <f t="shared" si="22"/>
        <v>0</v>
      </c>
      <c r="J118" s="44">
        <f t="shared" si="23"/>
        <v>0</v>
      </c>
      <c r="K118" s="45">
        <f t="shared" si="24"/>
        <v>0</v>
      </c>
      <c r="L118" s="215"/>
    </row>
    <row r="119" spans="1:12" x14ac:dyDescent="0.25">
      <c r="A119" s="106">
        <v>12</v>
      </c>
      <c r="B119" s="65" t="s">
        <v>68</v>
      </c>
      <c r="C119" s="66">
        <v>1500</v>
      </c>
      <c r="D119" s="67">
        <v>88.72</v>
      </c>
      <c r="E119" s="46">
        <v>0</v>
      </c>
      <c r="F119" s="46"/>
      <c r="G119" s="44">
        <f t="shared" si="21"/>
        <v>0</v>
      </c>
      <c r="H119" s="43"/>
      <c r="I119" s="44">
        <f t="shared" si="22"/>
        <v>0</v>
      </c>
      <c r="J119" s="44">
        <f t="shared" si="23"/>
        <v>0</v>
      </c>
      <c r="K119" s="45">
        <f t="shared" si="24"/>
        <v>0</v>
      </c>
      <c r="L119" s="215"/>
    </row>
    <row r="120" spans="1:12" x14ac:dyDescent="0.25">
      <c r="A120" s="106">
        <v>13</v>
      </c>
      <c r="B120" s="65" t="s">
        <v>69</v>
      </c>
      <c r="C120" s="66">
        <v>1500</v>
      </c>
      <c r="D120" s="67">
        <v>70.77</v>
      </c>
      <c r="E120" s="46">
        <v>0</v>
      </c>
      <c r="F120" s="46"/>
      <c r="G120" s="44">
        <f t="shared" si="21"/>
        <v>0</v>
      </c>
      <c r="H120" s="43"/>
      <c r="I120" s="44">
        <f t="shared" si="22"/>
        <v>0</v>
      </c>
      <c r="J120" s="44">
        <f t="shared" si="23"/>
        <v>0</v>
      </c>
      <c r="K120" s="45">
        <f t="shared" si="24"/>
        <v>0</v>
      </c>
      <c r="L120" s="215"/>
    </row>
    <row r="121" spans="1:12" x14ac:dyDescent="0.25">
      <c r="A121" s="106">
        <v>14</v>
      </c>
      <c r="B121" s="65" t="s">
        <v>70</v>
      </c>
      <c r="C121" s="66">
        <v>2500</v>
      </c>
      <c r="D121" s="67">
        <v>70.77</v>
      </c>
      <c r="E121" s="46">
        <v>0</v>
      </c>
      <c r="F121" s="46"/>
      <c r="G121" s="44">
        <f t="shared" si="21"/>
        <v>0</v>
      </c>
      <c r="H121" s="43"/>
      <c r="I121" s="44">
        <f t="shared" si="22"/>
        <v>0</v>
      </c>
      <c r="J121" s="44">
        <f t="shared" si="23"/>
        <v>0</v>
      </c>
      <c r="K121" s="45">
        <f t="shared" si="24"/>
        <v>0</v>
      </c>
      <c r="L121" s="215"/>
    </row>
    <row r="122" spans="1:12" x14ac:dyDescent="0.25">
      <c r="A122" s="106">
        <v>15</v>
      </c>
      <c r="B122" s="65" t="s">
        <v>71</v>
      </c>
      <c r="C122" s="66">
        <v>1500</v>
      </c>
      <c r="D122" s="67">
        <v>70.77</v>
      </c>
      <c r="E122" s="46">
        <v>0</v>
      </c>
      <c r="F122" s="46"/>
      <c r="G122" s="44">
        <f t="shared" si="21"/>
        <v>0</v>
      </c>
      <c r="H122" s="43">
        <f>369-369</f>
        <v>0</v>
      </c>
      <c r="I122" s="44">
        <f t="shared" si="22"/>
        <v>0</v>
      </c>
      <c r="J122" s="44">
        <f t="shared" si="23"/>
        <v>0</v>
      </c>
      <c r="K122" s="45">
        <f t="shared" si="24"/>
        <v>0</v>
      </c>
      <c r="L122" s="215"/>
    </row>
    <row r="123" spans="1:12" ht="15.75" thickBot="1" x14ac:dyDescent="0.3">
      <c r="A123" s="106">
        <v>16</v>
      </c>
      <c r="B123" s="101" t="s">
        <v>650</v>
      </c>
      <c r="C123" s="102">
        <v>6000</v>
      </c>
      <c r="D123" s="103">
        <v>70.77</v>
      </c>
      <c r="E123" s="104">
        <v>0</v>
      </c>
      <c r="F123" s="104"/>
      <c r="G123" s="94">
        <f t="shared" si="21"/>
        <v>0</v>
      </c>
      <c r="H123" s="43">
        <f>49-49</f>
        <v>0</v>
      </c>
      <c r="I123" s="94">
        <f t="shared" si="22"/>
        <v>0</v>
      </c>
      <c r="J123" s="94">
        <f t="shared" si="23"/>
        <v>0</v>
      </c>
      <c r="K123" s="95">
        <f t="shared" si="24"/>
        <v>0</v>
      </c>
      <c r="L123" s="215"/>
    </row>
    <row r="124" spans="1:12" ht="15.75" thickBot="1" x14ac:dyDescent="0.3">
      <c r="A124" s="69"/>
      <c r="B124" s="105" t="s">
        <v>662</v>
      </c>
      <c r="C124" s="77"/>
      <c r="D124" s="32"/>
      <c r="E124" s="48">
        <f t="shared" ref="E124:K124" si="25">SUM(E108:E123)</f>
        <v>0</v>
      </c>
      <c r="F124" s="48">
        <f t="shared" si="25"/>
        <v>0</v>
      </c>
      <c r="G124" s="48">
        <f t="shared" si="25"/>
        <v>0</v>
      </c>
      <c r="H124" s="37">
        <f t="shared" si="25"/>
        <v>0</v>
      </c>
      <c r="I124" s="37">
        <f t="shared" si="25"/>
        <v>0</v>
      </c>
      <c r="J124" s="37">
        <f t="shared" si="25"/>
        <v>0</v>
      </c>
      <c r="K124" s="38">
        <f t="shared" si="25"/>
        <v>0</v>
      </c>
      <c r="L124" s="151"/>
    </row>
    <row r="125" spans="1:12" ht="15.75" thickBot="1" x14ac:dyDescent="0.3">
      <c r="B125" s="80"/>
      <c r="C125" s="81"/>
      <c r="D125" s="82"/>
      <c r="E125" s="83"/>
      <c r="F125" s="49"/>
      <c r="G125" s="83"/>
      <c r="H125" s="83"/>
      <c r="I125" s="83"/>
      <c r="J125" s="83"/>
      <c r="K125" s="82"/>
      <c r="L125" s="140"/>
    </row>
    <row r="126" spans="1:12" ht="15.75" thickBot="1" x14ac:dyDescent="0.3">
      <c r="A126" s="431" t="s">
        <v>653</v>
      </c>
      <c r="B126" s="428" t="s">
        <v>0</v>
      </c>
      <c r="C126" s="428" t="s">
        <v>1</v>
      </c>
      <c r="D126" s="429" t="s">
        <v>645</v>
      </c>
      <c r="E126" s="430" t="s">
        <v>19</v>
      </c>
      <c r="F126" s="430"/>
      <c r="G126" s="430"/>
      <c r="H126" s="430"/>
      <c r="I126" s="430"/>
      <c r="J126" s="424" t="s">
        <v>20</v>
      </c>
      <c r="K126" s="426" t="s">
        <v>598</v>
      </c>
      <c r="L126" s="213"/>
    </row>
    <row r="127" spans="1:12" ht="15.75" thickBot="1" x14ac:dyDescent="0.3">
      <c r="A127" s="432"/>
      <c r="B127" s="428"/>
      <c r="C127" s="428"/>
      <c r="D127" s="429"/>
      <c r="E127" s="54" t="s">
        <v>21</v>
      </c>
      <c r="F127" s="54" t="s">
        <v>596</v>
      </c>
      <c r="G127" s="54" t="s">
        <v>597</v>
      </c>
      <c r="H127" s="54" t="s">
        <v>585</v>
      </c>
      <c r="I127" s="54" t="s">
        <v>597</v>
      </c>
      <c r="J127" s="425"/>
      <c r="K127" s="427"/>
      <c r="L127" s="213"/>
    </row>
    <row r="128" spans="1:12" ht="15.75" thickBot="1" x14ac:dyDescent="0.3">
      <c r="A128" s="433"/>
      <c r="B128" s="55">
        <v>1</v>
      </c>
      <c r="C128" s="55">
        <v>2</v>
      </c>
      <c r="D128" s="55">
        <v>3</v>
      </c>
      <c r="E128" s="56">
        <v>4</v>
      </c>
      <c r="F128" s="56">
        <f>+E128+1</f>
        <v>5</v>
      </c>
      <c r="G128" s="56" t="s">
        <v>648</v>
      </c>
      <c r="H128" s="56">
        <v>7</v>
      </c>
      <c r="I128" s="57" t="s">
        <v>647</v>
      </c>
      <c r="J128" s="33" t="s">
        <v>646</v>
      </c>
      <c r="K128" s="33" t="s">
        <v>649</v>
      </c>
      <c r="L128" s="214"/>
    </row>
    <row r="129" spans="1:12" x14ac:dyDescent="0.25">
      <c r="A129" s="58"/>
      <c r="B129" s="58" t="s">
        <v>663</v>
      </c>
      <c r="C129" s="78"/>
      <c r="D129" s="60"/>
      <c r="E129" s="42"/>
      <c r="F129" s="42"/>
      <c r="G129" s="42"/>
      <c r="H129" s="42"/>
      <c r="I129" s="42"/>
      <c r="J129" s="42"/>
      <c r="K129" s="42"/>
      <c r="L129" s="114"/>
    </row>
    <row r="130" spans="1:12" x14ac:dyDescent="0.25">
      <c r="A130" s="106">
        <v>1</v>
      </c>
      <c r="B130" s="65" t="s">
        <v>72</v>
      </c>
      <c r="C130" s="66">
        <v>2000</v>
      </c>
      <c r="D130" s="67">
        <v>145.15</v>
      </c>
      <c r="E130" s="47">
        <v>0</v>
      </c>
      <c r="F130" s="47"/>
      <c r="G130" s="44">
        <f t="shared" ref="G130:G159" si="26">+E130+F130</f>
        <v>0</v>
      </c>
      <c r="H130" s="43"/>
      <c r="I130" s="44">
        <f t="shared" ref="I130:I159" si="27">+G130-H130</f>
        <v>0</v>
      </c>
      <c r="J130" s="44">
        <f t="shared" ref="J130:J159" si="28">I130*C130</f>
        <v>0</v>
      </c>
      <c r="K130" s="45">
        <f t="shared" ref="K130:K159" si="29">+D130*I130</f>
        <v>0</v>
      </c>
      <c r="L130" s="215"/>
    </row>
    <row r="131" spans="1:12" x14ac:dyDescent="0.25">
      <c r="A131" s="106">
        <v>2</v>
      </c>
      <c r="B131" s="65" t="s">
        <v>73</v>
      </c>
      <c r="C131" s="66">
        <v>2500</v>
      </c>
      <c r="D131" s="67">
        <v>208.86</v>
      </c>
      <c r="E131" s="47">
        <v>0</v>
      </c>
      <c r="F131" s="47"/>
      <c r="G131" s="44">
        <f t="shared" si="26"/>
        <v>0</v>
      </c>
      <c r="H131" s="43"/>
      <c r="I131" s="44">
        <f t="shared" si="27"/>
        <v>0</v>
      </c>
      <c r="J131" s="44">
        <f t="shared" si="28"/>
        <v>0</v>
      </c>
      <c r="K131" s="45">
        <f t="shared" si="29"/>
        <v>0</v>
      </c>
      <c r="L131" s="215"/>
    </row>
    <row r="132" spans="1:12" x14ac:dyDescent="0.25">
      <c r="A132" s="106">
        <v>3</v>
      </c>
      <c r="B132" s="65" t="s">
        <v>74</v>
      </c>
      <c r="C132" s="66">
        <v>5000</v>
      </c>
      <c r="D132" s="67"/>
      <c r="E132" s="47">
        <v>0</v>
      </c>
      <c r="F132" s="47"/>
      <c r="G132" s="44">
        <f t="shared" si="26"/>
        <v>0</v>
      </c>
      <c r="H132" s="43"/>
      <c r="I132" s="44">
        <f t="shared" si="27"/>
        <v>0</v>
      </c>
      <c r="J132" s="44">
        <f t="shared" si="28"/>
        <v>0</v>
      </c>
      <c r="K132" s="45">
        <f t="shared" si="29"/>
        <v>0</v>
      </c>
      <c r="L132" s="215"/>
    </row>
    <row r="133" spans="1:12" x14ac:dyDescent="0.25">
      <c r="A133" s="106">
        <v>4</v>
      </c>
      <c r="B133" s="65" t="s">
        <v>75</v>
      </c>
      <c r="C133" s="66"/>
      <c r="D133" s="67"/>
      <c r="E133" s="47">
        <v>0</v>
      </c>
      <c r="F133" s="47"/>
      <c r="G133" s="44">
        <f t="shared" si="26"/>
        <v>0</v>
      </c>
      <c r="H133" s="43"/>
      <c r="I133" s="44">
        <f t="shared" si="27"/>
        <v>0</v>
      </c>
      <c r="J133" s="44">
        <f t="shared" si="28"/>
        <v>0</v>
      </c>
      <c r="K133" s="45">
        <f t="shared" si="29"/>
        <v>0</v>
      </c>
      <c r="L133" s="215"/>
    </row>
    <row r="134" spans="1:12" x14ac:dyDescent="0.25">
      <c r="A134" s="106">
        <v>5</v>
      </c>
      <c r="B134" s="79" t="s">
        <v>76</v>
      </c>
      <c r="C134" s="66">
        <v>2500</v>
      </c>
      <c r="D134" s="67">
        <v>198.18</v>
      </c>
      <c r="E134" s="47">
        <v>0</v>
      </c>
      <c r="F134" s="47"/>
      <c r="G134" s="44">
        <f t="shared" si="26"/>
        <v>0</v>
      </c>
      <c r="H134" s="43"/>
      <c r="I134" s="44">
        <f t="shared" si="27"/>
        <v>0</v>
      </c>
      <c r="J134" s="44">
        <f t="shared" si="28"/>
        <v>0</v>
      </c>
      <c r="K134" s="45">
        <f t="shared" si="29"/>
        <v>0</v>
      </c>
      <c r="L134" s="215"/>
    </row>
    <row r="135" spans="1:12" x14ac:dyDescent="0.25">
      <c r="A135" s="106">
        <v>6</v>
      </c>
      <c r="B135" s="79" t="s">
        <v>77</v>
      </c>
      <c r="C135" s="66">
        <v>2500</v>
      </c>
      <c r="D135" s="67">
        <v>198.18</v>
      </c>
      <c r="E135" s="47">
        <v>0</v>
      </c>
      <c r="F135" s="47"/>
      <c r="G135" s="44">
        <f t="shared" si="26"/>
        <v>0</v>
      </c>
      <c r="H135" s="43"/>
      <c r="I135" s="44">
        <f t="shared" si="27"/>
        <v>0</v>
      </c>
      <c r="J135" s="44">
        <f t="shared" si="28"/>
        <v>0</v>
      </c>
      <c r="K135" s="45">
        <f t="shared" si="29"/>
        <v>0</v>
      </c>
      <c r="L135" s="215"/>
    </row>
    <row r="136" spans="1:12" x14ac:dyDescent="0.25">
      <c r="A136" s="106">
        <v>7</v>
      </c>
      <c r="B136" s="79" t="s">
        <v>78</v>
      </c>
      <c r="C136" s="66">
        <v>2500</v>
      </c>
      <c r="D136" s="67">
        <v>198.18</v>
      </c>
      <c r="E136" s="47">
        <v>0</v>
      </c>
      <c r="F136" s="47"/>
      <c r="G136" s="44">
        <f t="shared" si="26"/>
        <v>0</v>
      </c>
      <c r="H136" s="43"/>
      <c r="I136" s="44">
        <f t="shared" si="27"/>
        <v>0</v>
      </c>
      <c r="J136" s="44">
        <f t="shared" si="28"/>
        <v>0</v>
      </c>
      <c r="K136" s="45">
        <f t="shared" si="29"/>
        <v>0</v>
      </c>
      <c r="L136" s="215"/>
    </row>
    <row r="137" spans="1:12" x14ac:dyDescent="0.25">
      <c r="A137" s="106">
        <v>8</v>
      </c>
      <c r="B137" s="79" t="s">
        <v>79</v>
      </c>
      <c r="C137" s="66">
        <v>2500</v>
      </c>
      <c r="D137" s="67">
        <v>198.18</v>
      </c>
      <c r="E137" s="47">
        <v>0</v>
      </c>
      <c r="F137" s="47"/>
      <c r="G137" s="44">
        <f t="shared" si="26"/>
        <v>0</v>
      </c>
      <c r="H137" s="43"/>
      <c r="I137" s="44">
        <f t="shared" si="27"/>
        <v>0</v>
      </c>
      <c r="J137" s="44">
        <f t="shared" si="28"/>
        <v>0</v>
      </c>
      <c r="K137" s="45">
        <f t="shared" si="29"/>
        <v>0</v>
      </c>
      <c r="L137" s="215"/>
    </row>
    <row r="138" spans="1:12" x14ac:dyDescent="0.25">
      <c r="A138" s="106">
        <v>9</v>
      </c>
      <c r="B138" s="79" t="s">
        <v>80</v>
      </c>
      <c r="C138" s="66">
        <v>2500</v>
      </c>
      <c r="D138" s="67">
        <v>198.18</v>
      </c>
      <c r="E138" s="47">
        <v>0</v>
      </c>
      <c r="F138" s="47"/>
      <c r="G138" s="44">
        <f t="shared" si="26"/>
        <v>0</v>
      </c>
      <c r="H138" s="43"/>
      <c r="I138" s="44">
        <f t="shared" si="27"/>
        <v>0</v>
      </c>
      <c r="J138" s="44">
        <f t="shared" si="28"/>
        <v>0</v>
      </c>
      <c r="K138" s="45">
        <f t="shared" si="29"/>
        <v>0</v>
      </c>
      <c r="L138" s="215"/>
    </row>
    <row r="139" spans="1:12" x14ac:dyDescent="0.25">
      <c r="A139" s="106">
        <v>10</v>
      </c>
      <c r="B139" s="65" t="s">
        <v>81</v>
      </c>
      <c r="C139" s="66">
        <v>1500</v>
      </c>
      <c r="D139" s="67">
        <v>186.3</v>
      </c>
      <c r="E139" s="47">
        <v>0</v>
      </c>
      <c r="F139" s="47"/>
      <c r="G139" s="44">
        <f t="shared" si="26"/>
        <v>0</v>
      </c>
      <c r="H139" s="43"/>
      <c r="I139" s="44">
        <f t="shared" si="27"/>
        <v>0</v>
      </c>
      <c r="J139" s="44">
        <f t="shared" si="28"/>
        <v>0</v>
      </c>
      <c r="K139" s="45">
        <f t="shared" si="29"/>
        <v>0</v>
      </c>
      <c r="L139" s="215"/>
    </row>
    <row r="140" spans="1:12" x14ac:dyDescent="0.25">
      <c r="A140" s="106">
        <v>11</v>
      </c>
      <c r="B140" s="65" t="s">
        <v>82</v>
      </c>
      <c r="C140" s="66">
        <v>4500</v>
      </c>
      <c r="D140" s="67">
        <v>293.11</v>
      </c>
      <c r="E140" s="47">
        <v>0</v>
      </c>
      <c r="F140" s="47"/>
      <c r="G140" s="44">
        <f t="shared" si="26"/>
        <v>0</v>
      </c>
      <c r="H140" s="43">
        <f>716-716</f>
        <v>0</v>
      </c>
      <c r="I140" s="44">
        <f t="shared" si="27"/>
        <v>0</v>
      </c>
      <c r="J140" s="44">
        <f t="shared" si="28"/>
        <v>0</v>
      </c>
      <c r="K140" s="45">
        <f t="shared" si="29"/>
        <v>0</v>
      </c>
      <c r="L140" s="215"/>
    </row>
    <row r="141" spans="1:12" x14ac:dyDescent="0.25">
      <c r="A141" s="106">
        <v>12</v>
      </c>
      <c r="B141" s="79" t="s">
        <v>83</v>
      </c>
      <c r="C141" s="66">
        <v>1500</v>
      </c>
      <c r="D141" s="67">
        <v>143.13</v>
      </c>
      <c r="E141" s="47">
        <v>0</v>
      </c>
      <c r="F141" s="47"/>
      <c r="G141" s="44">
        <f t="shared" si="26"/>
        <v>0</v>
      </c>
      <c r="H141" s="43"/>
      <c r="I141" s="44">
        <f t="shared" si="27"/>
        <v>0</v>
      </c>
      <c r="J141" s="44">
        <f t="shared" si="28"/>
        <v>0</v>
      </c>
      <c r="K141" s="45">
        <f t="shared" si="29"/>
        <v>0</v>
      </c>
      <c r="L141" s="215"/>
    </row>
    <row r="142" spans="1:12" x14ac:dyDescent="0.25">
      <c r="A142" s="106">
        <v>13</v>
      </c>
      <c r="B142" s="65" t="s">
        <v>84</v>
      </c>
      <c r="C142" s="66">
        <v>1500</v>
      </c>
      <c r="D142" s="67">
        <v>122.5</v>
      </c>
      <c r="E142" s="47">
        <v>0</v>
      </c>
      <c r="F142" s="47"/>
      <c r="G142" s="44">
        <f t="shared" si="26"/>
        <v>0</v>
      </c>
      <c r="H142" s="43"/>
      <c r="I142" s="44">
        <f t="shared" si="27"/>
        <v>0</v>
      </c>
      <c r="J142" s="44">
        <f t="shared" si="28"/>
        <v>0</v>
      </c>
      <c r="K142" s="45">
        <f t="shared" si="29"/>
        <v>0</v>
      </c>
      <c r="L142" s="215"/>
    </row>
    <row r="143" spans="1:12" x14ac:dyDescent="0.25">
      <c r="A143" s="106">
        <v>14</v>
      </c>
      <c r="B143" s="65" t="s">
        <v>85</v>
      </c>
      <c r="C143" s="66">
        <v>1500</v>
      </c>
      <c r="D143" s="67">
        <v>219.53</v>
      </c>
      <c r="E143" s="47">
        <v>0</v>
      </c>
      <c r="F143" s="47"/>
      <c r="G143" s="44">
        <f t="shared" si="26"/>
        <v>0</v>
      </c>
      <c r="H143" s="43"/>
      <c r="I143" s="44">
        <f t="shared" si="27"/>
        <v>0</v>
      </c>
      <c r="J143" s="44">
        <f t="shared" si="28"/>
        <v>0</v>
      </c>
      <c r="K143" s="45">
        <f t="shared" si="29"/>
        <v>0</v>
      </c>
      <c r="L143" s="215"/>
    </row>
    <row r="144" spans="1:12" x14ac:dyDescent="0.25">
      <c r="A144" s="106">
        <v>15</v>
      </c>
      <c r="B144" s="65" t="s">
        <v>86</v>
      </c>
      <c r="C144" s="66">
        <v>1500</v>
      </c>
      <c r="D144" s="67">
        <v>125.53</v>
      </c>
      <c r="E144" s="47">
        <v>0</v>
      </c>
      <c r="F144" s="47"/>
      <c r="G144" s="44">
        <f t="shared" si="26"/>
        <v>0</v>
      </c>
      <c r="H144" s="43"/>
      <c r="I144" s="44">
        <f t="shared" si="27"/>
        <v>0</v>
      </c>
      <c r="J144" s="44">
        <f t="shared" si="28"/>
        <v>0</v>
      </c>
      <c r="K144" s="45">
        <f t="shared" si="29"/>
        <v>0</v>
      </c>
      <c r="L144" s="215"/>
    </row>
    <row r="145" spans="1:12" x14ac:dyDescent="0.25">
      <c r="A145" s="106">
        <v>16</v>
      </c>
      <c r="B145" s="65" t="s">
        <v>87</v>
      </c>
      <c r="C145" s="66">
        <v>10000</v>
      </c>
      <c r="D145" s="76">
        <v>10000</v>
      </c>
      <c r="E145" s="47"/>
      <c r="F145" s="47"/>
      <c r="G145" s="44">
        <f t="shared" si="26"/>
        <v>0</v>
      </c>
      <c r="H145" s="43"/>
      <c r="I145" s="44">
        <f t="shared" si="27"/>
        <v>0</v>
      </c>
      <c r="J145" s="44">
        <f t="shared" si="28"/>
        <v>0</v>
      </c>
      <c r="K145" s="45">
        <f t="shared" si="29"/>
        <v>0</v>
      </c>
      <c r="L145" s="215"/>
    </row>
    <row r="146" spans="1:12" x14ac:dyDescent="0.25">
      <c r="A146" s="106">
        <v>17</v>
      </c>
      <c r="B146" s="65" t="s">
        <v>88</v>
      </c>
      <c r="C146" s="66">
        <v>1500</v>
      </c>
      <c r="D146" s="67">
        <v>198.18</v>
      </c>
      <c r="E146" s="47"/>
      <c r="F146" s="47"/>
      <c r="G146" s="44">
        <f t="shared" si="26"/>
        <v>0</v>
      </c>
      <c r="H146" s="43"/>
      <c r="I146" s="44">
        <f t="shared" si="27"/>
        <v>0</v>
      </c>
      <c r="J146" s="44">
        <f t="shared" si="28"/>
        <v>0</v>
      </c>
      <c r="K146" s="45">
        <f t="shared" si="29"/>
        <v>0</v>
      </c>
      <c r="L146" s="215"/>
    </row>
    <row r="147" spans="1:12" x14ac:dyDescent="0.25">
      <c r="A147" s="106">
        <v>18</v>
      </c>
      <c r="B147" s="65" t="s">
        <v>89</v>
      </c>
      <c r="C147" s="66">
        <v>1500</v>
      </c>
      <c r="D147" s="67">
        <v>198.18</v>
      </c>
      <c r="E147" s="47"/>
      <c r="F147" s="47"/>
      <c r="G147" s="44">
        <f t="shared" si="26"/>
        <v>0</v>
      </c>
      <c r="H147" s="43"/>
      <c r="I147" s="44">
        <f t="shared" si="27"/>
        <v>0</v>
      </c>
      <c r="J147" s="44">
        <f t="shared" si="28"/>
        <v>0</v>
      </c>
      <c r="K147" s="45">
        <f t="shared" si="29"/>
        <v>0</v>
      </c>
      <c r="L147" s="215"/>
    </row>
    <row r="148" spans="1:12" x14ac:dyDescent="0.25">
      <c r="A148" s="106">
        <v>19</v>
      </c>
      <c r="B148" s="65" t="s">
        <v>90</v>
      </c>
      <c r="C148" s="66">
        <v>1500</v>
      </c>
      <c r="D148" s="67">
        <v>198.18</v>
      </c>
      <c r="E148" s="47"/>
      <c r="F148" s="47"/>
      <c r="G148" s="44">
        <f t="shared" si="26"/>
        <v>0</v>
      </c>
      <c r="H148" s="43"/>
      <c r="I148" s="44">
        <f t="shared" si="27"/>
        <v>0</v>
      </c>
      <c r="J148" s="44">
        <f t="shared" si="28"/>
        <v>0</v>
      </c>
      <c r="K148" s="45">
        <f t="shared" si="29"/>
        <v>0</v>
      </c>
      <c r="L148" s="215"/>
    </row>
    <row r="149" spans="1:12" x14ac:dyDescent="0.25">
      <c r="A149" s="106">
        <v>20</v>
      </c>
      <c r="B149" s="65" t="s">
        <v>91</v>
      </c>
      <c r="C149" s="66">
        <v>1500</v>
      </c>
      <c r="D149" s="67">
        <v>198.18</v>
      </c>
      <c r="E149" s="47"/>
      <c r="F149" s="47"/>
      <c r="G149" s="44">
        <f t="shared" si="26"/>
        <v>0</v>
      </c>
      <c r="H149" s="43"/>
      <c r="I149" s="44">
        <f t="shared" si="27"/>
        <v>0</v>
      </c>
      <c r="J149" s="44">
        <f t="shared" si="28"/>
        <v>0</v>
      </c>
      <c r="K149" s="45">
        <f t="shared" si="29"/>
        <v>0</v>
      </c>
      <c r="L149" s="215"/>
    </row>
    <row r="150" spans="1:12" x14ac:dyDescent="0.25">
      <c r="A150" s="106">
        <v>21</v>
      </c>
      <c r="B150" s="65" t="s">
        <v>92</v>
      </c>
      <c r="C150" s="66">
        <v>1500</v>
      </c>
      <c r="D150" s="67">
        <v>198.18</v>
      </c>
      <c r="E150" s="47"/>
      <c r="F150" s="47"/>
      <c r="G150" s="44">
        <f t="shared" si="26"/>
        <v>0</v>
      </c>
      <c r="H150" s="43"/>
      <c r="I150" s="44">
        <f t="shared" si="27"/>
        <v>0</v>
      </c>
      <c r="J150" s="44">
        <f t="shared" si="28"/>
        <v>0</v>
      </c>
      <c r="K150" s="45">
        <f t="shared" si="29"/>
        <v>0</v>
      </c>
      <c r="L150" s="215"/>
    </row>
    <row r="151" spans="1:12" x14ac:dyDescent="0.25">
      <c r="A151" s="106">
        <v>22</v>
      </c>
      <c r="B151" s="65" t="s">
        <v>93</v>
      </c>
      <c r="C151" s="66">
        <v>1500</v>
      </c>
      <c r="D151" s="67">
        <v>198.18</v>
      </c>
      <c r="E151" s="47"/>
      <c r="F151" s="47"/>
      <c r="G151" s="44">
        <f t="shared" si="26"/>
        <v>0</v>
      </c>
      <c r="H151" s="43"/>
      <c r="I151" s="44">
        <f t="shared" si="27"/>
        <v>0</v>
      </c>
      <c r="J151" s="44">
        <f t="shared" si="28"/>
        <v>0</v>
      </c>
      <c r="K151" s="45">
        <f t="shared" si="29"/>
        <v>0</v>
      </c>
      <c r="L151" s="215"/>
    </row>
    <row r="152" spans="1:12" x14ac:dyDescent="0.25">
      <c r="A152" s="106">
        <v>23</v>
      </c>
      <c r="B152" s="65" t="s">
        <v>94</v>
      </c>
      <c r="C152" s="66">
        <v>1500</v>
      </c>
      <c r="D152" s="67">
        <v>198.18</v>
      </c>
      <c r="E152" s="47"/>
      <c r="F152" s="47"/>
      <c r="G152" s="44">
        <f t="shared" si="26"/>
        <v>0</v>
      </c>
      <c r="H152" s="43"/>
      <c r="I152" s="44">
        <f t="shared" si="27"/>
        <v>0</v>
      </c>
      <c r="J152" s="44">
        <f t="shared" si="28"/>
        <v>0</v>
      </c>
      <c r="K152" s="45">
        <f t="shared" si="29"/>
        <v>0</v>
      </c>
      <c r="L152" s="215"/>
    </row>
    <row r="153" spans="1:12" x14ac:dyDescent="0.25">
      <c r="A153" s="106">
        <v>24</v>
      </c>
      <c r="B153" s="65" t="s">
        <v>95</v>
      </c>
      <c r="C153" s="66">
        <v>1500</v>
      </c>
      <c r="D153" s="67">
        <v>198.18</v>
      </c>
      <c r="E153" s="47"/>
      <c r="F153" s="47"/>
      <c r="G153" s="44">
        <f t="shared" si="26"/>
        <v>0</v>
      </c>
      <c r="H153" s="43"/>
      <c r="I153" s="44">
        <f t="shared" si="27"/>
        <v>0</v>
      </c>
      <c r="J153" s="44">
        <f t="shared" si="28"/>
        <v>0</v>
      </c>
      <c r="K153" s="45">
        <f t="shared" si="29"/>
        <v>0</v>
      </c>
      <c r="L153" s="215"/>
    </row>
    <row r="154" spans="1:12" x14ac:dyDescent="0.25">
      <c r="A154" s="106">
        <v>25</v>
      </c>
      <c r="B154" s="65" t="s">
        <v>96</v>
      </c>
      <c r="C154" s="66">
        <v>1500</v>
      </c>
      <c r="D154" s="67">
        <v>198.18</v>
      </c>
      <c r="E154" s="47"/>
      <c r="F154" s="47"/>
      <c r="G154" s="44">
        <f t="shared" si="26"/>
        <v>0</v>
      </c>
      <c r="H154" s="43"/>
      <c r="I154" s="44">
        <f t="shared" si="27"/>
        <v>0</v>
      </c>
      <c r="J154" s="44">
        <f t="shared" si="28"/>
        <v>0</v>
      </c>
      <c r="K154" s="45">
        <f t="shared" si="29"/>
        <v>0</v>
      </c>
      <c r="L154" s="215"/>
    </row>
    <row r="155" spans="1:12" x14ac:dyDescent="0.25">
      <c r="A155" s="106">
        <v>26</v>
      </c>
      <c r="B155" s="65" t="s">
        <v>97</v>
      </c>
      <c r="C155" s="66">
        <v>1500</v>
      </c>
      <c r="D155" s="67">
        <v>198.18</v>
      </c>
      <c r="E155" s="47"/>
      <c r="F155" s="47"/>
      <c r="G155" s="44">
        <f t="shared" si="26"/>
        <v>0</v>
      </c>
      <c r="H155" s="43"/>
      <c r="I155" s="44">
        <f t="shared" si="27"/>
        <v>0</v>
      </c>
      <c r="J155" s="44">
        <f t="shared" si="28"/>
        <v>0</v>
      </c>
      <c r="K155" s="45">
        <f t="shared" si="29"/>
        <v>0</v>
      </c>
      <c r="L155" s="215"/>
    </row>
    <row r="156" spans="1:12" x14ac:dyDescent="0.25">
      <c r="A156" s="106">
        <v>27</v>
      </c>
      <c r="B156" s="65" t="s">
        <v>98</v>
      </c>
      <c r="C156" s="66">
        <v>1500</v>
      </c>
      <c r="D156" s="67">
        <v>198.18</v>
      </c>
      <c r="E156" s="47"/>
      <c r="F156" s="47"/>
      <c r="G156" s="44">
        <f t="shared" si="26"/>
        <v>0</v>
      </c>
      <c r="H156" s="43"/>
      <c r="I156" s="44">
        <f t="shared" si="27"/>
        <v>0</v>
      </c>
      <c r="J156" s="44">
        <f t="shared" si="28"/>
        <v>0</v>
      </c>
      <c r="K156" s="45">
        <f t="shared" si="29"/>
        <v>0</v>
      </c>
      <c r="L156" s="215"/>
    </row>
    <row r="157" spans="1:12" x14ac:dyDescent="0.25">
      <c r="A157" s="106">
        <v>28</v>
      </c>
      <c r="B157" s="65" t="s">
        <v>99</v>
      </c>
      <c r="C157" s="66">
        <v>2500</v>
      </c>
      <c r="D157" s="67">
        <v>136.46</v>
      </c>
      <c r="E157" s="47"/>
      <c r="F157" s="47"/>
      <c r="G157" s="44">
        <f t="shared" si="26"/>
        <v>0</v>
      </c>
      <c r="H157" s="43"/>
      <c r="I157" s="44">
        <f t="shared" si="27"/>
        <v>0</v>
      </c>
      <c r="J157" s="44">
        <f t="shared" si="28"/>
        <v>0</v>
      </c>
      <c r="K157" s="45">
        <f t="shared" si="29"/>
        <v>0</v>
      </c>
      <c r="L157" s="215"/>
    </row>
    <row r="158" spans="1:12" x14ac:dyDescent="0.25">
      <c r="A158" s="106">
        <v>29</v>
      </c>
      <c r="B158" s="65" t="s">
        <v>100</v>
      </c>
      <c r="C158" s="66">
        <v>1500</v>
      </c>
      <c r="D158" s="67">
        <v>124.5</v>
      </c>
      <c r="E158" s="47"/>
      <c r="F158" s="47"/>
      <c r="G158" s="44">
        <f t="shared" si="26"/>
        <v>0</v>
      </c>
      <c r="H158" s="43"/>
      <c r="I158" s="44">
        <f t="shared" si="27"/>
        <v>0</v>
      </c>
      <c r="J158" s="44">
        <f t="shared" si="28"/>
        <v>0</v>
      </c>
      <c r="K158" s="45">
        <f t="shared" si="29"/>
        <v>0</v>
      </c>
      <c r="L158" s="215"/>
    </row>
    <row r="159" spans="1:12" ht="15.75" thickBot="1" x14ac:dyDescent="0.3">
      <c r="A159" s="109">
        <v>30</v>
      </c>
      <c r="B159" s="101" t="s">
        <v>101</v>
      </c>
      <c r="C159" s="102">
        <v>1500</v>
      </c>
      <c r="D159" s="103">
        <v>95.83</v>
      </c>
      <c r="E159" s="107"/>
      <c r="F159" s="107"/>
      <c r="G159" s="94">
        <f t="shared" si="26"/>
        <v>0</v>
      </c>
      <c r="H159" s="93"/>
      <c r="I159" s="94">
        <f t="shared" si="27"/>
        <v>0</v>
      </c>
      <c r="J159" s="94">
        <f t="shared" si="28"/>
        <v>0</v>
      </c>
      <c r="K159" s="95">
        <f t="shared" si="29"/>
        <v>0</v>
      </c>
      <c r="L159" s="215"/>
    </row>
    <row r="160" spans="1:12" ht="15.75" thickBot="1" x14ac:dyDescent="0.3">
      <c r="A160" s="69"/>
      <c r="B160" s="105" t="s">
        <v>665</v>
      </c>
      <c r="C160" s="77"/>
      <c r="D160" s="32"/>
      <c r="E160" s="32">
        <f t="shared" ref="E160:K160" si="30">SUM(E130:E159)</f>
        <v>0</v>
      </c>
      <c r="F160" s="32">
        <f t="shared" si="30"/>
        <v>0</v>
      </c>
      <c r="G160" s="32">
        <f t="shared" si="30"/>
        <v>0</v>
      </c>
      <c r="H160" s="28">
        <f t="shared" si="30"/>
        <v>0</v>
      </c>
      <c r="I160" s="28">
        <f t="shared" si="30"/>
        <v>0</v>
      </c>
      <c r="J160" s="28">
        <f t="shared" si="30"/>
        <v>0</v>
      </c>
      <c r="K160" s="38">
        <f t="shared" si="30"/>
        <v>0</v>
      </c>
      <c r="L160" s="151"/>
    </row>
    <row r="161" spans="1:12" ht="15.75" thickBot="1" x14ac:dyDescent="0.3">
      <c r="B161" s="80"/>
      <c r="C161" s="81"/>
      <c r="D161" s="82"/>
      <c r="E161" s="83"/>
      <c r="F161" s="49"/>
      <c r="G161" s="83"/>
      <c r="H161" s="83"/>
      <c r="I161" s="83"/>
      <c r="J161" s="83"/>
      <c r="K161" s="82"/>
      <c r="L161" s="140"/>
    </row>
    <row r="162" spans="1:12" ht="15.75" thickBot="1" x14ac:dyDescent="0.3">
      <c r="A162" s="431" t="s">
        <v>653</v>
      </c>
      <c r="B162" s="428" t="s">
        <v>0</v>
      </c>
      <c r="C162" s="428" t="s">
        <v>1</v>
      </c>
      <c r="D162" s="429" t="s">
        <v>645</v>
      </c>
      <c r="E162" s="430" t="s">
        <v>19</v>
      </c>
      <c r="F162" s="430"/>
      <c r="G162" s="430"/>
      <c r="H162" s="430"/>
      <c r="I162" s="430"/>
      <c r="J162" s="424" t="s">
        <v>20</v>
      </c>
      <c r="K162" s="426" t="s">
        <v>598</v>
      </c>
      <c r="L162" s="213"/>
    </row>
    <row r="163" spans="1:12" ht="15.75" thickBot="1" x14ac:dyDescent="0.3">
      <c r="A163" s="432"/>
      <c r="B163" s="428"/>
      <c r="C163" s="428"/>
      <c r="D163" s="429"/>
      <c r="E163" s="54" t="s">
        <v>21</v>
      </c>
      <c r="F163" s="54" t="s">
        <v>596</v>
      </c>
      <c r="G163" s="54" t="s">
        <v>597</v>
      </c>
      <c r="H163" s="54" t="s">
        <v>585</v>
      </c>
      <c r="I163" s="54" t="s">
        <v>597</v>
      </c>
      <c r="J163" s="425"/>
      <c r="K163" s="427"/>
      <c r="L163" s="213"/>
    </row>
    <row r="164" spans="1:12" ht="15.75" thickBot="1" x14ac:dyDescent="0.3">
      <c r="A164" s="433"/>
      <c r="B164" s="55">
        <v>1</v>
      </c>
      <c r="C164" s="55">
        <v>2</v>
      </c>
      <c r="D164" s="55">
        <v>3</v>
      </c>
      <c r="E164" s="56">
        <v>4</v>
      </c>
      <c r="F164" s="56">
        <f>+E164+1</f>
        <v>5</v>
      </c>
      <c r="G164" s="56" t="s">
        <v>648</v>
      </c>
      <c r="H164" s="56">
        <v>7</v>
      </c>
      <c r="I164" s="57" t="s">
        <v>647</v>
      </c>
      <c r="J164" s="33" t="s">
        <v>646</v>
      </c>
      <c r="K164" s="33" t="s">
        <v>649</v>
      </c>
      <c r="L164" s="214"/>
    </row>
    <row r="165" spans="1:12" x14ac:dyDescent="0.25">
      <c r="A165" s="58"/>
      <c r="B165" s="58" t="s">
        <v>664</v>
      </c>
      <c r="C165" s="84"/>
      <c r="D165" s="85"/>
      <c r="E165" s="86"/>
      <c r="F165" s="86"/>
      <c r="G165" s="86"/>
      <c r="H165" s="86"/>
      <c r="I165" s="87"/>
      <c r="J165" s="50"/>
      <c r="K165" s="50"/>
      <c r="L165" s="214"/>
    </row>
    <row r="166" spans="1:12" x14ac:dyDescent="0.25">
      <c r="A166" s="106">
        <v>1</v>
      </c>
      <c r="B166" s="65" t="s">
        <v>102</v>
      </c>
      <c r="C166" s="66">
        <v>1500</v>
      </c>
      <c r="D166" s="67">
        <v>198.48</v>
      </c>
      <c r="E166" s="46">
        <v>0</v>
      </c>
      <c r="F166" s="46"/>
      <c r="G166" s="44">
        <f t="shared" ref="G166:G171" si="31">+E166+F166</f>
        <v>0</v>
      </c>
      <c r="H166" s="43">
        <f>1000-1000</f>
        <v>0</v>
      </c>
      <c r="I166" s="44">
        <f t="shared" ref="I166:I171" si="32">+G166-H166</f>
        <v>0</v>
      </c>
      <c r="J166" s="44">
        <f t="shared" ref="J166:J171" si="33">I166*C166</f>
        <v>0</v>
      </c>
      <c r="K166" s="45">
        <f t="shared" ref="K166:K171" si="34">+D166*I166</f>
        <v>0</v>
      </c>
      <c r="L166" s="215"/>
    </row>
    <row r="167" spans="1:12" x14ac:dyDescent="0.25">
      <c r="A167" s="106">
        <v>2</v>
      </c>
      <c r="B167" s="65" t="s">
        <v>102</v>
      </c>
      <c r="C167" s="66">
        <v>2500</v>
      </c>
      <c r="D167" s="67">
        <v>198.48</v>
      </c>
      <c r="E167" s="46">
        <v>0</v>
      </c>
      <c r="F167" s="46"/>
      <c r="G167" s="44">
        <f t="shared" si="31"/>
        <v>0</v>
      </c>
      <c r="H167" s="43">
        <f>1000-1000</f>
        <v>0</v>
      </c>
      <c r="I167" s="44">
        <f t="shared" si="32"/>
        <v>0</v>
      </c>
      <c r="J167" s="44">
        <f t="shared" si="33"/>
        <v>0</v>
      </c>
      <c r="K167" s="45">
        <f t="shared" si="34"/>
        <v>0</v>
      </c>
      <c r="L167" s="215"/>
    </row>
    <row r="168" spans="1:12" x14ac:dyDescent="0.25">
      <c r="A168" s="106">
        <v>3</v>
      </c>
      <c r="B168" s="65" t="s">
        <v>102</v>
      </c>
      <c r="C168" s="66">
        <v>4000</v>
      </c>
      <c r="D168" s="67">
        <v>198.48</v>
      </c>
      <c r="E168" s="46">
        <v>0</v>
      </c>
      <c r="F168" s="46"/>
      <c r="G168" s="44">
        <f t="shared" si="31"/>
        <v>0</v>
      </c>
      <c r="H168" s="43">
        <f>1000-1000</f>
        <v>0</v>
      </c>
      <c r="I168" s="44">
        <f t="shared" si="32"/>
        <v>0</v>
      </c>
      <c r="J168" s="44">
        <f t="shared" si="33"/>
        <v>0</v>
      </c>
      <c r="K168" s="45">
        <f t="shared" si="34"/>
        <v>0</v>
      </c>
      <c r="L168" s="215"/>
    </row>
    <row r="169" spans="1:12" x14ac:dyDescent="0.25">
      <c r="A169" s="106">
        <v>4</v>
      </c>
      <c r="B169" s="65" t="s">
        <v>102</v>
      </c>
      <c r="C169" s="66">
        <v>7500</v>
      </c>
      <c r="D169" s="67">
        <v>198.48</v>
      </c>
      <c r="E169" s="46">
        <v>0</v>
      </c>
      <c r="F169" s="46"/>
      <c r="G169" s="44">
        <f t="shared" si="31"/>
        <v>0</v>
      </c>
      <c r="H169" s="43">
        <f>1000-1000</f>
        <v>0</v>
      </c>
      <c r="I169" s="44">
        <f t="shared" si="32"/>
        <v>0</v>
      </c>
      <c r="J169" s="44">
        <f t="shared" si="33"/>
        <v>0</v>
      </c>
      <c r="K169" s="45">
        <f t="shared" si="34"/>
        <v>0</v>
      </c>
      <c r="L169" s="215"/>
    </row>
    <row r="170" spans="1:12" x14ac:dyDescent="0.25">
      <c r="A170" s="106">
        <v>5</v>
      </c>
      <c r="B170" s="65" t="s">
        <v>103</v>
      </c>
      <c r="C170" s="66">
        <v>1500</v>
      </c>
      <c r="D170" s="67">
        <v>104.08</v>
      </c>
      <c r="E170" s="46">
        <v>0</v>
      </c>
      <c r="F170" s="46"/>
      <c r="G170" s="44">
        <f t="shared" si="31"/>
        <v>0</v>
      </c>
      <c r="H170" s="43">
        <f>225-225</f>
        <v>0</v>
      </c>
      <c r="I170" s="44">
        <f t="shared" si="32"/>
        <v>0</v>
      </c>
      <c r="J170" s="44">
        <f t="shared" si="33"/>
        <v>0</v>
      </c>
      <c r="K170" s="45">
        <f t="shared" si="34"/>
        <v>0</v>
      </c>
      <c r="L170" s="215"/>
    </row>
    <row r="171" spans="1:12" ht="15.75" thickBot="1" x14ac:dyDescent="0.3">
      <c r="A171" s="106">
        <v>6</v>
      </c>
      <c r="B171" s="101" t="s">
        <v>103</v>
      </c>
      <c r="C171" s="102">
        <v>3000</v>
      </c>
      <c r="D171" s="103">
        <v>104.08</v>
      </c>
      <c r="E171" s="104">
        <v>0</v>
      </c>
      <c r="F171" s="104"/>
      <c r="G171" s="94">
        <f t="shared" si="31"/>
        <v>0</v>
      </c>
      <c r="H171" s="43">
        <f>225-225</f>
        <v>0</v>
      </c>
      <c r="I171" s="94">
        <f t="shared" si="32"/>
        <v>0</v>
      </c>
      <c r="J171" s="94">
        <f t="shared" si="33"/>
        <v>0</v>
      </c>
      <c r="K171" s="95">
        <f t="shared" si="34"/>
        <v>0</v>
      </c>
      <c r="L171" s="215"/>
    </row>
    <row r="172" spans="1:12" ht="15.75" thickBot="1" x14ac:dyDescent="0.3">
      <c r="A172" s="69"/>
      <c r="B172" s="105" t="s">
        <v>666</v>
      </c>
      <c r="C172" s="77"/>
      <c r="D172" s="32"/>
      <c r="E172" s="48">
        <f t="shared" ref="E172:K172" si="35">SUM(E166:E171)</f>
        <v>0</v>
      </c>
      <c r="F172" s="48">
        <f t="shared" si="35"/>
        <v>0</v>
      </c>
      <c r="G172" s="48">
        <f t="shared" si="35"/>
        <v>0</v>
      </c>
      <c r="H172" s="37">
        <f t="shared" si="35"/>
        <v>0</v>
      </c>
      <c r="I172" s="28">
        <f t="shared" si="35"/>
        <v>0</v>
      </c>
      <c r="J172" s="28">
        <f t="shared" si="35"/>
        <v>0</v>
      </c>
      <c r="K172" s="38">
        <f t="shared" si="35"/>
        <v>0</v>
      </c>
      <c r="L172" s="151"/>
    </row>
    <row r="173" spans="1:12" ht="15.75" thickBot="1" x14ac:dyDescent="0.3">
      <c r="B173" s="80"/>
      <c r="C173" s="81"/>
      <c r="D173" s="82"/>
      <c r="E173" s="83"/>
      <c r="F173" s="49"/>
      <c r="G173" s="83"/>
      <c r="H173" s="83"/>
      <c r="I173" s="83"/>
      <c r="J173" s="83"/>
      <c r="K173" s="82"/>
      <c r="L173" s="140"/>
    </row>
    <row r="174" spans="1:12" ht="15.75" thickBot="1" x14ac:dyDescent="0.3">
      <c r="A174" s="431" t="s">
        <v>653</v>
      </c>
      <c r="B174" s="428" t="s">
        <v>0</v>
      </c>
      <c r="C174" s="428" t="s">
        <v>1</v>
      </c>
      <c r="D174" s="429" t="s">
        <v>645</v>
      </c>
      <c r="E174" s="430" t="s">
        <v>19</v>
      </c>
      <c r="F174" s="430"/>
      <c r="G174" s="430"/>
      <c r="H174" s="430"/>
      <c r="I174" s="430"/>
      <c r="J174" s="424" t="s">
        <v>20</v>
      </c>
      <c r="K174" s="426" t="s">
        <v>598</v>
      </c>
      <c r="L174" s="213"/>
    </row>
    <row r="175" spans="1:12" ht="15.75" thickBot="1" x14ac:dyDescent="0.3">
      <c r="A175" s="432"/>
      <c r="B175" s="428"/>
      <c r="C175" s="428"/>
      <c r="D175" s="429"/>
      <c r="E175" s="54" t="s">
        <v>21</v>
      </c>
      <c r="F175" s="54" t="s">
        <v>596</v>
      </c>
      <c r="G175" s="54" t="s">
        <v>597</v>
      </c>
      <c r="H175" s="54" t="s">
        <v>585</v>
      </c>
      <c r="I175" s="54" t="s">
        <v>597</v>
      </c>
      <c r="J175" s="425"/>
      <c r="K175" s="427"/>
      <c r="L175" s="213"/>
    </row>
    <row r="176" spans="1:12" ht="15.75" thickBot="1" x14ac:dyDescent="0.3">
      <c r="A176" s="433"/>
      <c r="B176" s="55">
        <v>1</v>
      </c>
      <c r="C176" s="55">
        <v>2</v>
      </c>
      <c r="D176" s="55">
        <v>3</v>
      </c>
      <c r="E176" s="56">
        <v>4</v>
      </c>
      <c r="F176" s="56">
        <f>+E176+1</f>
        <v>5</v>
      </c>
      <c r="G176" s="56" t="s">
        <v>648</v>
      </c>
      <c r="H176" s="56">
        <v>7</v>
      </c>
      <c r="I176" s="57" t="s">
        <v>647</v>
      </c>
      <c r="J176" s="33" t="s">
        <v>646</v>
      </c>
      <c r="K176" s="33" t="s">
        <v>649</v>
      </c>
      <c r="L176" s="214"/>
    </row>
    <row r="177" spans="1:13" x14ac:dyDescent="0.25">
      <c r="A177" s="58"/>
      <c r="B177" s="58" t="s">
        <v>667</v>
      </c>
      <c r="C177" s="42"/>
      <c r="D177" s="42"/>
      <c r="E177" s="42"/>
      <c r="F177" s="42"/>
      <c r="G177" s="42"/>
      <c r="H177" s="42"/>
      <c r="I177" s="42"/>
      <c r="J177" s="42"/>
      <c r="K177" s="42"/>
      <c r="L177" s="114"/>
    </row>
    <row r="178" spans="1:13" x14ac:dyDescent="0.25">
      <c r="A178" s="106">
        <v>1</v>
      </c>
      <c r="B178" s="65" t="s">
        <v>104</v>
      </c>
      <c r="C178" s="66">
        <v>1500</v>
      </c>
      <c r="D178" s="67">
        <v>88.96</v>
      </c>
      <c r="E178" s="34">
        <v>0</v>
      </c>
      <c r="F178" s="47"/>
      <c r="G178" s="44">
        <f t="shared" ref="G178:G186" si="36">+E178+F178</f>
        <v>0</v>
      </c>
      <c r="H178" s="43">
        <f>4080-4080</f>
        <v>0</v>
      </c>
      <c r="I178" s="44">
        <f t="shared" ref="I178:I186" si="37">+G178-H178</f>
        <v>0</v>
      </c>
      <c r="J178" s="44">
        <f t="shared" ref="J178:J186" si="38">I178*C178</f>
        <v>0</v>
      </c>
      <c r="K178" s="45">
        <f t="shared" ref="K178:K186" si="39">+D178*I178</f>
        <v>0</v>
      </c>
      <c r="L178" s="215"/>
    </row>
    <row r="179" spans="1:13" x14ac:dyDescent="0.25">
      <c r="A179" s="106">
        <v>2</v>
      </c>
      <c r="B179" s="65" t="s">
        <v>105</v>
      </c>
      <c r="C179" s="66">
        <v>1500</v>
      </c>
      <c r="D179" s="67">
        <v>176.31</v>
      </c>
      <c r="E179" s="34">
        <v>0</v>
      </c>
      <c r="F179" s="47"/>
      <c r="G179" s="44">
        <f t="shared" si="36"/>
        <v>0</v>
      </c>
      <c r="H179" s="43">
        <f>620-620</f>
        <v>0</v>
      </c>
      <c r="I179" s="44">
        <f t="shared" si="37"/>
        <v>0</v>
      </c>
      <c r="J179" s="44">
        <f t="shared" si="38"/>
        <v>0</v>
      </c>
      <c r="K179" s="45">
        <f t="shared" si="39"/>
        <v>0</v>
      </c>
      <c r="L179" s="215"/>
    </row>
    <row r="180" spans="1:13" x14ac:dyDescent="0.25">
      <c r="A180" s="106">
        <v>3</v>
      </c>
      <c r="B180" s="65" t="s">
        <v>49</v>
      </c>
      <c r="C180" s="66">
        <v>1500</v>
      </c>
      <c r="D180" s="67">
        <v>131.72</v>
      </c>
      <c r="E180" s="34">
        <v>0</v>
      </c>
      <c r="F180" s="47"/>
      <c r="G180" s="44">
        <f t="shared" si="36"/>
        <v>0</v>
      </c>
      <c r="H180" s="43">
        <f>645-645</f>
        <v>0</v>
      </c>
      <c r="I180" s="44">
        <f t="shared" si="37"/>
        <v>0</v>
      </c>
      <c r="J180" s="44">
        <f t="shared" si="38"/>
        <v>0</v>
      </c>
      <c r="K180" s="45">
        <f t="shared" si="39"/>
        <v>0</v>
      </c>
      <c r="L180" s="215"/>
    </row>
    <row r="181" spans="1:13" x14ac:dyDescent="0.25">
      <c r="A181" s="106">
        <v>4</v>
      </c>
      <c r="B181" s="65" t="s">
        <v>106</v>
      </c>
      <c r="C181" s="66">
        <v>1500</v>
      </c>
      <c r="D181" s="67">
        <v>170.53</v>
      </c>
      <c r="E181" s="34">
        <v>0</v>
      </c>
      <c r="F181" s="47"/>
      <c r="G181" s="44">
        <f t="shared" si="36"/>
        <v>0</v>
      </c>
      <c r="H181" s="43">
        <f>2400-2400</f>
        <v>0</v>
      </c>
      <c r="I181" s="44">
        <f t="shared" si="37"/>
        <v>0</v>
      </c>
      <c r="J181" s="44">
        <f t="shared" si="38"/>
        <v>0</v>
      </c>
      <c r="K181" s="45">
        <f t="shared" si="39"/>
        <v>0</v>
      </c>
      <c r="L181" s="215"/>
    </row>
    <row r="182" spans="1:13" x14ac:dyDescent="0.25">
      <c r="A182" s="106">
        <v>5</v>
      </c>
      <c r="B182" s="65" t="s">
        <v>107</v>
      </c>
      <c r="C182" s="66">
        <v>1500</v>
      </c>
      <c r="D182" s="67">
        <v>111.78</v>
      </c>
      <c r="E182" s="34">
        <v>0</v>
      </c>
      <c r="F182" s="47"/>
      <c r="G182" s="44">
        <f t="shared" si="36"/>
        <v>0</v>
      </c>
      <c r="H182" s="43">
        <f>4000-4000</f>
        <v>0</v>
      </c>
      <c r="I182" s="44">
        <f t="shared" si="37"/>
        <v>0</v>
      </c>
      <c r="J182" s="44">
        <f t="shared" si="38"/>
        <v>0</v>
      </c>
      <c r="K182" s="45">
        <f t="shared" si="39"/>
        <v>0</v>
      </c>
      <c r="L182" s="215"/>
    </row>
    <row r="183" spans="1:13" x14ac:dyDescent="0.25">
      <c r="A183" s="106">
        <v>6</v>
      </c>
      <c r="B183" s="65" t="s">
        <v>108</v>
      </c>
      <c r="C183" s="66">
        <v>2500</v>
      </c>
      <c r="D183" s="67">
        <v>164.08</v>
      </c>
      <c r="E183" s="34">
        <v>0</v>
      </c>
      <c r="F183" s="47"/>
      <c r="G183" s="44">
        <f t="shared" si="36"/>
        <v>0</v>
      </c>
      <c r="H183" s="43">
        <f>1200-1200</f>
        <v>0</v>
      </c>
      <c r="I183" s="44">
        <f t="shared" si="37"/>
        <v>0</v>
      </c>
      <c r="J183" s="44">
        <f t="shared" si="38"/>
        <v>0</v>
      </c>
      <c r="K183" s="45">
        <f t="shared" si="39"/>
        <v>0</v>
      </c>
      <c r="L183" s="215"/>
      <c r="M183" t="s">
        <v>921</v>
      </c>
    </row>
    <row r="184" spans="1:13" x14ac:dyDescent="0.25">
      <c r="A184" s="106">
        <v>7</v>
      </c>
      <c r="B184" s="65" t="s">
        <v>109</v>
      </c>
      <c r="C184" s="66">
        <v>1000</v>
      </c>
      <c r="D184" s="67">
        <v>182.09</v>
      </c>
      <c r="E184" s="34">
        <v>0</v>
      </c>
      <c r="F184" s="47"/>
      <c r="G184" s="44">
        <f t="shared" si="36"/>
        <v>0</v>
      </c>
      <c r="H184" s="43">
        <f>3200-3200</f>
        <v>0</v>
      </c>
      <c r="I184" s="44">
        <f t="shared" si="37"/>
        <v>0</v>
      </c>
      <c r="J184" s="44">
        <f t="shared" si="38"/>
        <v>0</v>
      </c>
      <c r="K184" s="45">
        <f t="shared" si="39"/>
        <v>0</v>
      </c>
      <c r="L184" s="215"/>
    </row>
    <row r="185" spans="1:13" x14ac:dyDescent="0.25">
      <c r="A185" s="106">
        <v>8</v>
      </c>
      <c r="B185" s="65" t="s">
        <v>110</v>
      </c>
      <c r="C185" s="66">
        <v>1500</v>
      </c>
      <c r="D185" s="67">
        <v>182.09</v>
      </c>
      <c r="E185" s="34">
        <v>0</v>
      </c>
      <c r="F185" s="47"/>
      <c r="G185" s="44">
        <f t="shared" si="36"/>
        <v>0</v>
      </c>
      <c r="H185" s="43">
        <f>3200-3200</f>
        <v>0</v>
      </c>
      <c r="I185" s="44">
        <f t="shared" si="37"/>
        <v>0</v>
      </c>
      <c r="J185" s="44">
        <f t="shared" si="38"/>
        <v>0</v>
      </c>
      <c r="K185" s="45">
        <f t="shared" si="39"/>
        <v>0</v>
      </c>
      <c r="L185" s="215"/>
    </row>
    <row r="186" spans="1:13" ht="15.75" thickBot="1" x14ac:dyDescent="0.3">
      <c r="A186" s="106">
        <v>9</v>
      </c>
      <c r="B186" s="101" t="s">
        <v>111</v>
      </c>
      <c r="C186" s="102">
        <v>1500</v>
      </c>
      <c r="D186" s="103">
        <v>136.57</v>
      </c>
      <c r="E186" s="108">
        <v>0</v>
      </c>
      <c r="F186" s="107"/>
      <c r="G186" s="94">
        <f t="shared" si="36"/>
        <v>0</v>
      </c>
      <c r="H186" s="43">
        <f>1600-1600</f>
        <v>0</v>
      </c>
      <c r="I186" s="94">
        <f t="shared" si="37"/>
        <v>0</v>
      </c>
      <c r="J186" s="94">
        <f t="shared" si="38"/>
        <v>0</v>
      </c>
      <c r="K186" s="95">
        <f t="shared" si="39"/>
        <v>0</v>
      </c>
      <c r="L186" s="215"/>
    </row>
    <row r="187" spans="1:13" ht="15.75" thickBot="1" x14ac:dyDescent="0.3">
      <c r="A187" s="69"/>
      <c r="B187" s="105" t="s">
        <v>669</v>
      </c>
      <c r="C187" s="32"/>
      <c r="D187" s="32"/>
      <c r="E187" s="28">
        <f t="shared" ref="E187:K187" si="40">SUM(E178:E186)</f>
        <v>0</v>
      </c>
      <c r="F187" s="28">
        <f t="shared" si="40"/>
        <v>0</v>
      </c>
      <c r="G187" s="28">
        <f t="shared" si="40"/>
        <v>0</v>
      </c>
      <c r="H187" s="28">
        <f t="shared" si="40"/>
        <v>0</v>
      </c>
      <c r="I187" s="28">
        <f t="shared" si="40"/>
        <v>0</v>
      </c>
      <c r="J187" s="28">
        <f t="shared" si="40"/>
        <v>0</v>
      </c>
      <c r="K187" s="38">
        <f t="shared" si="40"/>
        <v>0</v>
      </c>
      <c r="L187" s="151"/>
    </row>
    <row r="188" spans="1:13" ht="15.75" thickBot="1" x14ac:dyDescent="0.3">
      <c r="B188" s="80"/>
      <c r="C188" s="81"/>
      <c r="D188" s="82"/>
      <c r="E188" s="83"/>
      <c r="F188" s="49"/>
      <c r="G188" s="83"/>
      <c r="H188" s="83"/>
      <c r="I188" s="83"/>
      <c r="J188" s="83"/>
      <c r="K188" s="82"/>
      <c r="L188" s="140"/>
    </row>
    <row r="189" spans="1:13" ht="15.75" thickBot="1" x14ac:dyDescent="0.3">
      <c r="A189" s="418" t="s">
        <v>653</v>
      </c>
      <c r="B189" s="421" t="s">
        <v>0</v>
      </c>
      <c r="C189" s="421" t="s">
        <v>1</v>
      </c>
      <c r="D189" s="422" t="s">
        <v>645</v>
      </c>
      <c r="E189" s="423" t="s">
        <v>19</v>
      </c>
      <c r="F189" s="423"/>
      <c r="G189" s="423"/>
      <c r="H189" s="423"/>
      <c r="I189" s="423"/>
      <c r="J189" s="416" t="s">
        <v>20</v>
      </c>
      <c r="K189" s="418" t="s">
        <v>598</v>
      </c>
      <c r="L189" s="213"/>
    </row>
    <row r="190" spans="1:13" ht="15.75" thickBot="1" x14ac:dyDescent="0.3">
      <c r="A190" s="420"/>
      <c r="B190" s="421"/>
      <c r="C190" s="421"/>
      <c r="D190" s="422"/>
      <c r="E190" s="272" t="s">
        <v>21</v>
      </c>
      <c r="F190" s="272" t="s">
        <v>596</v>
      </c>
      <c r="G190" s="272" t="s">
        <v>597</v>
      </c>
      <c r="H190" s="272" t="s">
        <v>585</v>
      </c>
      <c r="I190" s="272" t="s">
        <v>597</v>
      </c>
      <c r="J190" s="417"/>
      <c r="K190" s="419"/>
      <c r="L190" s="213"/>
    </row>
    <row r="191" spans="1:13" ht="15.75" thickBot="1" x14ac:dyDescent="0.3">
      <c r="A191" s="419"/>
      <c r="B191" s="273">
        <v>1</v>
      </c>
      <c r="C191" s="273">
        <v>2</v>
      </c>
      <c r="D191" s="273">
        <v>3</v>
      </c>
      <c r="E191" s="274">
        <v>4</v>
      </c>
      <c r="F191" s="274">
        <f>+E191+1</f>
        <v>5</v>
      </c>
      <c r="G191" s="274" t="s">
        <v>648</v>
      </c>
      <c r="H191" s="274">
        <v>7</v>
      </c>
      <c r="I191" s="275" t="s">
        <v>647</v>
      </c>
      <c r="J191" s="287" t="s">
        <v>646</v>
      </c>
      <c r="K191" s="287" t="s">
        <v>649</v>
      </c>
      <c r="L191" s="214"/>
    </row>
    <row r="192" spans="1:13" x14ac:dyDescent="0.25">
      <c r="A192" s="276"/>
      <c r="B192" s="276" t="s">
        <v>668</v>
      </c>
      <c r="C192" s="277"/>
      <c r="D192" s="278"/>
      <c r="E192" s="288"/>
      <c r="F192" s="288"/>
      <c r="G192" s="288"/>
      <c r="H192" s="288"/>
      <c r="I192" s="288"/>
      <c r="J192" s="288"/>
      <c r="K192" s="288"/>
      <c r="L192" s="114"/>
    </row>
    <row r="193" spans="1:13" x14ac:dyDescent="0.25">
      <c r="A193" s="279">
        <v>1</v>
      </c>
      <c r="B193" s="61" t="s">
        <v>112</v>
      </c>
      <c r="C193" s="62">
        <v>1500</v>
      </c>
      <c r="D193" s="63">
        <v>131.47999999999999</v>
      </c>
      <c r="E193" s="289">
        <v>41825</v>
      </c>
      <c r="F193" s="61">
        <f>(40755-40755)+(1070-1070)+2960</f>
        <v>2960</v>
      </c>
      <c r="G193" s="251">
        <f t="shared" ref="G193:G210" si="41">+E193+F193</f>
        <v>44785</v>
      </c>
      <c r="H193" s="61">
        <f>2760-2760</f>
        <v>0</v>
      </c>
      <c r="I193" s="251">
        <f t="shared" ref="I193:I210" si="42">+G193-H193</f>
        <v>44785</v>
      </c>
      <c r="J193" s="251">
        <f t="shared" ref="J193:J210" si="43">I193*C193</f>
        <v>67177500</v>
      </c>
      <c r="K193" s="290">
        <f t="shared" ref="K193:K210" si="44">+D193*I193</f>
        <v>5888331.7999999998</v>
      </c>
      <c r="L193" s="215"/>
      <c r="M193" s="40">
        <v>2760</v>
      </c>
    </row>
    <row r="194" spans="1:13" x14ac:dyDescent="0.25">
      <c r="A194" s="279">
        <v>2</v>
      </c>
      <c r="B194" s="61" t="s">
        <v>112</v>
      </c>
      <c r="C194" s="62">
        <v>3000</v>
      </c>
      <c r="D194" s="63">
        <v>131.47999999999999</v>
      </c>
      <c r="E194" s="289">
        <v>14722</v>
      </c>
      <c r="F194" s="61">
        <f>(8000-8000)+14722+3000-17722</f>
        <v>0</v>
      </c>
      <c r="G194" s="251">
        <f t="shared" si="41"/>
        <v>14722</v>
      </c>
      <c r="H194" s="61">
        <f>(2760-2760)+3000-3000</f>
        <v>0</v>
      </c>
      <c r="I194" s="251">
        <f t="shared" si="42"/>
        <v>14722</v>
      </c>
      <c r="J194" s="251">
        <f t="shared" si="43"/>
        <v>44166000</v>
      </c>
      <c r="K194" s="290">
        <f t="shared" si="44"/>
        <v>1935648.5599999998</v>
      </c>
      <c r="L194" s="215"/>
      <c r="M194" s="40">
        <v>2760</v>
      </c>
    </row>
    <row r="195" spans="1:13" x14ac:dyDescent="0.25">
      <c r="A195" s="279">
        <v>3</v>
      </c>
      <c r="B195" s="61" t="s">
        <v>112</v>
      </c>
      <c r="C195" s="62">
        <v>4000</v>
      </c>
      <c r="D195" s="63">
        <v>131.47999999999999</v>
      </c>
      <c r="E195" s="289">
        <v>59674</v>
      </c>
      <c r="F195" s="61">
        <f>(59269-59269)+(1000-1000)</f>
        <v>0</v>
      </c>
      <c r="G195" s="251">
        <f t="shared" si="41"/>
        <v>59674</v>
      </c>
      <c r="H195" s="61">
        <f>(2760-2760)+595-595+10820</f>
        <v>10820</v>
      </c>
      <c r="I195" s="251">
        <f t="shared" si="42"/>
        <v>48854</v>
      </c>
      <c r="J195" s="251">
        <f t="shared" si="43"/>
        <v>195416000</v>
      </c>
      <c r="K195" s="290">
        <f t="shared" si="44"/>
        <v>6423323.9199999999</v>
      </c>
      <c r="L195" s="215"/>
      <c r="M195" s="40">
        <v>2760</v>
      </c>
    </row>
    <row r="196" spans="1:13" x14ac:dyDescent="0.25">
      <c r="A196" s="279">
        <v>4</v>
      </c>
      <c r="B196" s="61" t="s">
        <v>113</v>
      </c>
      <c r="C196" s="62">
        <v>1500</v>
      </c>
      <c r="D196" s="63">
        <v>83.71</v>
      </c>
      <c r="E196" s="289">
        <v>89620</v>
      </c>
      <c r="F196" s="61">
        <f>89620-89620</f>
        <v>0</v>
      </c>
      <c r="G196" s="251">
        <f t="shared" si="41"/>
        <v>89620</v>
      </c>
      <c r="H196" s="61">
        <f>20880-20880</f>
        <v>0</v>
      </c>
      <c r="I196" s="251">
        <f t="shared" si="42"/>
        <v>89620</v>
      </c>
      <c r="J196" s="251">
        <f t="shared" si="43"/>
        <v>134430000</v>
      </c>
      <c r="K196" s="290">
        <f t="shared" si="44"/>
        <v>7502090.1999999993</v>
      </c>
      <c r="L196" s="215"/>
    </row>
    <row r="197" spans="1:13" x14ac:dyDescent="0.25">
      <c r="A197" s="279">
        <v>5</v>
      </c>
      <c r="B197" s="61" t="s">
        <v>114</v>
      </c>
      <c r="C197" s="62">
        <v>1500</v>
      </c>
      <c r="D197" s="63">
        <v>173.2</v>
      </c>
      <c r="E197" s="289">
        <v>41133</v>
      </c>
      <c r="F197" s="62">
        <f>41133-41133</f>
        <v>0</v>
      </c>
      <c r="G197" s="251">
        <f t="shared" si="41"/>
        <v>41133</v>
      </c>
      <c r="H197" s="61">
        <f>3200-3200</f>
        <v>0</v>
      </c>
      <c r="I197" s="251">
        <f t="shared" si="42"/>
        <v>41133</v>
      </c>
      <c r="J197" s="251">
        <f t="shared" si="43"/>
        <v>61699500</v>
      </c>
      <c r="K197" s="290">
        <f t="shared" si="44"/>
        <v>7124235.5999999996</v>
      </c>
      <c r="L197" s="215"/>
    </row>
    <row r="198" spans="1:13" x14ac:dyDescent="0.25">
      <c r="A198" s="279">
        <v>6</v>
      </c>
      <c r="B198" s="61" t="s">
        <v>114</v>
      </c>
      <c r="C198" s="62">
        <v>2500</v>
      </c>
      <c r="D198" s="63">
        <v>173.2</v>
      </c>
      <c r="E198" s="289">
        <v>40462</v>
      </c>
      <c r="F198" s="61">
        <f>40462-40462</f>
        <v>0</v>
      </c>
      <c r="G198" s="251">
        <f t="shared" si="41"/>
        <v>40462</v>
      </c>
      <c r="H198" s="61">
        <f>3200-3200</f>
        <v>0</v>
      </c>
      <c r="I198" s="251">
        <f t="shared" si="42"/>
        <v>40462</v>
      </c>
      <c r="J198" s="251">
        <f t="shared" si="43"/>
        <v>101155000</v>
      </c>
      <c r="K198" s="290">
        <f t="shared" si="44"/>
        <v>7008018.3999999994</v>
      </c>
      <c r="L198" s="215"/>
      <c r="M198" t="s">
        <v>927</v>
      </c>
    </row>
    <row r="199" spans="1:13" x14ac:dyDescent="0.25">
      <c r="A199" s="279">
        <v>7</v>
      </c>
      <c r="B199" s="61" t="s">
        <v>115</v>
      </c>
      <c r="C199" s="62">
        <v>2500</v>
      </c>
      <c r="D199" s="63">
        <v>121.39</v>
      </c>
      <c r="E199" s="289">
        <v>62815</v>
      </c>
      <c r="F199" s="61">
        <f>(60815-60815+2000-2000)</f>
        <v>0</v>
      </c>
      <c r="G199" s="251">
        <f t="shared" si="41"/>
        <v>62815</v>
      </c>
      <c r="H199" s="61">
        <f>8600-8600</f>
        <v>0</v>
      </c>
      <c r="I199" s="251">
        <f t="shared" si="42"/>
        <v>62815</v>
      </c>
      <c r="J199" s="251">
        <f t="shared" si="43"/>
        <v>157037500</v>
      </c>
      <c r="K199" s="290">
        <f t="shared" si="44"/>
        <v>7625112.8499999996</v>
      </c>
      <c r="L199" s="215"/>
    </row>
    <row r="200" spans="1:13" x14ac:dyDescent="0.25">
      <c r="A200" s="279">
        <v>8</v>
      </c>
      <c r="B200" s="61" t="s">
        <v>116</v>
      </c>
      <c r="C200" s="62">
        <v>2500</v>
      </c>
      <c r="D200" s="63">
        <v>121.03</v>
      </c>
      <c r="E200" s="289">
        <v>75666</v>
      </c>
      <c r="F200" s="61">
        <f>74066-74066+(1600-1600)</f>
        <v>0</v>
      </c>
      <c r="G200" s="251">
        <f t="shared" si="41"/>
        <v>75666</v>
      </c>
      <c r="H200" s="61">
        <f>1000-1000</f>
        <v>0</v>
      </c>
      <c r="I200" s="251">
        <f t="shared" si="42"/>
        <v>75666</v>
      </c>
      <c r="J200" s="251">
        <f t="shared" si="43"/>
        <v>189165000</v>
      </c>
      <c r="K200" s="290">
        <f t="shared" si="44"/>
        <v>9157855.9800000004</v>
      </c>
      <c r="L200" s="215"/>
      <c r="M200" t="s">
        <v>926</v>
      </c>
    </row>
    <row r="201" spans="1:13" x14ac:dyDescent="0.25">
      <c r="A201" s="279">
        <v>9</v>
      </c>
      <c r="B201" s="61" t="s">
        <v>49</v>
      </c>
      <c r="C201" s="62">
        <v>2500</v>
      </c>
      <c r="D201" s="63">
        <v>97.69</v>
      </c>
      <c r="E201" s="289">
        <v>54937</v>
      </c>
      <c r="F201" s="61">
        <f>(2400-2400)+54937-54937</f>
        <v>0</v>
      </c>
      <c r="G201" s="251">
        <f t="shared" si="41"/>
        <v>54937</v>
      </c>
      <c r="H201" s="61">
        <f>3400-3400</f>
        <v>0</v>
      </c>
      <c r="I201" s="251">
        <f t="shared" si="42"/>
        <v>54937</v>
      </c>
      <c r="J201" s="251">
        <f t="shared" si="43"/>
        <v>137342500</v>
      </c>
      <c r="K201" s="290">
        <f t="shared" si="44"/>
        <v>5366795.53</v>
      </c>
      <c r="L201" s="215"/>
      <c r="M201" t="s">
        <v>925</v>
      </c>
    </row>
    <row r="202" spans="1:13" x14ac:dyDescent="0.25">
      <c r="A202" s="279">
        <v>10</v>
      </c>
      <c r="B202" s="61" t="s">
        <v>117</v>
      </c>
      <c r="C202" s="62">
        <v>2500</v>
      </c>
      <c r="D202" s="63">
        <v>97.32</v>
      </c>
      <c r="E202" s="289">
        <v>247921</v>
      </c>
      <c r="F202" s="61">
        <f>(4800-4800)+247921-247921</f>
        <v>0</v>
      </c>
      <c r="G202" s="251">
        <f t="shared" si="41"/>
        <v>247921</v>
      </c>
      <c r="H202" s="61">
        <f>4800-4800</f>
        <v>0</v>
      </c>
      <c r="I202" s="251">
        <f t="shared" si="42"/>
        <v>247921</v>
      </c>
      <c r="J202" s="251">
        <f t="shared" si="43"/>
        <v>619802500</v>
      </c>
      <c r="K202" s="290">
        <f t="shared" si="44"/>
        <v>24127671.719999999</v>
      </c>
      <c r="L202" s="215"/>
    </row>
    <row r="203" spans="1:13" x14ac:dyDescent="0.25">
      <c r="A203" s="279">
        <v>11</v>
      </c>
      <c r="B203" s="61" t="s">
        <v>118</v>
      </c>
      <c r="C203" s="62">
        <v>2500</v>
      </c>
      <c r="D203" s="63">
        <v>140.65</v>
      </c>
      <c r="E203" s="289">
        <v>567461</v>
      </c>
      <c r="F203" s="61">
        <f>(6400-6400)+(570413-570413)+(12800-12800)</f>
        <v>0</v>
      </c>
      <c r="G203" s="251">
        <f t="shared" si="41"/>
        <v>567461</v>
      </c>
      <c r="H203" s="61">
        <f>(6400-6400+6400-6400)+15752-15752</f>
        <v>0</v>
      </c>
      <c r="I203" s="251">
        <f t="shared" si="42"/>
        <v>567461</v>
      </c>
      <c r="J203" s="251">
        <f t="shared" si="43"/>
        <v>1418652500</v>
      </c>
      <c r="K203" s="290">
        <f t="shared" si="44"/>
        <v>79813389.650000006</v>
      </c>
      <c r="L203" s="215"/>
    </row>
    <row r="204" spans="1:13" x14ac:dyDescent="0.25">
      <c r="A204" s="279">
        <v>12</v>
      </c>
      <c r="B204" s="61" t="s">
        <v>52</v>
      </c>
      <c r="C204" s="62">
        <v>2500</v>
      </c>
      <c r="D204" s="63">
        <v>110.39</v>
      </c>
      <c r="E204" s="289">
        <v>108732</v>
      </c>
      <c r="F204" s="61">
        <f>108732-108732</f>
        <v>0</v>
      </c>
      <c r="G204" s="251">
        <f t="shared" si="41"/>
        <v>108732</v>
      </c>
      <c r="H204" s="61">
        <f>11600-11600</f>
        <v>0</v>
      </c>
      <c r="I204" s="251">
        <f t="shared" si="42"/>
        <v>108732</v>
      </c>
      <c r="J204" s="251">
        <f t="shared" si="43"/>
        <v>271830000</v>
      </c>
      <c r="K204" s="290">
        <f t="shared" si="44"/>
        <v>12002925.48</v>
      </c>
      <c r="L204" s="215"/>
      <c r="M204" t="s">
        <v>924</v>
      </c>
    </row>
    <row r="205" spans="1:13" x14ac:dyDescent="0.25">
      <c r="A205" s="279">
        <v>13</v>
      </c>
      <c r="B205" s="61" t="s">
        <v>119</v>
      </c>
      <c r="C205" s="62">
        <v>2500</v>
      </c>
      <c r="D205" s="63">
        <v>94.29</v>
      </c>
      <c r="E205" s="289">
        <v>372490</v>
      </c>
      <c r="F205" s="291">
        <f>372490-372490</f>
        <v>0</v>
      </c>
      <c r="G205" s="251">
        <f t="shared" si="41"/>
        <v>372490</v>
      </c>
      <c r="H205" s="61"/>
      <c r="I205" s="251">
        <f t="shared" si="42"/>
        <v>372490</v>
      </c>
      <c r="J205" s="251">
        <f t="shared" si="43"/>
        <v>931225000</v>
      </c>
      <c r="K205" s="290">
        <f t="shared" si="44"/>
        <v>35122082.100000001</v>
      </c>
      <c r="L205" s="215"/>
    </row>
    <row r="206" spans="1:13" x14ac:dyDescent="0.25">
      <c r="A206" s="279">
        <v>14</v>
      </c>
      <c r="B206" s="61" t="s">
        <v>120</v>
      </c>
      <c r="C206" s="62">
        <v>2500</v>
      </c>
      <c r="D206" s="63">
        <v>111.05</v>
      </c>
      <c r="E206" s="289">
        <v>44135</v>
      </c>
      <c r="F206" s="291">
        <f>52135-52135</f>
        <v>0</v>
      </c>
      <c r="G206" s="251">
        <f t="shared" si="41"/>
        <v>44135</v>
      </c>
      <c r="H206" s="61">
        <f>(6300-6300)+8000-8000</f>
        <v>0</v>
      </c>
      <c r="I206" s="251">
        <f t="shared" si="42"/>
        <v>44135</v>
      </c>
      <c r="J206" s="251">
        <f t="shared" si="43"/>
        <v>110337500</v>
      </c>
      <c r="K206" s="290">
        <f t="shared" si="44"/>
        <v>4901191.75</v>
      </c>
      <c r="L206" s="215"/>
      <c r="M206" s="270" t="s">
        <v>1201</v>
      </c>
    </row>
    <row r="207" spans="1:13" x14ac:dyDescent="0.25">
      <c r="A207" s="279">
        <v>15</v>
      </c>
      <c r="B207" s="61" t="s">
        <v>121</v>
      </c>
      <c r="C207" s="62">
        <v>2500</v>
      </c>
      <c r="D207" s="63">
        <v>111.05</v>
      </c>
      <c r="E207" s="289">
        <v>256337</v>
      </c>
      <c r="F207" s="291">
        <f>256337-256337</f>
        <v>0</v>
      </c>
      <c r="G207" s="251">
        <f t="shared" si="41"/>
        <v>256337</v>
      </c>
      <c r="H207" s="61">
        <f>7665-7665</f>
        <v>0</v>
      </c>
      <c r="I207" s="251">
        <f t="shared" si="42"/>
        <v>256337</v>
      </c>
      <c r="J207" s="251">
        <f t="shared" si="43"/>
        <v>640842500</v>
      </c>
      <c r="K207" s="290">
        <f t="shared" si="44"/>
        <v>28466223.849999998</v>
      </c>
      <c r="L207" s="215"/>
    </row>
    <row r="208" spans="1:13" x14ac:dyDescent="0.25">
      <c r="A208" s="279">
        <v>16</v>
      </c>
      <c r="B208" s="61" t="s">
        <v>122</v>
      </c>
      <c r="C208" s="62">
        <v>2500</v>
      </c>
      <c r="D208" s="63">
        <v>178.49</v>
      </c>
      <c r="E208" s="289">
        <v>373174</v>
      </c>
      <c r="F208" s="291">
        <f>368174-368174+(5000-5000)</f>
        <v>0</v>
      </c>
      <c r="G208" s="251">
        <f t="shared" si="41"/>
        <v>373174</v>
      </c>
      <c r="H208" s="61">
        <f>18200-18200</f>
        <v>0</v>
      </c>
      <c r="I208" s="251">
        <f t="shared" si="42"/>
        <v>373174</v>
      </c>
      <c r="J208" s="251">
        <f t="shared" si="43"/>
        <v>932935000</v>
      </c>
      <c r="K208" s="290">
        <f t="shared" si="44"/>
        <v>66607827.260000005</v>
      </c>
      <c r="L208" s="215"/>
      <c r="M208" t="s">
        <v>923</v>
      </c>
    </row>
    <row r="209" spans="1:12" x14ac:dyDescent="0.25">
      <c r="A209" s="279">
        <v>17</v>
      </c>
      <c r="B209" s="61" t="s">
        <v>123</v>
      </c>
      <c r="C209" s="62">
        <v>2500</v>
      </c>
      <c r="D209" s="63">
        <v>98.95</v>
      </c>
      <c r="E209" s="289">
        <v>418106</v>
      </c>
      <c r="F209" s="61">
        <f>(5280-5280)+412106-412106+(6000-6000)</f>
        <v>0</v>
      </c>
      <c r="G209" s="251">
        <f t="shared" si="41"/>
        <v>418106</v>
      </c>
      <c r="H209" s="61">
        <f>5280-5280</f>
        <v>0</v>
      </c>
      <c r="I209" s="251">
        <f t="shared" si="42"/>
        <v>418106</v>
      </c>
      <c r="J209" s="251">
        <f t="shared" si="43"/>
        <v>1045265000</v>
      </c>
      <c r="K209" s="290">
        <f t="shared" si="44"/>
        <v>41371588.700000003</v>
      </c>
      <c r="L209" s="215"/>
    </row>
    <row r="210" spans="1:12" x14ac:dyDescent="0.25">
      <c r="A210" s="279">
        <v>18</v>
      </c>
      <c r="B210" s="61" t="s">
        <v>124</v>
      </c>
      <c r="C210" s="62">
        <v>2500</v>
      </c>
      <c r="D210" s="63">
        <v>97.69</v>
      </c>
      <c r="E210" s="289">
        <v>93923</v>
      </c>
      <c r="F210" s="90">
        <f>93923-93923</f>
        <v>0</v>
      </c>
      <c r="G210" s="292">
        <f t="shared" si="41"/>
        <v>93923</v>
      </c>
      <c r="H210" s="90">
        <f>2400-2400+9984-9984</f>
        <v>0</v>
      </c>
      <c r="I210" s="292">
        <f t="shared" si="42"/>
        <v>93923</v>
      </c>
      <c r="J210" s="292">
        <f t="shared" si="43"/>
        <v>234807500</v>
      </c>
      <c r="K210" s="293">
        <f t="shared" si="44"/>
        <v>9175337.8699999992</v>
      </c>
      <c r="L210" s="215"/>
    </row>
    <row r="211" spans="1:12" ht="15.75" thickBot="1" x14ac:dyDescent="0.3">
      <c r="A211" s="280">
        <v>19</v>
      </c>
      <c r="B211" s="281" t="s">
        <v>1184</v>
      </c>
      <c r="C211" s="282">
        <v>2500</v>
      </c>
      <c r="D211" s="294">
        <v>106.59</v>
      </c>
      <c r="E211" s="295">
        <v>509119</v>
      </c>
      <c r="F211" s="90">
        <f>509119-509119</f>
        <v>0</v>
      </c>
      <c r="G211" s="292">
        <f>+E211+F211</f>
        <v>509119</v>
      </c>
      <c r="H211" s="90">
        <f>2400-2400+9984-9984</f>
        <v>0</v>
      </c>
      <c r="I211" s="292">
        <f>+G211-H211</f>
        <v>509119</v>
      </c>
      <c r="J211" s="292">
        <f>I211*C211</f>
        <v>1272797500</v>
      </c>
      <c r="K211" s="293">
        <f>+D211*I211</f>
        <v>54266994.210000001</v>
      </c>
      <c r="L211" s="215"/>
    </row>
    <row r="212" spans="1:12" ht="15.75" thickBot="1" x14ac:dyDescent="0.3">
      <c r="A212" s="64"/>
      <c r="B212" s="96" t="s">
        <v>670</v>
      </c>
      <c r="C212" s="296"/>
      <c r="D212" s="97"/>
      <c r="E212" s="97">
        <f t="shared" ref="E212:K212" si="45">SUM(E193:E211)</f>
        <v>3472252</v>
      </c>
      <c r="F212" s="97">
        <f t="shared" si="45"/>
        <v>2960</v>
      </c>
      <c r="G212" s="97">
        <f t="shared" si="45"/>
        <v>3475212</v>
      </c>
      <c r="H212" s="97">
        <f t="shared" si="45"/>
        <v>10820</v>
      </c>
      <c r="I212" s="97">
        <f t="shared" si="45"/>
        <v>3464392</v>
      </c>
      <c r="J212" s="97">
        <f t="shared" si="45"/>
        <v>8566084000</v>
      </c>
      <c r="K212" s="297">
        <f t="shared" si="45"/>
        <v>413886645.42999995</v>
      </c>
      <c r="L212" s="151"/>
    </row>
    <row r="213" spans="1:12" ht="15.75" thickBot="1" x14ac:dyDescent="0.3">
      <c r="A213" s="298"/>
      <c r="B213" s="80"/>
      <c r="C213" s="81"/>
      <c r="D213" s="82"/>
      <c r="E213" s="83"/>
      <c r="F213" s="80"/>
      <c r="G213" s="83"/>
      <c r="H213" s="83"/>
      <c r="I213" s="83"/>
      <c r="J213" s="83"/>
      <c r="K213" s="82"/>
      <c r="L213" s="140"/>
    </row>
    <row r="214" spans="1:12" ht="15.75" thickBot="1" x14ac:dyDescent="0.3">
      <c r="A214" s="418" t="s">
        <v>653</v>
      </c>
      <c r="B214" s="421" t="s">
        <v>0</v>
      </c>
      <c r="C214" s="421" t="s">
        <v>1</v>
      </c>
      <c r="D214" s="422" t="s">
        <v>645</v>
      </c>
      <c r="E214" s="423" t="s">
        <v>19</v>
      </c>
      <c r="F214" s="423"/>
      <c r="G214" s="423"/>
      <c r="H214" s="423"/>
      <c r="I214" s="423"/>
      <c r="J214" s="416" t="s">
        <v>20</v>
      </c>
      <c r="K214" s="418" t="s">
        <v>598</v>
      </c>
      <c r="L214" s="213"/>
    </row>
    <row r="215" spans="1:12" ht="15.75" thickBot="1" x14ac:dyDescent="0.3">
      <c r="A215" s="420"/>
      <c r="B215" s="421"/>
      <c r="C215" s="421"/>
      <c r="D215" s="422"/>
      <c r="E215" s="272" t="s">
        <v>21</v>
      </c>
      <c r="F215" s="272" t="s">
        <v>596</v>
      </c>
      <c r="G215" s="272" t="s">
        <v>597</v>
      </c>
      <c r="H215" s="272" t="s">
        <v>585</v>
      </c>
      <c r="I215" s="272" t="s">
        <v>597</v>
      </c>
      <c r="J215" s="417"/>
      <c r="K215" s="419"/>
      <c r="L215" s="213"/>
    </row>
    <row r="216" spans="1:12" ht="15.75" thickBot="1" x14ac:dyDescent="0.3">
      <c r="A216" s="419"/>
      <c r="B216" s="273">
        <v>1</v>
      </c>
      <c r="C216" s="273">
        <v>2</v>
      </c>
      <c r="D216" s="273">
        <v>3</v>
      </c>
      <c r="E216" s="274">
        <v>4</v>
      </c>
      <c r="F216" s="274">
        <f>+E216+1</f>
        <v>5</v>
      </c>
      <c r="G216" s="274" t="s">
        <v>648</v>
      </c>
      <c r="H216" s="274">
        <v>7</v>
      </c>
      <c r="I216" s="275" t="s">
        <v>647</v>
      </c>
      <c r="J216" s="287" t="s">
        <v>646</v>
      </c>
      <c r="K216" s="287" t="s">
        <v>649</v>
      </c>
      <c r="L216" s="214"/>
    </row>
    <row r="217" spans="1:12" x14ac:dyDescent="0.25">
      <c r="A217" s="276"/>
      <c r="B217" s="276" t="s">
        <v>671</v>
      </c>
      <c r="C217" s="288"/>
      <c r="D217" s="288"/>
      <c r="E217" s="288"/>
      <c r="F217" s="288"/>
      <c r="G217" s="288"/>
      <c r="H217" s="288"/>
      <c r="I217" s="288"/>
      <c r="J217" s="288"/>
      <c r="K217" s="288"/>
      <c r="L217" s="114"/>
    </row>
    <row r="218" spans="1:12" x14ac:dyDescent="0.25">
      <c r="A218" s="279">
        <v>1</v>
      </c>
      <c r="B218" s="61" t="s">
        <v>125</v>
      </c>
      <c r="C218" s="62">
        <v>2500</v>
      </c>
      <c r="D218" s="63">
        <v>98.35</v>
      </c>
      <c r="E218" s="289">
        <v>222616</v>
      </c>
      <c r="F218" s="61">
        <f>215530-215530+(7086-7086)</f>
        <v>0</v>
      </c>
      <c r="G218" s="251">
        <f t="shared" ref="G218:G231" si="46">+E218+F218</f>
        <v>222616</v>
      </c>
      <c r="H218" s="61">
        <f>40200-40200</f>
        <v>0</v>
      </c>
      <c r="I218" s="251">
        <f t="shared" ref="I218:I231" si="47">+G218-H218</f>
        <v>222616</v>
      </c>
      <c r="J218" s="251">
        <f t="shared" ref="J218:J231" si="48">I218*C218</f>
        <v>556540000</v>
      </c>
      <c r="K218" s="290">
        <f t="shared" ref="K218:K231" si="49">+D218*I218</f>
        <v>21894283.599999998</v>
      </c>
      <c r="L218" s="215"/>
    </row>
    <row r="219" spans="1:12" x14ac:dyDescent="0.25">
      <c r="A219" s="279">
        <v>2</v>
      </c>
      <c r="B219" s="61" t="s">
        <v>126</v>
      </c>
      <c r="C219" s="62">
        <v>2500</v>
      </c>
      <c r="D219" s="63">
        <v>97.69</v>
      </c>
      <c r="E219" s="289">
        <v>419741</v>
      </c>
      <c r="F219" s="61">
        <f>(4800-4800)+428819-428819+(19098-19098)</f>
        <v>0</v>
      </c>
      <c r="G219" s="251">
        <f t="shared" si="46"/>
        <v>419741</v>
      </c>
      <c r="H219" s="61">
        <f>(4800-4800+45912-45912)+24000+4176-28176+12000</f>
        <v>12000</v>
      </c>
      <c r="I219" s="251">
        <f t="shared" si="47"/>
        <v>407741</v>
      </c>
      <c r="J219" s="251">
        <f t="shared" si="48"/>
        <v>1019352500</v>
      </c>
      <c r="K219" s="290">
        <f t="shared" si="49"/>
        <v>39832218.289999999</v>
      </c>
      <c r="L219" s="215" t="s">
        <v>1207</v>
      </c>
    </row>
    <row r="220" spans="1:12" x14ac:dyDescent="0.25">
      <c r="A220" s="279">
        <v>3</v>
      </c>
      <c r="B220" s="61" t="s">
        <v>127</v>
      </c>
      <c r="C220" s="62">
        <v>25000</v>
      </c>
      <c r="D220" s="63">
        <v>178.49</v>
      </c>
      <c r="E220" s="289">
        <v>100</v>
      </c>
      <c r="F220" s="61"/>
      <c r="G220" s="251">
        <f t="shared" si="46"/>
        <v>100</v>
      </c>
      <c r="H220" s="61"/>
      <c r="I220" s="251">
        <f t="shared" si="47"/>
        <v>100</v>
      </c>
      <c r="J220" s="251">
        <f t="shared" si="48"/>
        <v>2500000</v>
      </c>
      <c r="K220" s="290">
        <f t="shared" si="49"/>
        <v>17849</v>
      </c>
      <c r="L220" s="215"/>
    </row>
    <row r="221" spans="1:12" x14ac:dyDescent="0.25">
      <c r="A221" s="279">
        <v>4</v>
      </c>
      <c r="B221" s="61" t="s">
        <v>128</v>
      </c>
      <c r="C221" s="62">
        <v>5000</v>
      </c>
      <c r="D221" s="63">
        <v>123.6</v>
      </c>
      <c r="E221" s="289">
        <v>1786</v>
      </c>
      <c r="F221" s="61">
        <f>(10956-10956)+(1786-1786)</f>
        <v>0</v>
      </c>
      <c r="G221" s="251">
        <f t="shared" si="46"/>
        <v>1786</v>
      </c>
      <c r="H221" s="61">
        <f>(25500-25500)+(5756-5756)+(5000-5000)</f>
        <v>0</v>
      </c>
      <c r="I221" s="251">
        <f t="shared" si="47"/>
        <v>1786</v>
      </c>
      <c r="J221" s="251">
        <f t="shared" si="48"/>
        <v>8930000</v>
      </c>
      <c r="K221" s="290">
        <f t="shared" si="49"/>
        <v>220749.59999999998</v>
      </c>
      <c r="L221" s="215"/>
    </row>
    <row r="222" spans="1:12" x14ac:dyDescent="0.25">
      <c r="A222" s="283">
        <v>5</v>
      </c>
      <c r="B222" s="61" t="s">
        <v>773</v>
      </c>
      <c r="C222" s="62">
        <v>2500</v>
      </c>
      <c r="D222" s="63">
        <v>106.59</v>
      </c>
      <c r="E222" s="289">
        <v>409449</v>
      </c>
      <c r="F222" s="61">
        <f>400041-400041+(9408-9408)</f>
        <v>0</v>
      </c>
      <c r="G222" s="251">
        <f t="shared" si="46"/>
        <v>409449</v>
      </c>
      <c r="H222" s="289">
        <f>4800-4800+74400-74400+46416-46416</f>
        <v>0</v>
      </c>
      <c r="I222" s="251">
        <f t="shared" si="47"/>
        <v>409449</v>
      </c>
      <c r="J222" s="251">
        <f t="shared" si="48"/>
        <v>1023622500</v>
      </c>
      <c r="K222" s="290">
        <f t="shared" si="49"/>
        <v>43643168.910000004</v>
      </c>
      <c r="L222" s="215"/>
    </row>
    <row r="223" spans="1:12" x14ac:dyDescent="0.25">
      <c r="A223" s="279">
        <v>6</v>
      </c>
      <c r="B223" s="61" t="s">
        <v>129</v>
      </c>
      <c r="C223" s="62">
        <v>2000</v>
      </c>
      <c r="D223" s="63">
        <v>125.81</v>
      </c>
      <c r="E223" s="289">
        <v>122545</v>
      </c>
      <c r="F223" s="61">
        <f>110207-110207+(3338-3338)</f>
        <v>0</v>
      </c>
      <c r="G223" s="251">
        <f t="shared" si="46"/>
        <v>122545</v>
      </c>
      <c r="H223" s="61"/>
      <c r="I223" s="251">
        <f t="shared" si="47"/>
        <v>122545</v>
      </c>
      <c r="J223" s="251">
        <f t="shared" si="48"/>
        <v>245090000</v>
      </c>
      <c r="K223" s="290">
        <f t="shared" si="49"/>
        <v>15417386.450000001</v>
      </c>
      <c r="L223" s="215"/>
    </row>
    <row r="224" spans="1:12" x14ac:dyDescent="0.25">
      <c r="A224" s="279">
        <v>7</v>
      </c>
      <c r="B224" s="61" t="s">
        <v>864</v>
      </c>
      <c r="C224" s="62">
        <v>2500</v>
      </c>
      <c r="D224" s="63">
        <v>122.34</v>
      </c>
      <c r="E224" s="289">
        <v>39672</v>
      </c>
      <c r="F224" s="61">
        <f>(2400+10000-12400)+(37682-37682)+(1990-1990)</f>
        <v>0</v>
      </c>
      <c r="G224" s="251">
        <f t="shared" si="46"/>
        <v>39672</v>
      </c>
      <c r="H224" s="61">
        <f>2400+10000-12400+11000-11000+6000</f>
        <v>6000</v>
      </c>
      <c r="I224" s="251">
        <f t="shared" si="47"/>
        <v>33672</v>
      </c>
      <c r="J224" s="251">
        <f t="shared" si="48"/>
        <v>84180000</v>
      </c>
      <c r="K224" s="290">
        <f t="shared" si="49"/>
        <v>4119432.48</v>
      </c>
      <c r="L224" s="215"/>
    </row>
    <row r="225" spans="1:15" x14ac:dyDescent="0.25">
      <c r="A225" s="283">
        <v>8</v>
      </c>
      <c r="B225" s="61" t="s">
        <v>130</v>
      </c>
      <c r="C225" s="62">
        <f>10000-7500</f>
        <v>2500</v>
      </c>
      <c r="D225" s="63">
        <v>416.24</v>
      </c>
      <c r="E225" s="289">
        <v>407347</v>
      </c>
      <c r="F225" s="61">
        <f>386103-386103+(6852+4472-11324)</f>
        <v>0</v>
      </c>
      <c r="G225" s="251">
        <f t="shared" si="46"/>
        <v>407347</v>
      </c>
      <c r="H225" s="61"/>
      <c r="I225" s="251">
        <f t="shared" si="47"/>
        <v>407347</v>
      </c>
      <c r="J225" s="251">
        <f t="shared" si="48"/>
        <v>1018367500</v>
      </c>
      <c r="K225" s="290">
        <f t="shared" si="49"/>
        <v>169554115.28</v>
      </c>
      <c r="L225" s="215"/>
    </row>
    <row r="226" spans="1:15" x14ac:dyDescent="0.25">
      <c r="A226" s="279">
        <v>9</v>
      </c>
      <c r="B226" s="61" t="s">
        <v>131</v>
      </c>
      <c r="C226" s="62">
        <v>2500</v>
      </c>
      <c r="D226" s="63">
        <v>123.6</v>
      </c>
      <c r="E226" s="289">
        <v>124397</v>
      </c>
      <c r="F226" s="61">
        <f>120397-120397+(4000-4000)</f>
        <v>0</v>
      </c>
      <c r="G226" s="251">
        <f t="shared" si="46"/>
        <v>124397</v>
      </c>
      <c r="H226" s="61">
        <f>25980-25980</f>
        <v>0</v>
      </c>
      <c r="I226" s="251">
        <f t="shared" si="47"/>
        <v>124397</v>
      </c>
      <c r="J226" s="251">
        <f t="shared" si="48"/>
        <v>310992500</v>
      </c>
      <c r="K226" s="290">
        <f t="shared" si="49"/>
        <v>15375469.199999999</v>
      </c>
      <c r="L226" s="215"/>
    </row>
    <row r="227" spans="1:15" x14ac:dyDescent="0.25">
      <c r="A227" s="279">
        <v>10</v>
      </c>
      <c r="B227" s="61" t="s">
        <v>132</v>
      </c>
      <c r="C227" s="62">
        <v>2500</v>
      </c>
      <c r="D227" s="63">
        <v>104.06</v>
      </c>
      <c r="E227" s="289">
        <v>167535</v>
      </c>
      <c r="F227" s="61">
        <f>(2400-2400)+163983-163983+(3552-3552)</f>
        <v>0</v>
      </c>
      <c r="G227" s="251">
        <f t="shared" si="46"/>
        <v>167535</v>
      </c>
      <c r="H227" s="61">
        <f>2400-2400+9496-9496</f>
        <v>0</v>
      </c>
      <c r="I227" s="251">
        <f t="shared" si="47"/>
        <v>167535</v>
      </c>
      <c r="J227" s="251">
        <f t="shared" si="48"/>
        <v>418837500</v>
      </c>
      <c r="K227" s="290">
        <f t="shared" si="49"/>
        <v>17433692.100000001</v>
      </c>
      <c r="L227" s="215"/>
    </row>
    <row r="228" spans="1:15" x14ac:dyDescent="0.25">
      <c r="A228" s="279">
        <v>11</v>
      </c>
      <c r="B228" s="61" t="s">
        <v>133</v>
      </c>
      <c r="C228" s="62">
        <v>2500</v>
      </c>
      <c r="D228" s="63">
        <v>123.6</v>
      </c>
      <c r="E228" s="289">
        <v>115618</v>
      </c>
      <c r="F228" s="61">
        <f>(2000-2000)+(111618-111618)+(4000-4000)</f>
        <v>0</v>
      </c>
      <c r="G228" s="251">
        <f t="shared" si="46"/>
        <v>115618</v>
      </c>
      <c r="H228" s="61">
        <f>(2000-2000+54000-54000)+6000</f>
        <v>6000</v>
      </c>
      <c r="I228" s="251">
        <f t="shared" si="47"/>
        <v>109618</v>
      </c>
      <c r="J228" s="251">
        <f t="shared" si="48"/>
        <v>274045000</v>
      </c>
      <c r="K228" s="290">
        <f t="shared" si="49"/>
        <v>13548784.799999999</v>
      </c>
      <c r="L228" s="215"/>
    </row>
    <row r="229" spans="1:15" x14ac:dyDescent="0.25">
      <c r="A229" s="279">
        <v>12</v>
      </c>
      <c r="B229" s="61" t="s">
        <v>134</v>
      </c>
      <c r="C229" s="62">
        <v>2500</v>
      </c>
      <c r="D229" s="63">
        <v>104.06</v>
      </c>
      <c r="E229" s="289">
        <v>283029</v>
      </c>
      <c r="F229" s="61">
        <f>278313-278313+(4716-4716)</f>
        <v>0</v>
      </c>
      <c r="G229" s="251">
        <f t="shared" si="46"/>
        <v>283029</v>
      </c>
      <c r="H229" s="61">
        <f>4800-4800+24000-24000</f>
        <v>0</v>
      </c>
      <c r="I229" s="251">
        <f t="shared" si="47"/>
        <v>283029</v>
      </c>
      <c r="J229" s="251">
        <f t="shared" si="48"/>
        <v>707572500</v>
      </c>
      <c r="K229" s="290">
        <f t="shared" si="49"/>
        <v>29451997.740000002</v>
      </c>
      <c r="L229" s="215"/>
    </row>
    <row r="230" spans="1:15" x14ac:dyDescent="0.25">
      <c r="A230" s="279">
        <v>13</v>
      </c>
      <c r="B230" s="61" t="s">
        <v>135</v>
      </c>
      <c r="C230" s="62">
        <v>2500</v>
      </c>
      <c r="D230" s="63">
        <v>104.06</v>
      </c>
      <c r="E230" s="289">
        <v>83220</v>
      </c>
      <c r="F230" s="61">
        <f>(161706/2-80853)+(4734/2-2367)</f>
        <v>0</v>
      </c>
      <c r="G230" s="251">
        <f t="shared" si="46"/>
        <v>83220</v>
      </c>
      <c r="H230" s="61">
        <f>5600-5600</f>
        <v>0</v>
      </c>
      <c r="I230" s="251">
        <f t="shared" si="47"/>
        <v>83220</v>
      </c>
      <c r="J230" s="251">
        <f t="shared" si="48"/>
        <v>208050000</v>
      </c>
      <c r="K230" s="290">
        <f t="shared" si="49"/>
        <v>8659873.2000000011</v>
      </c>
      <c r="L230" s="215"/>
    </row>
    <row r="231" spans="1:15" x14ac:dyDescent="0.25">
      <c r="A231" s="279">
        <v>14</v>
      </c>
      <c r="B231" s="61" t="s">
        <v>136</v>
      </c>
      <c r="C231" s="62">
        <v>2500</v>
      </c>
      <c r="D231" s="63">
        <v>104.06</v>
      </c>
      <c r="E231" s="289">
        <v>83220</v>
      </c>
      <c r="F231" s="61">
        <f>(161706/2-80853)+(4734/2-2367)</f>
        <v>0</v>
      </c>
      <c r="G231" s="251">
        <f t="shared" si="46"/>
        <v>83220</v>
      </c>
      <c r="H231" s="61">
        <f>5600-5600</f>
        <v>0</v>
      </c>
      <c r="I231" s="251">
        <f t="shared" si="47"/>
        <v>83220</v>
      </c>
      <c r="J231" s="251">
        <f t="shared" si="48"/>
        <v>208050000</v>
      </c>
      <c r="K231" s="290">
        <f t="shared" si="49"/>
        <v>8659873.2000000011</v>
      </c>
      <c r="L231" s="215"/>
    </row>
    <row r="232" spans="1:15" ht="15.75" thickBot="1" x14ac:dyDescent="0.3">
      <c r="A232" s="280">
        <v>15</v>
      </c>
      <c r="B232" s="281" t="s">
        <v>1185</v>
      </c>
      <c r="C232" s="62">
        <v>2500</v>
      </c>
      <c r="D232" s="294">
        <v>101.67</v>
      </c>
      <c r="E232" s="295">
        <v>503291</v>
      </c>
      <c r="F232" s="281">
        <f>9795-9795</f>
        <v>0</v>
      </c>
      <c r="G232" s="251">
        <f>+E232+F232</f>
        <v>503291</v>
      </c>
      <c r="H232" s="61">
        <f>5600-5600</f>
        <v>0</v>
      </c>
      <c r="I232" s="251">
        <f>+G232-H232</f>
        <v>503291</v>
      </c>
      <c r="J232" s="251">
        <f>I232*C232</f>
        <v>1258227500</v>
      </c>
      <c r="K232" s="290">
        <f>+D232*I232</f>
        <v>51169595.969999999</v>
      </c>
      <c r="L232" s="215"/>
    </row>
    <row r="233" spans="1:15" ht="15.75" thickBot="1" x14ac:dyDescent="0.3">
      <c r="A233" s="64"/>
      <c r="B233" s="96" t="s">
        <v>672</v>
      </c>
      <c r="C233" s="296"/>
      <c r="D233" s="97"/>
      <c r="E233" s="97">
        <f t="shared" ref="E233:K233" si="50">SUM(E218:E232)</f>
        <v>2983566</v>
      </c>
      <c r="F233" s="97">
        <f t="shared" si="50"/>
        <v>0</v>
      </c>
      <c r="G233" s="97">
        <f t="shared" si="50"/>
        <v>2983566</v>
      </c>
      <c r="H233" s="97">
        <f t="shared" si="50"/>
        <v>24000</v>
      </c>
      <c r="I233" s="97">
        <f t="shared" si="50"/>
        <v>2959566</v>
      </c>
      <c r="J233" s="97">
        <f t="shared" si="50"/>
        <v>7344357500</v>
      </c>
      <c r="K233" s="297">
        <f t="shared" si="50"/>
        <v>438998489.82000005</v>
      </c>
      <c r="L233" s="151"/>
    </row>
    <row r="234" spans="1:15" ht="15.75" thickBot="1" x14ac:dyDescent="0.3">
      <c r="A234" s="298"/>
      <c r="B234" s="80"/>
      <c r="C234" s="81"/>
      <c r="D234" s="82"/>
      <c r="E234" s="83"/>
      <c r="F234" s="80"/>
      <c r="G234" s="83"/>
      <c r="H234" s="83"/>
      <c r="I234" s="83"/>
      <c r="J234" s="83"/>
      <c r="K234" s="82"/>
      <c r="L234" s="140"/>
    </row>
    <row r="235" spans="1:15" ht="15.75" thickBot="1" x14ac:dyDescent="0.3">
      <c r="A235" s="418" t="s">
        <v>653</v>
      </c>
      <c r="B235" s="421" t="s">
        <v>0</v>
      </c>
      <c r="C235" s="421" t="s">
        <v>1</v>
      </c>
      <c r="D235" s="422" t="s">
        <v>645</v>
      </c>
      <c r="E235" s="423" t="s">
        <v>19</v>
      </c>
      <c r="F235" s="423"/>
      <c r="G235" s="423"/>
      <c r="H235" s="423"/>
      <c r="I235" s="423"/>
      <c r="J235" s="416" t="s">
        <v>20</v>
      </c>
      <c r="K235" s="418" t="s">
        <v>598</v>
      </c>
      <c r="L235" s="213"/>
    </row>
    <row r="236" spans="1:15" ht="15.75" thickBot="1" x14ac:dyDescent="0.3">
      <c r="A236" s="420"/>
      <c r="B236" s="421"/>
      <c r="C236" s="421"/>
      <c r="D236" s="422"/>
      <c r="E236" s="272" t="s">
        <v>21</v>
      </c>
      <c r="F236" s="272" t="s">
        <v>596</v>
      </c>
      <c r="G236" s="272" t="s">
        <v>597</v>
      </c>
      <c r="H236" s="272" t="s">
        <v>585</v>
      </c>
      <c r="I236" s="272" t="s">
        <v>597</v>
      </c>
      <c r="J236" s="417"/>
      <c r="K236" s="419"/>
      <c r="L236" s="213"/>
    </row>
    <row r="237" spans="1:15" ht="15.75" thickBot="1" x14ac:dyDescent="0.3">
      <c r="A237" s="419"/>
      <c r="B237" s="273">
        <v>1</v>
      </c>
      <c r="C237" s="273">
        <v>2</v>
      </c>
      <c r="D237" s="273">
        <v>3</v>
      </c>
      <c r="E237" s="274">
        <v>4</v>
      </c>
      <c r="F237" s="274">
        <f>+E237+1</f>
        <v>5</v>
      </c>
      <c r="G237" s="274" t="s">
        <v>648</v>
      </c>
      <c r="H237" s="274">
        <v>7</v>
      </c>
      <c r="I237" s="275" t="s">
        <v>647</v>
      </c>
      <c r="J237" s="287" t="s">
        <v>646</v>
      </c>
      <c r="K237" s="287" t="s">
        <v>649</v>
      </c>
      <c r="L237" s="214"/>
    </row>
    <row r="238" spans="1:15" x14ac:dyDescent="0.25">
      <c r="A238" s="276"/>
      <c r="B238" s="276" t="s">
        <v>673</v>
      </c>
      <c r="C238" s="288"/>
      <c r="D238" s="288"/>
      <c r="E238" s="288"/>
      <c r="F238" s="288"/>
      <c r="G238" s="288"/>
      <c r="H238" s="288"/>
      <c r="I238" s="288"/>
      <c r="J238" s="288"/>
      <c r="K238" s="288"/>
      <c r="L238" s="249" t="s">
        <v>1079</v>
      </c>
    </row>
    <row r="239" spans="1:15" x14ac:dyDescent="0.25">
      <c r="A239" s="279">
        <v>1</v>
      </c>
      <c r="B239" s="61" t="s">
        <v>674</v>
      </c>
      <c r="C239" s="62">
        <v>2500</v>
      </c>
      <c r="D239" s="284">
        <v>100.97</v>
      </c>
      <c r="E239" s="62">
        <v>851037</v>
      </c>
      <c r="F239" s="291">
        <f>(282884-282884)+(723648+872139)/3-531929</f>
        <v>0</v>
      </c>
      <c r="G239" s="290">
        <f t="shared" ref="G239:G255" si="51">+E239+F239</f>
        <v>851037</v>
      </c>
      <c r="H239" s="61">
        <f>72448-72448</f>
        <v>0</v>
      </c>
      <c r="I239" s="251">
        <f>+G239-H239</f>
        <v>851037</v>
      </c>
      <c r="J239" s="251">
        <f>I239*C239</f>
        <v>2127592500</v>
      </c>
      <c r="K239" s="290">
        <f t="shared" ref="K239:K255" si="52">+D239*I239</f>
        <v>85929205.890000001</v>
      </c>
      <c r="L239" s="215">
        <f>+I239*C239</f>
        <v>2127592500</v>
      </c>
      <c r="N239" s="40">
        <f>108672/3</f>
        <v>36224</v>
      </c>
      <c r="O239" s="145">
        <f>+E239-N239</f>
        <v>814813</v>
      </c>
    </row>
    <row r="240" spans="1:15" x14ac:dyDescent="0.25">
      <c r="A240" s="279">
        <v>2</v>
      </c>
      <c r="B240" s="61" t="s">
        <v>674</v>
      </c>
      <c r="C240" s="62">
        <v>5000</v>
      </c>
      <c r="D240" s="284">
        <v>100.97</v>
      </c>
      <c r="E240" s="62">
        <v>851037</v>
      </c>
      <c r="F240" s="291">
        <f>(282884-282884)+(723648+872139)/3-531929</f>
        <v>0</v>
      </c>
      <c r="G240" s="251">
        <f t="shared" si="51"/>
        <v>851037</v>
      </c>
      <c r="H240" s="61">
        <f>72448-72448</f>
        <v>0</v>
      </c>
      <c r="I240" s="251">
        <f t="shared" ref="I240:I255" si="53">+G240-H240</f>
        <v>851037</v>
      </c>
      <c r="J240" s="251">
        <f t="shared" ref="J240:J255" si="54">I240*C240</f>
        <v>4255185000</v>
      </c>
      <c r="K240" s="290">
        <f t="shared" si="52"/>
        <v>85929205.890000001</v>
      </c>
      <c r="L240" s="215"/>
      <c r="N240" s="40">
        <f>108672/3</f>
        <v>36224</v>
      </c>
    </row>
    <row r="241" spans="1:14" x14ac:dyDescent="0.25">
      <c r="A241" s="279">
        <v>3</v>
      </c>
      <c r="B241" s="61" t="s">
        <v>674</v>
      </c>
      <c r="C241" s="62">
        <v>7500</v>
      </c>
      <c r="D241" s="284">
        <v>100.97</v>
      </c>
      <c r="E241" s="62">
        <v>851037</v>
      </c>
      <c r="F241" s="291">
        <f>(282884-282884)+(723648+872139)/3-531929</f>
        <v>0</v>
      </c>
      <c r="G241" s="251">
        <f t="shared" si="51"/>
        <v>851037</v>
      </c>
      <c r="H241" s="61">
        <f>72448-72448</f>
        <v>0</v>
      </c>
      <c r="I241" s="251">
        <f t="shared" si="53"/>
        <v>851037</v>
      </c>
      <c r="J241" s="251">
        <f t="shared" si="54"/>
        <v>6382777500</v>
      </c>
      <c r="K241" s="290">
        <f t="shared" si="52"/>
        <v>85929205.890000001</v>
      </c>
      <c r="L241" s="215"/>
      <c r="N241" s="40">
        <f>108672/3</f>
        <v>36224</v>
      </c>
    </row>
    <row r="242" spans="1:14" x14ac:dyDescent="0.25">
      <c r="A242" s="283">
        <v>4</v>
      </c>
      <c r="B242" s="61" t="s">
        <v>774</v>
      </c>
      <c r="C242" s="62">
        <f>5000-2500</f>
        <v>2500</v>
      </c>
      <c r="D242" s="284">
        <f>2*130.08</f>
        <v>260.16000000000003</v>
      </c>
      <c r="E242" s="62">
        <v>119029</v>
      </c>
      <c r="F242" s="61">
        <f>(2000-2000)+(117029-117029)+(2000-2000)</f>
        <v>0</v>
      </c>
      <c r="G242" s="251">
        <f t="shared" si="51"/>
        <v>119029</v>
      </c>
      <c r="H242" s="61">
        <f>3980-3980+10000-10000+2000-2000</f>
        <v>0</v>
      </c>
      <c r="I242" s="251">
        <f t="shared" si="53"/>
        <v>119029</v>
      </c>
      <c r="J242" s="251">
        <f t="shared" si="54"/>
        <v>297572500</v>
      </c>
      <c r="K242" s="290">
        <f t="shared" si="52"/>
        <v>30966584.640000004</v>
      </c>
      <c r="L242" s="215" t="s">
        <v>1037</v>
      </c>
    </row>
    <row r="243" spans="1:14" x14ac:dyDescent="0.25">
      <c r="A243" s="283">
        <v>5</v>
      </c>
      <c r="B243" s="61" t="s">
        <v>675</v>
      </c>
      <c r="C243" s="62">
        <f>+'[1]KEL A-2'!$H$5</f>
        <v>8000</v>
      </c>
      <c r="D243" s="63">
        <f>+'[2]Prangko Filateli '!$D$196</f>
        <v>226.62</v>
      </c>
      <c r="E243" s="62">
        <v>423704</v>
      </c>
      <c r="F243" s="291">
        <f>(66360/2-33180)+(33180+357344-390524)+(2000-2000)</f>
        <v>0</v>
      </c>
      <c r="G243" s="251">
        <f t="shared" si="51"/>
        <v>423704</v>
      </c>
      <c r="H243" s="61">
        <f>(12000-12000)+(2000-2000)+8000</f>
        <v>8000</v>
      </c>
      <c r="I243" s="251">
        <f t="shared" si="53"/>
        <v>415704</v>
      </c>
      <c r="J243" s="251">
        <f t="shared" si="54"/>
        <v>3325632000</v>
      </c>
      <c r="K243" s="290">
        <f t="shared" si="52"/>
        <v>94206840.480000004</v>
      </c>
      <c r="L243" s="215"/>
    </row>
    <row r="244" spans="1:14" x14ac:dyDescent="0.25">
      <c r="A244" s="279">
        <v>6</v>
      </c>
      <c r="B244" s="61" t="s">
        <v>141</v>
      </c>
      <c r="C244" s="62">
        <f>+'[3]KEL A-2'!$I$5</f>
        <v>30000</v>
      </c>
      <c r="D244" s="63">
        <f>118.67*11</f>
        <v>1305.3700000000001</v>
      </c>
      <c r="E244" s="62">
        <v>206170</v>
      </c>
      <c r="F244" s="291">
        <f>(363297/11-33027)+(206170-33027-173143)</f>
        <v>0</v>
      </c>
      <c r="G244" s="251">
        <f t="shared" si="51"/>
        <v>206170</v>
      </c>
      <c r="H244" s="62">
        <f>18800-18800</f>
        <v>0</v>
      </c>
      <c r="I244" s="251">
        <f t="shared" si="53"/>
        <v>206170</v>
      </c>
      <c r="J244" s="251">
        <f t="shared" si="54"/>
        <v>6185100000</v>
      </c>
      <c r="K244" s="290">
        <f t="shared" si="52"/>
        <v>269128132.90000004</v>
      </c>
      <c r="L244" s="215"/>
      <c r="N244" s="40" t="s">
        <v>941</v>
      </c>
    </row>
    <row r="245" spans="1:14" x14ac:dyDescent="0.25">
      <c r="A245" s="279">
        <v>7</v>
      </c>
      <c r="B245" s="61" t="s">
        <v>676</v>
      </c>
      <c r="C245" s="62">
        <v>2500</v>
      </c>
      <c r="D245" s="63">
        <f>+'[2]Prangko Filateli '!$D$201</f>
        <v>109.83</v>
      </c>
      <c r="E245" s="62">
        <v>106898</v>
      </c>
      <c r="F245" s="61">
        <f>(104498-104498)+(2400-2400)</f>
        <v>0</v>
      </c>
      <c r="G245" s="251">
        <f t="shared" si="51"/>
        <v>106898</v>
      </c>
      <c r="H245" s="61">
        <f>3600-3600</f>
        <v>0</v>
      </c>
      <c r="I245" s="251">
        <f t="shared" si="53"/>
        <v>106898</v>
      </c>
      <c r="J245" s="251">
        <f t="shared" si="54"/>
        <v>267245000</v>
      </c>
      <c r="K245" s="290">
        <f t="shared" si="52"/>
        <v>11740607.34</v>
      </c>
      <c r="L245" s="215"/>
    </row>
    <row r="246" spans="1:14" x14ac:dyDescent="0.25">
      <c r="A246" s="279">
        <v>8</v>
      </c>
      <c r="B246" s="285" t="s">
        <v>775</v>
      </c>
      <c r="C246" s="62">
        <f>7500-5000</f>
        <v>2500</v>
      </c>
      <c r="D246" s="63">
        <f>109.83*3</f>
        <v>329.49</v>
      </c>
      <c r="E246" s="62">
        <v>509733</v>
      </c>
      <c r="F246" s="61">
        <f>(507333-507333)+(2400-2400)</f>
        <v>0</v>
      </c>
      <c r="G246" s="251">
        <f t="shared" si="51"/>
        <v>509733</v>
      </c>
      <c r="H246" s="61">
        <f>2400*3-7200+2400-2400</f>
        <v>0</v>
      </c>
      <c r="I246" s="251">
        <f t="shared" si="53"/>
        <v>509733</v>
      </c>
      <c r="J246" s="251">
        <f t="shared" si="54"/>
        <v>1274332500</v>
      </c>
      <c r="K246" s="290">
        <f t="shared" si="52"/>
        <v>167951926.17000002</v>
      </c>
      <c r="L246" s="215"/>
    </row>
    <row r="247" spans="1:14" x14ac:dyDescent="0.25">
      <c r="A247" s="279">
        <v>9</v>
      </c>
      <c r="B247" s="61" t="s">
        <v>677</v>
      </c>
      <c r="C247" s="62">
        <v>5000</v>
      </c>
      <c r="D247" s="63">
        <f>142.22*2</f>
        <v>284.44</v>
      </c>
      <c r="E247" s="62">
        <v>184730</v>
      </c>
      <c r="F247" s="61">
        <f>184730-184730</f>
        <v>0</v>
      </c>
      <c r="G247" s="251">
        <f t="shared" si="51"/>
        <v>184730</v>
      </c>
      <c r="H247" s="61">
        <f>78926-78926</f>
        <v>0</v>
      </c>
      <c r="I247" s="251">
        <f t="shared" si="53"/>
        <v>184730</v>
      </c>
      <c r="J247" s="251">
        <f t="shared" si="54"/>
        <v>923650000</v>
      </c>
      <c r="K247" s="290">
        <f t="shared" si="52"/>
        <v>52544601.200000003</v>
      </c>
      <c r="L247" s="215"/>
      <c r="N247" s="40" t="s">
        <v>863</v>
      </c>
    </row>
    <row r="248" spans="1:14" x14ac:dyDescent="0.25">
      <c r="A248" s="279">
        <v>10</v>
      </c>
      <c r="B248" s="61" t="s">
        <v>678</v>
      </c>
      <c r="C248" s="62">
        <v>5000</v>
      </c>
      <c r="D248" s="63">
        <f>129.27*2</f>
        <v>258.54000000000002</v>
      </c>
      <c r="E248" s="62">
        <v>178512</v>
      </c>
      <c r="F248" s="61">
        <f>176512-176512+(2000-2000)</f>
        <v>0</v>
      </c>
      <c r="G248" s="251">
        <f t="shared" si="51"/>
        <v>178512</v>
      </c>
      <c r="H248" s="61">
        <f>9000-9000</f>
        <v>0</v>
      </c>
      <c r="I248" s="251">
        <f t="shared" si="53"/>
        <v>178512</v>
      </c>
      <c r="J248" s="251">
        <f t="shared" si="54"/>
        <v>892560000</v>
      </c>
      <c r="K248" s="290">
        <f t="shared" si="52"/>
        <v>46152492.480000004</v>
      </c>
      <c r="L248" s="215"/>
      <c r="N248" s="40" t="s">
        <v>940</v>
      </c>
    </row>
    <row r="249" spans="1:14" x14ac:dyDescent="0.25">
      <c r="A249" s="279">
        <v>11</v>
      </c>
      <c r="B249" s="61" t="s">
        <v>679</v>
      </c>
      <c r="C249" s="62">
        <f>+'[4]KEL A-2'!$L$5</f>
        <v>6000</v>
      </c>
      <c r="D249" s="63">
        <f>120.4*2</f>
        <v>240.8</v>
      </c>
      <c r="E249" s="62">
        <v>173642</v>
      </c>
      <c r="F249" s="61">
        <f>(345968/2-172984)+(1316/2-658)</f>
        <v>0</v>
      </c>
      <c r="G249" s="251">
        <f t="shared" si="51"/>
        <v>173642</v>
      </c>
      <c r="H249" s="291">
        <f>148979+20+24643</f>
        <v>173642</v>
      </c>
      <c r="I249" s="251">
        <f t="shared" si="53"/>
        <v>0</v>
      </c>
      <c r="J249" s="251">
        <f t="shared" si="54"/>
        <v>0</v>
      </c>
      <c r="K249" s="290">
        <f t="shared" si="52"/>
        <v>0</v>
      </c>
      <c r="L249" s="215"/>
    </row>
    <row r="250" spans="1:14" x14ac:dyDescent="0.25">
      <c r="A250" s="279">
        <v>12</v>
      </c>
      <c r="B250" s="61" t="s">
        <v>137</v>
      </c>
      <c r="C250" s="62">
        <v>2500</v>
      </c>
      <c r="D250" s="284">
        <v>130.53</v>
      </c>
      <c r="E250" s="62">
        <v>79837</v>
      </c>
      <c r="F250" s="291">
        <f>159674/2-79837</f>
        <v>0</v>
      </c>
      <c r="G250" s="251">
        <f t="shared" si="51"/>
        <v>79837</v>
      </c>
      <c r="H250" s="61">
        <f>9000-9000</f>
        <v>0</v>
      </c>
      <c r="I250" s="251">
        <f t="shared" si="53"/>
        <v>79837</v>
      </c>
      <c r="J250" s="251">
        <f t="shared" si="54"/>
        <v>199592500</v>
      </c>
      <c r="K250" s="290">
        <f t="shared" si="52"/>
        <v>10421123.609999999</v>
      </c>
      <c r="L250" s="215"/>
    </row>
    <row r="251" spans="1:14" x14ac:dyDescent="0.25">
      <c r="A251" s="279">
        <v>13</v>
      </c>
      <c r="B251" s="61" t="s">
        <v>138</v>
      </c>
      <c r="C251" s="62">
        <v>2500</v>
      </c>
      <c r="D251" s="284">
        <v>130.53</v>
      </c>
      <c r="E251" s="62">
        <v>79837</v>
      </c>
      <c r="F251" s="291">
        <f>159674/2-79837</f>
        <v>0</v>
      </c>
      <c r="G251" s="251">
        <f t="shared" si="51"/>
        <v>79837</v>
      </c>
      <c r="H251" s="61">
        <f>9000-9000</f>
        <v>0</v>
      </c>
      <c r="I251" s="251">
        <f t="shared" si="53"/>
        <v>79837</v>
      </c>
      <c r="J251" s="251">
        <f t="shared" si="54"/>
        <v>199592500</v>
      </c>
      <c r="K251" s="290">
        <f t="shared" si="52"/>
        <v>10421123.609999999</v>
      </c>
      <c r="L251" s="215"/>
    </row>
    <row r="252" spans="1:14" x14ac:dyDescent="0.25">
      <c r="A252" s="279">
        <v>14</v>
      </c>
      <c r="B252" s="61" t="s">
        <v>1186</v>
      </c>
      <c r="C252" s="62">
        <v>7500</v>
      </c>
      <c r="D252" s="299">
        <v>226.62</v>
      </c>
      <c r="E252" s="62">
        <v>376407</v>
      </c>
      <c r="F252" s="291">
        <f>408383-408383</f>
        <v>0</v>
      </c>
      <c r="G252" s="251">
        <f t="shared" si="51"/>
        <v>376407</v>
      </c>
      <c r="H252" s="61">
        <f>(20000+9976-29976)+(2000-2000)</f>
        <v>0</v>
      </c>
      <c r="I252" s="251">
        <f>+G252-H252</f>
        <v>376407</v>
      </c>
      <c r="J252" s="251">
        <f>I252*C252</f>
        <v>2823052500</v>
      </c>
      <c r="K252" s="290">
        <f>+D252*I252</f>
        <v>85301354.340000004</v>
      </c>
      <c r="L252" s="215" t="s">
        <v>1204</v>
      </c>
    </row>
    <row r="253" spans="1:14" x14ac:dyDescent="0.25">
      <c r="A253" s="279">
        <v>15</v>
      </c>
      <c r="B253" s="61" t="s">
        <v>1035</v>
      </c>
      <c r="C253" s="62">
        <v>10000</v>
      </c>
      <c r="D253" s="299">
        <v>226.62</v>
      </c>
      <c r="E253" s="62">
        <v>0</v>
      </c>
      <c r="F253" s="289">
        <f>(5000-5000)</f>
        <v>0</v>
      </c>
      <c r="G253" s="251">
        <f t="shared" si="51"/>
        <v>0</v>
      </c>
      <c r="H253" s="62">
        <f>5000-5000</f>
        <v>0</v>
      </c>
      <c r="I253" s="251">
        <f t="shared" si="53"/>
        <v>0</v>
      </c>
      <c r="J253" s="251">
        <f t="shared" si="54"/>
        <v>0</v>
      </c>
      <c r="K253" s="290">
        <f t="shared" si="52"/>
        <v>0</v>
      </c>
      <c r="L253" s="215"/>
    </row>
    <row r="254" spans="1:14" x14ac:dyDescent="0.25">
      <c r="A254" s="279">
        <v>16</v>
      </c>
      <c r="B254" s="61" t="s">
        <v>1187</v>
      </c>
      <c r="C254" s="91">
        <v>2500</v>
      </c>
      <c r="D254" s="299">
        <v>226.62</v>
      </c>
      <c r="E254" s="91">
        <v>537451</v>
      </c>
      <c r="F254" s="300">
        <f>537451-537451</f>
        <v>0</v>
      </c>
      <c r="G254" s="251">
        <f>+E254+F254</f>
        <v>537451</v>
      </c>
      <c r="H254" s="62">
        <f>5000-5000</f>
        <v>0</v>
      </c>
      <c r="I254" s="251">
        <f>+G254-H254</f>
        <v>537451</v>
      </c>
      <c r="J254" s="251">
        <f>I254*C254</f>
        <v>1343627500</v>
      </c>
      <c r="K254" s="290">
        <f>+D254*I254</f>
        <v>121797145.62</v>
      </c>
      <c r="L254" s="215"/>
    </row>
    <row r="255" spans="1:14" ht="15.75" thickBot="1" x14ac:dyDescent="0.3">
      <c r="A255" s="279">
        <v>17</v>
      </c>
      <c r="B255" s="90" t="s">
        <v>824</v>
      </c>
      <c r="C255" s="91">
        <v>5000</v>
      </c>
      <c r="D255" s="286">
        <f>2*109.83</f>
        <v>219.66</v>
      </c>
      <c r="E255" s="91">
        <v>229680</v>
      </c>
      <c r="F255" s="90">
        <f>(1200-1200+200-200)+229680-229680</f>
        <v>0</v>
      </c>
      <c r="G255" s="292">
        <f t="shared" si="51"/>
        <v>229680</v>
      </c>
      <c r="H255" s="90">
        <f>1200-1200+200-200</f>
        <v>0</v>
      </c>
      <c r="I255" s="292">
        <f t="shared" si="53"/>
        <v>229680</v>
      </c>
      <c r="J255" s="292">
        <f t="shared" si="54"/>
        <v>1148400000</v>
      </c>
      <c r="K255" s="293">
        <f t="shared" si="52"/>
        <v>50451508.799999997</v>
      </c>
      <c r="L255" s="215"/>
      <c r="N255" s="172"/>
    </row>
    <row r="256" spans="1:14" ht="15.75" thickBot="1" x14ac:dyDescent="0.3">
      <c r="A256" s="64"/>
      <c r="B256" s="96" t="s">
        <v>680</v>
      </c>
      <c r="C256" s="296"/>
      <c r="D256" s="301"/>
      <c r="E256" s="301">
        <f t="shared" ref="E256:K256" si="55">SUM(E239:E255)</f>
        <v>5758741</v>
      </c>
      <c r="F256" s="301">
        <f t="shared" si="55"/>
        <v>0</v>
      </c>
      <c r="G256" s="301">
        <f t="shared" si="55"/>
        <v>5758741</v>
      </c>
      <c r="H256" s="301">
        <f t="shared" si="55"/>
        <v>181642</v>
      </c>
      <c r="I256" s="301">
        <f t="shared" si="55"/>
        <v>5577099</v>
      </c>
      <c r="J256" s="301">
        <f t="shared" si="55"/>
        <v>31645912000</v>
      </c>
      <c r="K256" s="302">
        <f t="shared" si="55"/>
        <v>1208871058.8600001</v>
      </c>
      <c r="L256" s="217"/>
    </row>
    <row r="257" spans="1:14" ht="15.75" thickBot="1" x14ac:dyDescent="0.3">
      <c r="A257" s="298"/>
      <c r="B257" s="80"/>
      <c r="C257" s="81"/>
      <c r="D257" s="82"/>
      <c r="E257" s="83"/>
      <c r="F257" s="80"/>
      <c r="G257" s="83"/>
      <c r="H257" s="83"/>
      <c r="I257" s="83"/>
      <c r="J257" s="83"/>
      <c r="K257" s="82"/>
      <c r="L257" s="140"/>
    </row>
    <row r="258" spans="1:14" ht="15.75" thickBot="1" x14ac:dyDescent="0.3">
      <c r="A258" s="418" t="s">
        <v>653</v>
      </c>
      <c r="B258" s="421" t="s">
        <v>0</v>
      </c>
      <c r="C258" s="421" t="s">
        <v>1</v>
      </c>
      <c r="D258" s="422" t="s">
        <v>645</v>
      </c>
      <c r="E258" s="423" t="s">
        <v>19</v>
      </c>
      <c r="F258" s="423"/>
      <c r="G258" s="423"/>
      <c r="H258" s="423"/>
      <c r="I258" s="423"/>
      <c r="J258" s="416" t="s">
        <v>20</v>
      </c>
      <c r="K258" s="418" t="s">
        <v>598</v>
      </c>
      <c r="L258" s="213"/>
    </row>
    <row r="259" spans="1:14" ht="15.75" thickBot="1" x14ac:dyDescent="0.3">
      <c r="A259" s="420"/>
      <c r="B259" s="421"/>
      <c r="C259" s="421"/>
      <c r="D259" s="422"/>
      <c r="E259" s="272" t="s">
        <v>21</v>
      </c>
      <c r="F259" s="272" t="s">
        <v>596</v>
      </c>
      <c r="G259" s="272" t="s">
        <v>597</v>
      </c>
      <c r="H259" s="272" t="s">
        <v>585</v>
      </c>
      <c r="I259" s="272" t="s">
        <v>597</v>
      </c>
      <c r="J259" s="417"/>
      <c r="K259" s="419"/>
      <c r="L259" s="213"/>
    </row>
    <row r="260" spans="1:14" ht="15.75" thickBot="1" x14ac:dyDescent="0.3">
      <c r="A260" s="419"/>
      <c r="B260" s="273">
        <v>1</v>
      </c>
      <c r="C260" s="273">
        <v>2</v>
      </c>
      <c r="D260" s="273">
        <v>3</v>
      </c>
      <c r="E260" s="274">
        <v>4</v>
      </c>
      <c r="F260" s="274">
        <f>+E260+1</f>
        <v>5</v>
      </c>
      <c r="G260" s="274" t="s">
        <v>648</v>
      </c>
      <c r="H260" s="274">
        <v>7</v>
      </c>
      <c r="I260" s="275" t="s">
        <v>647</v>
      </c>
      <c r="J260" s="287" t="s">
        <v>646</v>
      </c>
      <c r="K260" s="287" t="s">
        <v>649</v>
      </c>
      <c r="L260" s="214"/>
    </row>
    <row r="261" spans="1:14" x14ac:dyDescent="0.25">
      <c r="A261" s="276"/>
      <c r="B261" s="276" t="s">
        <v>681</v>
      </c>
      <c r="C261" s="277"/>
      <c r="D261" s="288"/>
      <c r="E261" s="303"/>
      <c r="F261" s="303"/>
      <c r="G261" s="303"/>
      <c r="H261" s="303"/>
      <c r="I261" s="303"/>
      <c r="J261" s="288"/>
      <c r="K261" s="288"/>
      <c r="L261" s="114"/>
    </row>
    <row r="262" spans="1:14" x14ac:dyDescent="0.25">
      <c r="A262" s="279">
        <v>1</v>
      </c>
      <c r="B262" s="61" t="s">
        <v>139</v>
      </c>
      <c r="C262" s="62">
        <v>10000</v>
      </c>
      <c r="D262" s="284">
        <f>4*119.91</f>
        <v>479.64</v>
      </c>
      <c r="E262" s="291">
        <v>200</v>
      </c>
      <c r="F262" s="291"/>
      <c r="G262" s="251">
        <f t="shared" ref="G262:G275" si="56">+E262+F262</f>
        <v>200</v>
      </c>
      <c r="H262" s="289"/>
      <c r="I262" s="251">
        <f t="shared" ref="I262:I274" si="57">+G262-H262</f>
        <v>200</v>
      </c>
      <c r="J262" s="251">
        <f t="shared" ref="J262:J275" si="58">I262*C262</f>
        <v>2000000</v>
      </c>
      <c r="K262" s="290">
        <f t="shared" ref="K262:K275" si="59">+D262*I262</f>
        <v>95928</v>
      </c>
      <c r="L262" s="215"/>
    </row>
    <row r="263" spans="1:14" x14ac:dyDescent="0.25">
      <c r="A263" s="279">
        <v>2</v>
      </c>
      <c r="B263" s="61" t="s">
        <v>140</v>
      </c>
      <c r="C263" s="62">
        <v>7500</v>
      </c>
      <c r="D263" s="284">
        <f>114.85*3</f>
        <v>344.54999999999995</v>
      </c>
      <c r="E263" s="291">
        <v>0</v>
      </c>
      <c r="F263" s="291">
        <f>152-152</f>
        <v>0</v>
      </c>
      <c r="G263" s="251">
        <f t="shared" si="56"/>
        <v>0</v>
      </c>
      <c r="H263" s="289">
        <f>152-152+3200-3200</f>
        <v>0</v>
      </c>
      <c r="I263" s="251">
        <f t="shared" si="57"/>
        <v>0</v>
      </c>
      <c r="J263" s="251">
        <f t="shared" si="58"/>
        <v>0</v>
      </c>
      <c r="K263" s="290">
        <f t="shared" si="59"/>
        <v>0</v>
      </c>
      <c r="L263" s="215"/>
      <c r="M263" s="192"/>
    </row>
    <row r="264" spans="1:14" x14ac:dyDescent="0.25">
      <c r="A264" s="279">
        <v>3</v>
      </c>
      <c r="B264" s="61" t="s">
        <v>141</v>
      </c>
      <c r="C264" s="62">
        <v>57000</v>
      </c>
      <c r="D264" s="284">
        <f>147.62*11</f>
        <v>1623.8200000000002</v>
      </c>
      <c r="E264" s="291">
        <v>5800</v>
      </c>
      <c r="F264" s="291"/>
      <c r="G264" s="251">
        <f t="shared" si="56"/>
        <v>5800</v>
      </c>
      <c r="H264" s="289"/>
      <c r="I264" s="251">
        <f t="shared" si="57"/>
        <v>5800</v>
      </c>
      <c r="J264" s="251">
        <f t="shared" si="58"/>
        <v>330600000</v>
      </c>
      <c r="K264" s="290">
        <f t="shared" si="59"/>
        <v>9418156.0000000019</v>
      </c>
      <c r="L264" s="215"/>
    </row>
    <row r="265" spans="1:14" x14ac:dyDescent="0.25">
      <c r="A265" s="279">
        <v>4</v>
      </c>
      <c r="B265" s="61" t="s">
        <v>142</v>
      </c>
      <c r="C265" s="62">
        <v>23000</v>
      </c>
      <c r="D265" s="284">
        <f>3*245.57</f>
        <v>736.71</v>
      </c>
      <c r="E265" s="291">
        <v>1200</v>
      </c>
      <c r="F265" s="291"/>
      <c r="G265" s="251">
        <f t="shared" si="56"/>
        <v>1200</v>
      </c>
      <c r="H265" s="289"/>
      <c r="I265" s="251">
        <f t="shared" si="57"/>
        <v>1200</v>
      </c>
      <c r="J265" s="251">
        <f t="shared" si="58"/>
        <v>27600000</v>
      </c>
      <c r="K265" s="290">
        <f t="shared" si="59"/>
        <v>884052</v>
      </c>
      <c r="L265" s="215"/>
    </row>
    <row r="266" spans="1:14" x14ac:dyDescent="0.25">
      <c r="A266" s="279">
        <v>5</v>
      </c>
      <c r="B266" s="61" t="s">
        <v>143</v>
      </c>
      <c r="C266" s="62">
        <v>9000</v>
      </c>
      <c r="D266" s="284">
        <f>3*120.58</f>
        <v>361.74</v>
      </c>
      <c r="E266" s="291">
        <v>0</v>
      </c>
      <c r="F266" s="291"/>
      <c r="G266" s="251">
        <f t="shared" si="56"/>
        <v>0</v>
      </c>
      <c r="H266" s="289">
        <f>400-400</f>
        <v>0</v>
      </c>
      <c r="I266" s="251">
        <f t="shared" si="57"/>
        <v>0</v>
      </c>
      <c r="J266" s="251">
        <f t="shared" si="58"/>
        <v>0</v>
      </c>
      <c r="K266" s="290">
        <f t="shared" si="59"/>
        <v>0</v>
      </c>
      <c r="L266" s="215"/>
    </row>
    <row r="267" spans="1:14" x14ac:dyDescent="0.25">
      <c r="A267" s="279">
        <v>6</v>
      </c>
      <c r="B267" s="61" t="s">
        <v>144</v>
      </c>
      <c r="C267" s="62">
        <v>6000</v>
      </c>
      <c r="D267" s="284">
        <f>156.34*2</f>
        <v>312.68</v>
      </c>
      <c r="E267" s="291">
        <v>0</v>
      </c>
      <c r="F267" s="291"/>
      <c r="G267" s="251">
        <f t="shared" si="56"/>
        <v>0</v>
      </c>
      <c r="H267" s="289">
        <f>1080-1080</f>
        <v>0</v>
      </c>
      <c r="I267" s="251">
        <f t="shared" si="57"/>
        <v>0</v>
      </c>
      <c r="J267" s="251">
        <f t="shared" si="58"/>
        <v>0</v>
      </c>
      <c r="K267" s="290">
        <f t="shared" si="59"/>
        <v>0</v>
      </c>
      <c r="L267" s="215"/>
      <c r="M267" t="s">
        <v>950</v>
      </c>
    </row>
    <row r="268" spans="1:14" x14ac:dyDescent="0.25">
      <c r="A268" s="279">
        <v>7</v>
      </c>
      <c r="B268" s="61" t="s">
        <v>549</v>
      </c>
      <c r="C268" s="62">
        <v>20000</v>
      </c>
      <c r="D268" s="284">
        <f>4*227.83</f>
        <v>911.32</v>
      </c>
      <c r="E268" s="291">
        <v>0</v>
      </c>
      <c r="F268" s="291"/>
      <c r="G268" s="251">
        <f t="shared" si="56"/>
        <v>0</v>
      </c>
      <c r="H268" s="289">
        <f>1800+720-2520+720-720</f>
        <v>0</v>
      </c>
      <c r="I268" s="251">
        <f t="shared" si="57"/>
        <v>0</v>
      </c>
      <c r="J268" s="251">
        <f t="shared" si="58"/>
        <v>0</v>
      </c>
      <c r="K268" s="290">
        <f t="shared" si="59"/>
        <v>0</v>
      </c>
      <c r="L268" s="194"/>
      <c r="M268" s="176"/>
      <c r="N268"/>
    </row>
    <row r="269" spans="1:14" x14ac:dyDescent="0.25">
      <c r="A269" s="279">
        <v>8</v>
      </c>
      <c r="B269" s="61" t="s">
        <v>550</v>
      </c>
      <c r="C269" s="62">
        <v>25000</v>
      </c>
      <c r="D269" s="284">
        <f>5*192.02</f>
        <v>960.1</v>
      </c>
      <c r="E269" s="291">
        <v>0</v>
      </c>
      <c r="F269" s="291"/>
      <c r="G269" s="251">
        <f t="shared" si="56"/>
        <v>0</v>
      </c>
      <c r="H269" s="289">
        <f>200+2500-2700+300-300</f>
        <v>0</v>
      </c>
      <c r="I269" s="251">
        <f t="shared" si="57"/>
        <v>0</v>
      </c>
      <c r="J269" s="251">
        <f t="shared" si="58"/>
        <v>0</v>
      </c>
      <c r="K269" s="290">
        <f t="shared" si="59"/>
        <v>0</v>
      </c>
      <c r="L269" s="215"/>
    </row>
    <row r="270" spans="1:14" x14ac:dyDescent="0.25">
      <c r="A270" s="279">
        <v>9</v>
      </c>
      <c r="B270" s="61" t="s">
        <v>551</v>
      </c>
      <c r="C270" s="62">
        <v>12000</v>
      </c>
      <c r="D270" s="284">
        <f>4*69.28</f>
        <v>277.12</v>
      </c>
      <c r="E270" s="291">
        <v>0</v>
      </c>
      <c r="F270" s="291"/>
      <c r="G270" s="251">
        <f t="shared" si="56"/>
        <v>0</v>
      </c>
      <c r="H270" s="304">
        <f>3500-3500</f>
        <v>0</v>
      </c>
      <c r="I270" s="251">
        <f t="shared" si="57"/>
        <v>0</v>
      </c>
      <c r="J270" s="251">
        <f t="shared" si="58"/>
        <v>0</v>
      </c>
      <c r="K270" s="290">
        <f t="shared" si="59"/>
        <v>0</v>
      </c>
      <c r="L270" s="215"/>
      <c r="M270" t="s">
        <v>928</v>
      </c>
    </row>
    <row r="271" spans="1:14" x14ac:dyDescent="0.25">
      <c r="A271" s="279">
        <v>10</v>
      </c>
      <c r="B271" s="61" t="s">
        <v>564</v>
      </c>
      <c r="C271" s="62">
        <v>6000</v>
      </c>
      <c r="D271" s="61">
        <f>184.93*2</f>
        <v>369.86</v>
      </c>
      <c r="E271" s="291">
        <v>0</v>
      </c>
      <c r="F271" s="291"/>
      <c r="G271" s="251">
        <f t="shared" si="56"/>
        <v>0</v>
      </c>
      <c r="H271" s="289">
        <f>1500-1500</f>
        <v>0</v>
      </c>
      <c r="I271" s="251">
        <f t="shared" si="57"/>
        <v>0</v>
      </c>
      <c r="J271" s="251">
        <f t="shared" si="58"/>
        <v>0</v>
      </c>
      <c r="K271" s="290">
        <f t="shared" si="59"/>
        <v>0</v>
      </c>
      <c r="L271" s="215"/>
    </row>
    <row r="272" spans="1:14" x14ac:dyDescent="0.25">
      <c r="A272" s="279">
        <v>11</v>
      </c>
      <c r="B272" s="61" t="s">
        <v>565</v>
      </c>
      <c r="C272" s="62">
        <v>9000</v>
      </c>
      <c r="D272" s="61">
        <f>275.74*3</f>
        <v>827.22</v>
      </c>
      <c r="E272" s="291">
        <v>0</v>
      </c>
      <c r="F272" s="291"/>
      <c r="G272" s="251">
        <f t="shared" si="56"/>
        <v>0</v>
      </c>
      <c r="H272" s="304">
        <f>6000-6000</f>
        <v>0</v>
      </c>
      <c r="I272" s="251">
        <f t="shared" si="57"/>
        <v>0</v>
      </c>
      <c r="J272" s="251">
        <f t="shared" si="58"/>
        <v>0</v>
      </c>
      <c r="K272" s="290">
        <f t="shared" si="59"/>
        <v>0</v>
      </c>
      <c r="L272" s="215"/>
      <c r="M272" t="s">
        <v>929</v>
      </c>
    </row>
    <row r="273" spans="1:16" x14ac:dyDescent="0.25">
      <c r="A273" s="279">
        <v>12</v>
      </c>
      <c r="B273" s="61" t="s">
        <v>566</v>
      </c>
      <c r="C273" s="62">
        <v>6000</v>
      </c>
      <c r="D273" s="61">
        <f>99.13*2</f>
        <v>198.26</v>
      </c>
      <c r="E273" s="291">
        <v>0</v>
      </c>
      <c r="F273" s="291"/>
      <c r="G273" s="251">
        <f t="shared" si="56"/>
        <v>0</v>
      </c>
      <c r="H273" s="289">
        <f>600-600</f>
        <v>0</v>
      </c>
      <c r="I273" s="251">
        <f t="shared" si="57"/>
        <v>0</v>
      </c>
      <c r="J273" s="251">
        <f t="shared" si="58"/>
        <v>0</v>
      </c>
      <c r="K273" s="290">
        <f t="shared" si="59"/>
        <v>0</v>
      </c>
      <c r="L273" s="215"/>
      <c r="M273" t="s">
        <v>949</v>
      </c>
    </row>
    <row r="274" spans="1:16" x14ac:dyDescent="0.25">
      <c r="A274" s="279">
        <v>13</v>
      </c>
      <c r="B274" s="61" t="s">
        <v>567</v>
      </c>
      <c r="C274" s="62">
        <v>6000</v>
      </c>
      <c r="D274" s="61">
        <f>142*2</f>
        <v>284</v>
      </c>
      <c r="E274" s="291">
        <v>0</v>
      </c>
      <c r="F274" s="291"/>
      <c r="G274" s="251">
        <f t="shared" si="56"/>
        <v>0</v>
      </c>
      <c r="H274" s="289">
        <f>1000-1000</f>
        <v>0</v>
      </c>
      <c r="I274" s="251">
        <f t="shared" si="57"/>
        <v>0</v>
      </c>
      <c r="J274" s="251">
        <f t="shared" si="58"/>
        <v>0</v>
      </c>
      <c r="K274" s="290">
        <f t="shared" si="59"/>
        <v>0</v>
      </c>
      <c r="L274" s="215"/>
      <c r="M274" t="s">
        <v>948</v>
      </c>
    </row>
    <row r="275" spans="1:16" ht="15.75" thickBot="1" x14ac:dyDescent="0.3">
      <c r="A275" s="279">
        <v>14</v>
      </c>
      <c r="B275" s="90" t="s">
        <v>568</v>
      </c>
      <c r="C275" s="91">
        <v>10000</v>
      </c>
      <c r="D275" s="61">
        <f>99.13*2</f>
        <v>198.26</v>
      </c>
      <c r="E275" s="305">
        <v>0</v>
      </c>
      <c r="F275" s="305"/>
      <c r="G275" s="292">
        <f t="shared" si="56"/>
        <v>0</v>
      </c>
      <c r="H275" s="300">
        <f>7500-7500</f>
        <v>0</v>
      </c>
      <c r="I275" s="292">
        <f>+G275-H275</f>
        <v>0</v>
      </c>
      <c r="J275" s="292">
        <f t="shared" si="58"/>
        <v>0</v>
      </c>
      <c r="K275" s="293">
        <f t="shared" si="59"/>
        <v>0</v>
      </c>
      <c r="L275" s="215"/>
      <c r="N275" s="40">
        <f>7500*2</f>
        <v>15000</v>
      </c>
      <c r="O275" s="40" t="s">
        <v>878</v>
      </c>
    </row>
    <row r="276" spans="1:16" ht="15.75" thickBot="1" x14ac:dyDescent="0.3">
      <c r="A276" s="64"/>
      <c r="B276" s="96" t="s">
        <v>682</v>
      </c>
      <c r="C276" s="296"/>
      <c r="D276" s="296"/>
      <c r="E276" s="306">
        <f t="shared" ref="E276:K276" si="60">SUM(E262:E275)</f>
        <v>7200</v>
      </c>
      <c r="F276" s="306">
        <f t="shared" si="60"/>
        <v>0</v>
      </c>
      <c r="G276" s="306">
        <f t="shared" si="60"/>
        <v>7200</v>
      </c>
      <c r="H276" s="306">
        <f t="shared" si="60"/>
        <v>0</v>
      </c>
      <c r="I276" s="306">
        <f t="shared" si="60"/>
        <v>7200</v>
      </c>
      <c r="J276" s="306">
        <f t="shared" si="60"/>
        <v>360200000</v>
      </c>
      <c r="K276" s="307">
        <f t="shared" si="60"/>
        <v>10398136.000000002</v>
      </c>
      <c r="L276" s="218"/>
    </row>
    <row r="277" spans="1:16" ht="15.75" thickBot="1" x14ac:dyDescent="0.3">
      <c r="A277" s="298"/>
      <c r="B277" s="80"/>
      <c r="C277" s="81"/>
      <c r="D277" s="82"/>
      <c r="E277" s="83"/>
      <c r="F277" s="80"/>
      <c r="G277" s="83"/>
      <c r="H277" s="83"/>
      <c r="I277" s="83"/>
      <c r="J277" s="83"/>
      <c r="K277" s="82"/>
      <c r="L277" s="140"/>
    </row>
    <row r="278" spans="1:16" ht="15.75" thickBot="1" x14ac:dyDescent="0.3">
      <c r="A278" s="418" t="s">
        <v>653</v>
      </c>
      <c r="B278" s="421" t="s">
        <v>0</v>
      </c>
      <c r="C278" s="421" t="s">
        <v>1</v>
      </c>
      <c r="D278" s="422" t="s">
        <v>645</v>
      </c>
      <c r="E278" s="423" t="s">
        <v>19</v>
      </c>
      <c r="F278" s="423"/>
      <c r="G278" s="423"/>
      <c r="H278" s="423"/>
      <c r="I278" s="423"/>
      <c r="J278" s="416" t="s">
        <v>20</v>
      </c>
      <c r="K278" s="418" t="s">
        <v>598</v>
      </c>
      <c r="L278" s="213"/>
    </row>
    <row r="279" spans="1:16" ht="15.75" thickBot="1" x14ac:dyDescent="0.3">
      <c r="A279" s="420"/>
      <c r="B279" s="421"/>
      <c r="C279" s="421"/>
      <c r="D279" s="422"/>
      <c r="E279" s="272" t="s">
        <v>21</v>
      </c>
      <c r="F279" s="272" t="s">
        <v>596</v>
      </c>
      <c r="G279" s="272" t="s">
        <v>597</v>
      </c>
      <c r="H279" s="272" t="s">
        <v>585</v>
      </c>
      <c r="I279" s="272" t="s">
        <v>597</v>
      </c>
      <c r="J279" s="417"/>
      <c r="K279" s="419"/>
      <c r="L279" s="213"/>
    </row>
    <row r="280" spans="1:16" ht="15.75" thickBot="1" x14ac:dyDescent="0.3">
      <c r="A280" s="419"/>
      <c r="B280" s="273">
        <v>1</v>
      </c>
      <c r="C280" s="273">
        <v>2</v>
      </c>
      <c r="D280" s="273">
        <v>3</v>
      </c>
      <c r="E280" s="274">
        <v>4</v>
      </c>
      <c r="F280" s="274">
        <f>+E280+1</f>
        <v>5</v>
      </c>
      <c r="G280" s="274" t="s">
        <v>648</v>
      </c>
      <c r="H280" s="274">
        <v>7</v>
      </c>
      <c r="I280" s="275" t="s">
        <v>647</v>
      </c>
      <c r="J280" s="287" t="s">
        <v>646</v>
      </c>
      <c r="K280" s="287" t="s">
        <v>649</v>
      </c>
      <c r="L280" s="214"/>
    </row>
    <row r="281" spans="1:16" x14ac:dyDescent="0.25">
      <c r="A281" s="276"/>
      <c r="B281" s="276" t="s">
        <v>683</v>
      </c>
      <c r="C281" s="288"/>
      <c r="D281" s="288"/>
      <c r="E281" s="288"/>
      <c r="F281" s="288"/>
      <c r="G281" s="288"/>
      <c r="H281" s="288"/>
      <c r="I281" s="288"/>
      <c r="J281" s="288"/>
      <c r="K281" s="288"/>
      <c r="L281" s="114"/>
    </row>
    <row r="282" spans="1:16" x14ac:dyDescent="0.25">
      <c r="A282" s="279">
        <v>1</v>
      </c>
      <c r="B282" s="61" t="s">
        <v>586</v>
      </c>
      <c r="C282" s="62">
        <v>9000</v>
      </c>
      <c r="D282" s="61">
        <v>392.49</v>
      </c>
      <c r="E282" s="62">
        <v>0</v>
      </c>
      <c r="F282" s="61"/>
      <c r="G282" s="251">
        <f t="shared" ref="G282:G295" si="61">+E282+F282</f>
        <v>0</v>
      </c>
      <c r="H282" s="62">
        <f>400-400</f>
        <v>0</v>
      </c>
      <c r="I282" s="251">
        <f t="shared" ref="I282:I295" si="62">+G282-H282</f>
        <v>0</v>
      </c>
      <c r="J282" s="251">
        <f t="shared" ref="J282:J295" si="63">I282*C282</f>
        <v>0</v>
      </c>
      <c r="K282" s="290">
        <f t="shared" ref="K282:K295" si="64">+D282*I282</f>
        <v>0</v>
      </c>
      <c r="L282" s="215"/>
    </row>
    <row r="283" spans="1:16" x14ac:dyDescent="0.25">
      <c r="A283" s="279">
        <v>2</v>
      </c>
      <c r="B283" s="61" t="s">
        <v>141</v>
      </c>
      <c r="C283" s="62">
        <v>33000</v>
      </c>
      <c r="D283" s="61">
        <v>1618.98</v>
      </c>
      <c r="E283" s="62">
        <v>0</v>
      </c>
      <c r="F283" s="61"/>
      <c r="G283" s="251">
        <f t="shared" si="61"/>
        <v>0</v>
      </c>
      <c r="H283" s="62">
        <f>100-100</f>
        <v>0</v>
      </c>
      <c r="I283" s="251">
        <f t="shared" si="62"/>
        <v>0</v>
      </c>
      <c r="J283" s="251">
        <f t="shared" si="63"/>
        <v>0</v>
      </c>
      <c r="K283" s="290">
        <f t="shared" si="64"/>
        <v>0</v>
      </c>
      <c r="L283" s="215"/>
      <c r="N283" s="40" t="s">
        <v>945</v>
      </c>
    </row>
    <row r="284" spans="1:16" x14ac:dyDescent="0.25">
      <c r="A284" s="279">
        <v>3</v>
      </c>
      <c r="B284" s="61" t="s">
        <v>879</v>
      </c>
      <c r="C284" s="62">
        <v>9000</v>
      </c>
      <c r="D284" s="61">
        <v>410.07</v>
      </c>
      <c r="E284" s="62">
        <v>0</v>
      </c>
      <c r="F284" s="61"/>
      <c r="G284" s="251">
        <f t="shared" si="61"/>
        <v>0</v>
      </c>
      <c r="H284" s="62">
        <f>700-700</f>
        <v>0</v>
      </c>
      <c r="I284" s="251">
        <f t="shared" si="62"/>
        <v>0</v>
      </c>
      <c r="J284" s="251">
        <f t="shared" si="63"/>
        <v>0</v>
      </c>
      <c r="K284" s="290">
        <f t="shared" si="64"/>
        <v>0</v>
      </c>
      <c r="L284" s="194"/>
      <c r="M284" s="176">
        <f>+I284-700</f>
        <v>-700</v>
      </c>
      <c r="N284" s="40">
        <v>700</v>
      </c>
    </row>
    <row r="285" spans="1:16" x14ac:dyDescent="0.25">
      <c r="A285" s="279">
        <v>4</v>
      </c>
      <c r="B285" s="61" t="s">
        <v>587</v>
      </c>
      <c r="C285" s="62">
        <v>16000</v>
      </c>
      <c r="D285" s="61">
        <v>295.58</v>
      </c>
      <c r="E285" s="62">
        <v>11229</v>
      </c>
      <c r="F285" s="61"/>
      <c r="G285" s="251">
        <f t="shared" si="61"/>
        <v>11229</v>
      </c>
      <c r="H285" s="62"/>
      <c r="I285" s="251">
        <f t="shared" si="62"/>
        <v>11229</v>
      </c>
      <c r="J285" s="251">
        <f t="shared" si="63"/>
        <v>179664000</v>
      </c>
      <c r="K285" s="290">
        <f t="shared" si="64"/>
        <v>3319067.82</v>
      </c>
      <c r="L285" s="215"/>
    </row>
    <row r="286" spans="1:16" x14ac:dyDescent="0.25">
      <c r="A286" s="279">
        <v>5</v>
      </c>
      <c r="B286" s="61" t="s">
        <v>588</v>
      </c>
      <c r="C286" s="62">
        <v>24000</v>
      </c>
      <c r="D286" s="61">
        <v>1069.52</v>
      </c>
      <c r="E286" s="62">
        <v>0</v>
      </c>
      <c r="F286" s="61"/>
      <c r="G286" s="251">
        <f t="shared" si="61"/>
        <v>0</v>
      </c>
      <c r="H286" s="62">
        <f>300-300</f>
        <v>0</v>
      </c>
      <c r="I286" s="251">
        <f t="shared" si="62"/>
        <v>0</v>
      </c>
      <c r="J286" s="251">
        <f t="shared" si="63"/>
        <v>0</v>
      </c>
      <c r="K286" s="290">
        <f t="shared" si="64"/>
        <v>0</v>
      </c>
      <c r="L286" s="194"/>
      <c r="M286" s="176">
        <f>+I286-300</f>
        <v>-300</v>
      </c>
      <c r="N286" s="40">
        <f>24000/3000</f>
        <v>8</v>
      </c>
      <c r="O286" s="40">
        <f>8*300</f>
        <v>2400</v>
      </c>
      <c r="P286" s="40" t="s">
        <v>899</v>
      </c>
    </row>
    <row r="287" spans="1:16" x14ac:dyDescent="0.25">
      <c r="A287" s="279">
        <v>6</v>
      </c>
      <c r="B287" s="61" t="s">
        <v>589</v>
      </c>
      <c r="C287" s="62">
        <v>3000</v>
      </c>
      <c r="D287" s="61">
        <v>176.55</v>
      </c>
      <c r="E287" s="62">
        <v>0</v>
      </c>
      <c r="F287" s="61"/>
      <c r="G287" s="251">
        <f t="shared" si="61"/>
        <v>0</v>
      </c>
      <c r="H287" s="62">
        <f>1200-1200</f>
        <v>0</v>
      </c>
      <c r="I287" s="251">
        <f t="shared" si="62"/>
        <v>0</v>
      </c>
      <c r="J287" s="251">
        <f t="shared" si="63"/>
        <v>0</v>
      </c>
      <c r="K287" s="290">
        <f t="shared" si="64"/>
        <v>0</v>
      </c>
      <c r="L287" s="194"/>
      <c r="M287" s="176">
        <f>+I287-1200</f>
        <v>-1200</v>
      </c>
      <c r="N287" s="40">
        <v>1200</v>
      </c>
    </row>
    <row r="288" spans="1:16" x14ac:dyDescent="0.25">
      <c r="A288" s="279">
        <v>7</v>
      </c>
      <c r="B288" s="61" t="s">
        <v>608</v>
      </c>
      <c r="C288" s="62">
        <v>10000</v>
      </c>
      <c r="D288" s="61">
        <v>192.92</v>
      </c>
      <c r="E288" s="62">
        <v>0</v>
      </c>
      <c r="F288" s="289"/>
      <c r="G288" s="251">
        <f t="shared" si="61"/>
        <v>0</v>
      </c>
      <c r="H288" s="62">
        <f>1500-1500+1000-1000</f>
        <v>0</v>
      </c>
      <c r="I288" s="251">
        <f t="shared" si="62"/>
        <v>0</v>
      </c>
      <c r="J288" s="251">
        <f t="shared" si="63"/>
        <v>0</v>
      </c>
      <c r="K288" s="290">
        <f t="shared" si="64"/>
        <v>0</v>
      </c>
      <c r="L288" s="194"/>
      <c r="M288" s="176">
        <f>+I288-1000</f>
        <v>-1000</v>
      </c>
      <c r="N288" s="40">
        <v>1000</v>
      </c>
      <c r="O288" s="40" t="s">
        <v>877</v>
      </c>
    </row>
    <row r="289" spans="1:18" x14ac:dyDescent="0.25">
      <c r="A289" s="279">
        <v>8</v>
      </c>
      <c r="B289" s="61" t="s">
        <v>609</v>
      </c>
      <c r="C289" s="62">
        <v>7000</v>
      </c>
      <c r="D289" s="61">
        <v>349.51</v>
      </c>
      <c r="E289" s="62">
        <v>0</v>
      </c>
      <c r="F289" s="289"/>
      <c r="G289" s="251">
        <f t="shared" si="61"/>
        <v>0</v>
      </c>
      <c r="H289" s="62">
        <f>2164-2164</f>
        <v>0</v>
      </c>
      <c r="I289" s="251">
        <f t="shared" si="62"/>
        <v>0</v>
      </c>
      <c r="J289" s="251">
        <f t="shared" si="63"/>
        <v>0</v>
      </c>
      <c r="K289" s="290">
        <f t="shared" si="64"/>
        <v>0</v>
      </c>
      <c r="L289" s="215"/>
    </row>
    <row r="290" spans="1:18" x14ac:dyDescent="0.25">
      <c r="A290" s="279">
        <v>9</v>
      </c>
      <c r="B290" s="61" t="s">
        <v>614</v>
      </c>
      <c r="C290" s="62">
        <v>10000</v>
      </c>
      <c r="D290" s="61">
        <v>503.42</v>
      </c>
      <c r="E290" s="62">
        <v>0</v>
      </c>
      <c r="F290" s="61"/>
      <c r="G290" s="251">
        <f t="shared" si="61"/>
        <v>0</v>
      </c>
      <c r="H290" s="62">
        <f>3000-3000+340-340</f>
        <v>0</v>
      </c>
      <c r="I290" s="251">
        <f t="shared" si="62"/>
        <v>0</v>
      </c>
      <c r="J290" s="251">
        <f t="shared" si="63"/>
        <v>0</v>
      </c>
      <c r="K290" s="290">
        <f t="shared" si="64"/>
        <v>0</v>
      </c>
      <c r="L290" s="194"/>
      <c r="M290" s="176">
        <f>+I290-340</f>
        <v>-340</v>
      </c>
      <c r="N290" s="40" t="s">
        <v>874</v>
      </c>
    </row>
    <row r="291" spans="1:18" x14ac:dyDescent="0.25">
      <c r="A291" s="279">
        <v>10</v>
      </c>
      <c r="B291" s="61" t="s">
        <v>615</v>
      </c>
      <c r="C291" s="62">
        <v>6000</v>
      </c>
      <c r="D291" s="61">
        <v>475.12</v>
      </c>
      <c r="E291" s="62">
        <v>0</v>
      </c>
      <c r="F291" s="61"/>
      <c r="G291" s="251">
        <f t="shared" si="61"/>
        <v>0</v>
      </c>
      <c r="H291" s="62">
        <f>1800-1800+90-90+610-610</f>
        <v>0</v>
      </c>
      <c r="I291" s="251">
        <f t="shared" si="62"/>
        <v>0</v>
      </c>
      <c r="J291" s="251">
        <f t="shared" si="63"/>
        <v>0</v>
      </c>
      <c r="K291" s="290">
        <f t="shared" si="64"/>
        <v>0</v>
      </c>
      <c r="L291" s="194"/>
      <c r="M291" s="185" t="s">
        <v>852</v>
      </c>
      <c r="N291" s="40" t="s">
        <v>946</v>
      </c>
      <c r="O291" s="186"/>
    </row>
    <row r="292" spans="1:18" x14ac:dyDescent="0.25">
      <c r="A292" s="279">
        <v>11</v>
      </c>
      <c r="B292" s="61" t="s">
        <v>625</v>
      </c>
      <c r="C292" s="62">
        <v>6000</v>
      </c>
      <c r="D292" s="61">
        <v>475.12</v>
      </c>
      <c r="E292" s="62">
        <v>0</v>
      </c>
      <c r="F292" s="61"/>
      <c r="G292" s="251">
        <f t="shared" si="61"/>
        <v>0</v>
      </c>
      <c r="H292" s="62">
        <f>30+60-60-30+594-594</f>
        <v>0</v>
      </c>
      <c r="I292" s="251">
        <f t="shared" si="62"/>
        <v>0</v>
      </c>
      <c r="J292" s="251">
        <f t="shared" si="63"/>
        <v>0</v>
      </c>
      <c r="K292" s="290">
        <f t="shared" si="64"/>
        <v>0</v>
      </c>
      <c r="L292" s="194"/>
      <c r="M292" s="185" t="s">
        <v>853</v>
      </c>
      <c r="N292" s="40" t="s">
        <v>951</v>
      </c>
    </row>
    <row r="293" spans="1:18" x14ac:dyDescent="0.25">
      <c r="A293" s="279">
        <v>12</v>
      </c>
      <c r="B293" s="61" t="s">
        <v>632</v>
      </c>
      <c r="C293" s="62">
        <v>3000</v>
      </c>
      <c r="D293" s="61">
        <v>239.2</v>
      </c>
      <c r="E293" s="62">
        <v>0</v>
      </c>
      <c r="F293" s="251"/>
      <c r="G293" s="251">
        <f t="shared" si="61"/>
        <v>0</v>
      </c>
      <c r="H293" s="62">
        <f>1200-1200</f>
        <v>0</v>
      </c>
      <c r="I293" s="251">
        <f t="shared" si="62"/>
        <v>0</v>
      </c>
      <c r="J293" s="251">
        <f t="shared" si="63"/>
        <v>0</v>
      </c>
      <c r="K293" s="290">
        <f t="shared" si="64"/>
        <v>0</v>
      </c>
      <c r="L293" s="194"/>
      <c r="M293" s="176">
        <f>+I293-1200</f>
        <v>-1200</v>
      </c>
      <c r="N293" s="40">
        <v>1200</v>
      </c>
    </row>
    <row r="294" spans="1:18" x14ac:dyDescent="0.25">
      <c r="A294" s="279">
        <v>13</v>
      </c>
      <c r="B294" s="61" t="s">
        <v>633</v>
      </c>
      <c r="C294" s="62">
        <v>9000</v>
      </c>
      <c r="D294" s="61">
        <v>529.14</v>
      </c>
      <c r="E294" s="62">
        <v>0</v>
      </c>
      <c r="F294" s="289"/>
      <c r="G294" s="251">
        <f t="shared" si="61"/>
        <v>0</v>
      </c>
      <c r="H294" s="62">
        <f>600-600</f>
        <v>0</v>
      </c>
      <c r="I294" s="251">
        <f t="shared" si="62"/>
        <v>0</v>
      </c>
      <c r="J294" s="251">
        <f t="shared" si="63"/>
        <v>0</v>
      </c>
      <c r="K294" s="290">
        <f t="shared" si="64"/>
        <v>0</v>
      </c>
      <c r="L294" s="194"/>
      <c r="M294" s="176" t="s">
        <v>854</v>
      </c>
      <c r="N294" s="40">
        <v>600</v>
      </c>
    </row>
    <row r="295" spans="1:18" ht="15.75" thickBot="1" x14ac:dyDescent="0.3">
      <c r="A295" s="279">
        <v>14</v>
      </c>
      <c r="B295" s="90" t="s">
        <v>638</v>
      </c>
      <c r="C295" s="91">
        <v>6000</v>
      </c>
      <c r="D295" s="308">
        <v>296</v>
      </c>
      <c r="E295" s="91">
        <v>0</v>
      </c>
      <c r="F295" s="90"/>
      <c r="G295" s="292">
        <f t="shared" si="61"/>
        <v>0</v>
      </c>
      <c r="H295" s="91">
        <f>1700-1700</f>
        <v>0</v>
      </c>
      <c r="I295" s="292">
        <f t="shared" si="62"/>
        <v>0</v>
      </c>
      <c r="J295" s="292">
        <f t="shared" si="63"/>
        <v>0</v>
      </c>
      <c r="K295" s="293">
        <f t="shared" si="64"/>
        <v>0</v>
      </c>
      <c r="L295" s="219"/>
      <c r="M295" s="178">
        <f>+I295-1700</f>
        <v>-1700</v>
      </c>
      <c r="N295" s="40">
        <v>1700</v>
      </c>
    </row>
    <row r="296" spans="1:18" ht="15.75" thickBot="1" x14ac:dyDescent="0.3">
      <c r="A296" s="64"/>
      <c r="B296" s="96" t="s">
        <v>684</v>
      </c>
      <c r="C296" s="296"/>
      <c r="D296" s="296"/>
      <c r="E296" s="301">
        <f t="shared" ref="E296:K296" si="65">SUM(E282:E295)</f>
        <v>11229</v>
      </c>
      <c r="F296" s="301">
        <f t="shared" si="65"/>
        <v>0</v>
      </c>
      <c r="G296" s="301">
        <f t="shared" si="65"/>
        <v>11229</v>
      </c>
      <c r="H296" s="301">
        <f t="shared" si="65"/>
        <v>0</v>
      </c>
      <c r="I296" s="301">
        <f t="shared" si="65"/>
        <v>11229</v>
      </c>
      <c r="J296" s="301">
        <f t="shared" si="65"/>
        <v>179664000</v>
      </c>
      <c r="K296" s="302">
        <f t="shared" si="65"/>
        <v>3319067.82</v>
      </c>
      <c r="L296" s="217"/>
    </row>
    <row r="297" spans="1:18" ht="15.75" thickBot="1" x14ac:dyDescent="0.3">
      <c r="A297" s="298"/>
      <c r="B297" s="298"/>
      <c r="C297" s="298"/>
      <c r="D297" s="298"/>
      <c r="E297" s="309"/>
      <c r="F297" s="309"/>
      <c r="G297" s="309"/>
      <c r="H297" s="309"/>
      <c r="I297" s="309"/>
      <c r="J297" s="309"/>
      <c r="K297" s="309"/>
      <c r="L297" s="39"/>
    </row>
    <row r="298" spans="1:18" ht="15.75" thickBot="1" x14ac:dyDescent="0.3">
      <c r="A298" s="418" t="s">
        <v>653</v>
      </c>
      <c r="B298" s="421" t="s">
        <v>0</v>
      </c>
      <c r="C298" s="421" t="s">
        <v>1</v>
      </c>
      <c r="D298" s="422" t="s">
        <v>645</v>
      </c>
      <c r="E298" s="423" t="s">
        <v>19</v>
      </c>
      <c r="F298" s="423"/>
      <c r="G298" s="423"/>
      <c r="H298" s="423"/>
      <c r="I298" s="423"/>
      <c r="J298" s="416" t="s">
        <v>20</v>
      </c>
      <c r="K298" s="418" t="s">
        <v>598</v>
      </c>
      <c r="L298" s="213"/>
    </row>
    <row r="299" spans="1:18" ht="15.75" thickBot="1" x14ac:dyDescent="0.3">
      <c r="A299" s="420"/>
      <c r="B299" s="421"/>
      <c r="C299" s="421"/>
      <c r="D299" s="422"/>
      <c r="E299" s="272" t="s">
        <v>21</v>
      </c>
      <c r="F299" s="272" t="s">
        <v>596</v>
      </c>
      <c r="G299" s="272" t="s">
        <v>597</v>
      </c>
      <c r="H299" s="272" t="s">
        <v>585</v>
      </c>
      <c r="I299" s="272" t="s">
        <v>597</v>
      </c>
      <c r="J299" s="417"/>
      <c r="K299" s="419"/>
      <c r="L299" s="213"/>
    </row>
    <row r="300" spans="1:18" ht="15.75" thickBot="1" x14ac:dyDescent="0.3">
      <c r="A300" s="419"/>
      <c r="B300" s="273">
        <v>1</v>
      </c>
      <c r="C300" s="273">
        <v>2</v>
      </c>
      <c r="D300" s="273">
        <v>3</v>
      </c>
      <c r="E300" s="274">
        <v>4</v>
      </c>
      <c r="F300" s="274">
        <f>+E300+1</f>
        <v>5</v>
      </c>
      <c r="G300" s="274" t="s">
        <v>648</v>
      </c>
      <c r="H300" s="274">
        <v>7</v>
      </c>
      <c r="I300" s="275" t="s">
        <v>647</v>
      </c>
      <c r="J300" s="287" t="s">
        <v>646</v>
      </c>
      <c r="K300" s="287" t="s">
        <v>649</v>
      </c>
      <c r="L300" s="214"/>
    </row>
    <row r="301" spans="1:18" x14ac:dyDescent="0.25">
      <c r="A301" s="276"/>
      <c r="B301" s="276" t="s">
        <v>725</v>
      </c>
      <c r="C301" s="288"/>
      <c r="D301" s="288"/>
      <c r="E301" s="288"/>
      <c r="F301" s="288"/>
      <c r="G301" s="288"/>
      <c r="H301" s="288"/>
      <c r="I301" s="288"/>
      <c r="J301" s="288"/>
      <c r="K301" s="288"/>
      <c r="L301" s="114"/>
    </row>
    <row r="302" spans="1:18" x14ac:dyDescent="0.25">
      <c r="A302" s="279">
        <v>1</v>
      </c>
      <c r="B302" s="61" t="s">
        <v>778</v>
      </c>
      <c r="C302" s="62">
        <f>3000*4</f>
        <v>12000</v>
      </c>
      <c r="D302" s="310">
        <v>639.08000000000004</v>
      </c>
      <c r="E302" s="62">
        <v>0</v>
      </c>
      <c r="F302" s="289"/>
      <c r="G302" s="251">
        <f t="shared" ref="G302:G308" si="66">+E302+F302</f>
        <v>0</v>
      </c>
      <c r="H302" s="62">
        <f>2000-2000+625-625</f>
        <v>0</v>
      </c>
      <c r="I302" s="251">
        <f t="shared" ref="I302:I308" si="67">+G302-H302</f>
        <v>0</v>
      </c>
      <c r="J302" s="251">
        <f t="shared" ref="J302:J308" si="68">I302*C302</f>
        <v>0</v>
      </c>
      <c r="K302" s="290">
        <f t="shared" ref="K302:K308" si="69">+D302*I302</f>
        <v>0</v>
      </c>
      <c r="L302" s="194"/>
      <c r="M302" s="176">
        <f>+I302-625</f>
        <v>-625</v>
      </c>
      <c r="N302" s="40" t="s">
        <v>947</v>
      </c>
    </row>
    <row r="303" spans="1:18" x14ac:dyDescent="0.25">
      <c r="A303" s="279">
        <v>2</v>
      </c>
      <c r="B303" s="61" t="s">
        <v>779</v>
      </c>
      <c r="C303" s="62">
        <f>3000*3</f>
        <v>9000</v>
      </c>
      <c r="D303" s="310">
        <v>446.7</v>
      </c>
      <c r="E303" s="62">
        <v>0</v>
      </c>
      <c r="F303" s="289"/>
      <c r="G303" s="251">
        <f t="shared" si="66"/>
        <v>0</v>
      </c>
      <c r="H303" s="62">
        <f>3200+40-3240+860-860</f>
        <v>0</v>
      </c>
      <c r="I303" s="251">
        <f t="shared" si="67"/>
        <v>0</v>
      </c>
      <c r="J303" s="251">
        <f t="shared" si="68"/>
        <v>0</v>
      </c>
      <c r="K303" s="290">
        <f t="shared" si="69"/>
        <v>0</v>
      </c>
      <c r="L303" s="194"/>
      <c r="M303" s="176"/>
      <c r="N303" s="40" t="s">
        <v>944</v>
      </c>
    </row>
    <row r="304" spans="1:18" x14ac:dyDescent="0.25">
      <c r="A304" s="279">
        <v>3</v>
      </c>
      <c r="B304" s="61" t="s">
        <v>790</v>
      </c>
      <c r="C304" s="62">
        <v>9000</v>
      </c>
      <c r="D304" s="310">
        <v>446.7</v>
      </c>
      <c r="E304" s="62">
        <v>0</v>
      </c>
      <c r="F304" s="289">
        <f>188000-188000</f>
        <v>0</v>
      </c>
      <c r="G304" s="251">
        <f t="shared" si="66"/>
        <v>0</v>
      </c>
      <c r="H304" s="62">
        <f>776-776</f>
        <v>0</v>
      </c>
      <c r="I304" s="251">
        <f t="shared" si="67"/>
        <v>0</v>
      </c>
      <c r="J304" s="251">
        <f t="shared" si="68"/>
        <v>0</v>
      </c>
      <c r="K304" s="290">
        <f t="shared" si="69"/>
        <v>0</v>
      </c>
      <c r="L304" s="194"/>
      <c r="M304" s="183"/>
      <c r="N304" s="40" t="s">
        <v>952</v>
      </c>
      <c r="O304" s="169"/>
      <c r="P304" s="163"/>
      <c r="Q304" s="169"/>
      <c r="R304" s="169"/>
    </row>
    <row r="305" spans="1:20" x14ac:dyDescent="0.25">
      <c r="A305" s="279">
        <v>4</v>
      </c>
      <c r="B305" s="61" t="s">
        <v>833</v>
      </c>
      <c r="C305" s="62">
        <v>12000</v>
      </c>
      <c r="D305" s="311">
        <f>175.72*4</f>
        <v>702.88</v>
      </c>
      <c r="E305" s="62">
        <v>0</v>
      </c>
      <c r="F305" s="289">
        <f>150000-150000</f>
        <v>0</v>
      </c>
      <c r="G305" s="251">
        <f t="shared" si="66"/>
        <v>0</v>
      </c>
      <c r="H305" s="62">
        <f>59800/4-14950+3050-3050</f>
        <v>0</v>
      </c>
      <c r="I305" s="251">
        <f t="shared" si="67"/>
        <v>0</v>
      </c>
      <c r="J305" s="251">
        <f t="shared" si="68"/>
        <v>0</v>
      </c>
      <c r="K305" s="290">
        <f t="shared" si="69"/>
        <v>0</v>
      </c>
      <c r="L305" s="215"/>
      <c r="M305" t="s">
        <v>913</v>
      </c>
      <c r="O305" s="181">
        <f>59200/4</f>
        <v>14800</v>
      </c>
      <c r="P305" s="190">
        <f>14800*4</f>
        <v>59200</v>
      </c>
    </row>
    <row r="306" spans="1:20" x14ac:dyDescent="0.25">
      <c r="A306" s="279">
        <v>5</v>
      </c>
      <c r="B306" s="61" t="s">
        <v>897</v>
      </c>
      <c r="C306" s="62">
        <v>24000</v>
      </c>
      <c r="D306" s="310">
        <v>928.26</v>
      </c>
      <c r="E306" s="62">
        <v>0</v>
      </c>
      <c r="F306" s="289">
        <f>4000+4000-8000</f>
        <v>0</v>
      </c>
      <c r="G306" s="251">
        <f t="shared" si="66"/>
        <v>0</v>
      </c>
      <c r="H306" s="62">
        <f>1000+16000+80-17080+139720-139720+4000+4000-8000</f>
        <v>0</v>
      </c>
      <c r="I306" s="251">
        <f t="shared" si="67"/>
        <v>0</v>
      </c>
      <c r="J306" s="251">
        <f t="shared" si="68"/>
        <v>0</v>
      </c>
      <c r="K306" s="290">
        <f t="shared" si="69"/>
        <v>0</v>
      </c>
      <c r="L306" s="215"/>
      <c r="M306" s="40" t="s">
        <v>850</v>
      </c>
      <c r="N306" s="40" t="s">
        <v>875</v>
      </c>
      <c r="O306" s="181"/>
      <c r="P306" s="191">
        <f>139720*6</f>
        <v>838320</v>
      </c>
    </row>
    <row r="307" spans="1:20" x14ac:dyDescent="0.25">
      <c r="A307" s="279">
        <v>6</v>
      </c>
      <c r="B307" s="61"/>
      <c r="C307" s="62"/>
      <c r="D307" s="310"/>
      <c r="E307" s="62"/>
      <c r="F307" s="289"/>
      <c r="G307" s="251"/>
      <c r="H307" s="62"/>
      <c r="I307" s="251">
        <f t="shared" si="67"/>
        <v>0</v>
      </c>
      <c r="J307" s="251">
        <f t="shared" si="68"/>
        <v>0</v>
      </c>
      <c r="K307" s="290">
        <f t="shared" si="69"/>
        <v>0</v>
      </c>
      <c r="L307" s="227" t="s">
        <v>1036</v>
      </c>
    </row>
    <row r="308" spans="1:20" ht="15.75" thickBot="1" x14ac:dyDescent="0.3">
      <c r="A308" s="279"/>
      <c r="B308" s="90"/>
      <c r="C308" s="91"/>
      <c r="D308" s="90"/>
      <c r="E308" s="91">
        <v>0</v>
      </c>
      <c r="F308" s="300"/>
      <c r="G308" s="292">
        <f t="shared" si="66"/>
        <v>0</v>
      </c>
      <c r="H308" s="91">
        <v>0</v>
      </c>
      <c r="I308" s="292">
        <f t="shared" si="67"/>
        <v>0</v>
      </c>
      <c r="J308" s="292">
        <f t="shared" si="68"/>
        <v>0</v>
      </c>
      <c r="K308" s="293">
        <f t="shared" si="69"/>
        <v>0</v>
      </c>
      <c r="L308" s="215"/>
    </row>
    <row r="309" spans="1:20" ht="15.75" thickBot="1" x14ac:dyDescent="0.3">
      <c r="A309" s="64"/>
      <c r="B309" s="96" t="s">
        <v>726</v>
      </c>
      <c r="C309" s="296"/>
      <c r="D309" s="296"/>
      <c r="E309" s="301">
        <f t="shared" ref="E309:K309" si="70">SUM(E302:E308)</f>
        <v>0</v>
      </c>
      <c r="F309" s="301">
        <f t="shared" si="70"/>
        <v>0</v>
      </c>
      <c r="G309" s="301">
        <f t="shared" si="70"/>
        <v>0</v>
      </c>
      <c r="H309" s="301">
        <f t="shared" si="70"/>
        <v>0</v>
      </c>
      <c r="I309" s="301">
        <f t="shared" si="70"/>
        <v>0</v>
      </c>
      <c r="J309" s="301">
        <f t="shared" si="70"/>
        <v>0</v>
      </c>
      <c r="K309" s="302">
        <f t="shared" si="70"/>
        <v>0</v>
      </c>
      <c r="L309" s="217"/>
    </row>
    <row r="310" spans="1:20" ht="15.75" thickBot="1" x14ac:dyDescent="0.3">
      <c r="A310" s="298"/>
      <c r="B310" s="298"/>
      <c r="C310" s="298"/>
      <c r="D310" s="298"/>
      <c r="E310" s="309"/>
      <c r="F310" s="309"/>
      <c r="G310" s="309"/>
      <c r="H310" s="309"/>
      <c r="I310" s="309"/>
      <c r="J310" s="309"/>
      <c r="K310" s="309"/>
      <c r="L310" s="39"/>
    </row>
    <row r="311" spans="1:20" ht="15.75" thickBot="1" x14ac:dyDescent="0.3">
      <c r="A311" s="418" t="s">
        <v>653</v>
      </c>
      <c r="B311" s="421" t="s">
        <v>0</v>
      </c>
      <c r="C311" s="421" t="s">
        <v>1</v>
      </c>
      <c r="D311" s="422" t="s">
        <v>645</v>
      </c>
      <c r="E311" s="423" t="s">
        <v>19</v>
      </c>
      <c r="F311" s="423"/>
      <c r="G311" s="423"/>
      <c r="H311" s="423"/>
      <c r="I311" s="423"/>
      <c r="J311" s="416" t="s">
        <v>20</v>
      </c>
      <c r="K311" s="418" t="s">
        <v>598</v>
      </c>
      <c r="L311" s="213"/>
    </row>
    <row r="312" spans="1:20" ht="15.75" thickBot="1" x14ac:dyDescent="0.3">
      <c r="A312" s="420"/>
      <c r="B312" s="421"/>
      <c r="C312" s="421"/>
      <c r="D312" s="422"/>
      <c r="E312" s="272" t="s">
        <v>21</v>
      </c>
      <c r="F312" s="272" t="s">
        <v>596</v>
      </c>
      <c r="G312" s="272" t="s">
        <v>597</v>
      </c>
      <c r="H312" s="272" t="s">
        <v>585</v>
      </c>
      <c r="I312" s="272" t="s">
        <v>597</v>
      </c>
      <c r="J312" s="417"/>
      <c r="K312" s="419"/>
      <c r="L312" s="213"/>
    </row>
    <row r="313" spans="1:20" ht="15.75" thickBot="1" x14ac:dyDescent="0.3">
      <c r="A313" s="419"/>
      <c r="B313" s="273">
        <v>1</v>
      </c>
      <c r="C313" s="273">
        <v>2</v>
      </c>
      <c r="D313" s="273">
        <v>3</v>
      </c>
      <c r="E313" s="274">
        <v>4</v>
      </c>
      <c r="F313" s="274">
        <f>+E313+1</f>
        <v>5</v>
      </c>
      <c r="G313" s="274" t="s">
        <v>648</v>
      </c>
      <c r="H313" s="274">
        <v>7</v>
      </c>
      <c r="I313" s="275" t="s">
        <v>647</v>
      </c>
      <c r="J313" s="287" t="s">
        <v>646</v>
      </c>
      <c r="K313" s="287" t="s">
        <v>649</v>
      </c>
      <c r="L313" s="214"/>
    </row>
    <row r="314" spans="1:20" x14ac:dyDescent="0.25">
      <c r="A314" s="276"/>
      <c r="B314" s="276" t="s">
        <v>906</v>
      </c>
      <c r="C314" s="288"/>
      <c r="D314" s="288"/>
      <c r="E314" s="288"/>
      <c r="F314" s="288"/>
      <c r="G314" s="288"/>
      <c r="H314" s="288"/>
      <c r="I314" s="288"/>
      <c r="J314" s="288"/>
      <c r="K314" s="288"/>
      <c r="L314" s="114"/>
      <c r="N314" s="206"/>
      <c r="O314" s="53"/>
      <c r="P314" s="197"/>
      <c r="Q314" s="53"/>
      <c r="R314" s="53"/>
    </row>
    <row r="315" spans="1:20" x14ac:dyDescent="0.25">
      <c r="A315" s="279">
        <v>1</v>
      </c>
      <c r="B315" s="61" t="s">
        <v>915</v>
      </c>
      <c r="C315" s="62">
        <v>9000</v>
      </c>
      <c r="D315" s="258">
        <f>145.2*3</f>
        <v>435.59999999999997</v>
      </c>
      <c r="E315" s="62">
        <v>0</v>
      </c>
      <c r="F315" s="289">
        <f>50000*8-400000</f>
        <v>0</v>
      </c>
      <c r="G315" s="251">
        <f t="shared" ref="G315:G328" si="71">+E315+F315</f>
        <v>0</v>
      </c>
      <c r="H315" s="62">
        <f>35200+23200+600-59000+40-40</f>
        <v>0</v>
      </c>
      <c r="I315" s="251">
        <f t="shared" ref="I315:I328" si="72">+G315-H315</f>
        <v>0</v>
      </c>
      <c r="J315" s="251">
        <f t="shared" ref="J315:J328" si="73">I315*C315</f>
        <v>0</v>
      </c>
      <c r="K315" s="290">
        <f t="shared" ref="K315:K328" si="74">+D315*I315</f>
        <v>0</v>
      </c>
      <c r="L315" s="220"/>
      <c r="M315" s="211" t="s">
        <v>975</v>
      </c>
      <c r="N315" s="53"/>
      <c r="O315" s="197" t="s">
        <v>977</v>
      </c>
      <c r="P315" s="197" t="s">
        <v>978</v>
      </c>
      <c r="Q315" s="156"/>
      <c r="R315" s="156"/>
      <c r="S315" s="156"/>
    </row>
    <row r="316" spans="1:20" x14ac:dyDescent="0.25">
      <c r="A316" s="279">
        <v>2</v>
      </c>
      <c r="B316" s="61" t="s">
        <v>965</v>
      </c>
      <c r="C316" s="62">
        <v>8000</v>
      </c>
      <c r="D316" s="310">
        <v>221.94</v>
      </c>
      <c r="E316" s="62">
        <v>0</v>
      </c>
      <c r="F316" s="289">
        <f>270000-270000</f>
        <v>0</v>
      </c>
      <c r="G316" s="251">
        <f t="shared" si="71"/>
        <v>0</v>
      </c>
      <c r="H316" s="62">
        <f>175500+2000-177500+2700+6930+2250+4500+3060-19440+32940+9000-41940+26620+4500-31120</f>
        <v>0</v>
      </c>
      <c r="I316" s="251">
        <f t="shared" si="72"/>
        <v>0</v>
      </c>
      <c r="J316" s="251">
        <f t="shared" si="73"/>
        <v>0</v>
      </c>
      <c r="K316" s="290">
        <f t="shared" si="74"/>
        <v>0</v>
      </c>
      <c r="L316" s="222" t="s">
        <v>988</v>
      </c>
      <c r="M316" s="211" t="s">
        <v>975</v>
      </c>
      <c r="N316" s="53"/>
      <c r="O316" s="197" t="s">
        <v>1038</v>
      </c>
      <c r="P316" s="231">
        <v>26620</v>
      </c>
      <c r="Q316" s="53"/>
      <c r="R316" s="53"/>
      <c r="S316" s="156"/>
      <c r="T316" s="156"/>
    </row>
    <row r="317" spans="1:20" x14ac:dyDescent="0.25">
      <c r="A317" s="279">
        <v>3</v>
      </c>
      <c r="B317" s="61" t="s">
        <v>966</v>
      </c>
      <c r="C317" s="62">
        <v>3000</v>
      </c>
      <c r="D317" s="310">
        <v>376.9</v>
      </c>
      <c r="E317" s="62">
        <v>0</v>
      </c>
      <c r="F317" s="289">
        <f>10000+40000+220000+720000+10000-1000000</f>
        <v>0</v>
      </c>
      <c r="G317" s="251">
        <f t="shared" si="71"/>
        <v>0</v>
      </c>
      <c r="H317" s="62">
        <f>200000+60000+2000+2000-264000+255800+26400+63000+84000+30000+3000-462200+70900+30000+114000+36600-251500+5000+10000-15000+400+6900-7300</f>
        <v>0</v>
      </c>
      <c r="I317" s="251">
        <f t="shared" si="72"/>
        <v>0</v>
      </c>
      <c r="J317" s="251">
        <f t="shared" si="73"/>
        <v>0</v>
      </c>
      <c r="K317" s="290">
        <f t="shared" si="74"/>
        <v>0</v>
      </c>
      <c r="L317" s="222" t="s">
        <v>1043</v>
      </c>
      <c r="M317" s="205" t="s">
        <v>1153</v>
      </c>
      <c r="N317" s="53">
        <v>400</v>
      </c>
      <c r="O317" s="156">
        <v>6900</v>
      </c>
      <c r="P317" s="198"/>
      <c r="Q317" s="209"/>
      <c r="R317" s="156"/>
      <c r="S317" s="156"/>
      <c r="T317" s="156"/>
    </row>
    <row r="318" spans="1:20" x14ac:dyDescent="0.25">
      <c r="A318" s="279">
        <v>4</v>
      </c>
      <c r="B318" s="61" t="s">
        <v>980</v>
      </c>
      <c r="C318" s="62">
        <v>10000</v>
      </c>
      <c r="D318" s="259">
        <v>230.31</v>
      </c>
      <c r="E318" s="62">
        <v>0</v>
      </c>
      <c r="F318" s="289">
        <f>80000-80000</f>
        <v>0</v>
      </c>
      <c r="G318" s="251">
        <f t="shared" si="71"/>
        <v>0</v>
      </c>
      <c r="H318" s="62">
        <f>13000+3000+9600+29400+8000+4800+4000-71800+8080+120-8200</f>
        <v>0</v>
      </c>
      <c r="I318" s="251">
        <f t="shared" si="72"/>
        <v>0</v>
      </c>
      <c r="J318" s="251">
        <f t="shared" si="73"/>
        <v>0</v>
      </c>
      <c r="K318" s="290">
        <f t="shared" si="74"/>
        <v>0</v>
      </c>
      <c r="L318" s="222" t="s">
        <v>1017</v>
      </c>
      <c r="M318" s="229">
        <v>13000</v>
      </c>
      <c r="N318" s="230" t="s">
        <v>981</v>
      </c>
      <c r="O318" s="199" t="s">
        <v>1018</v>
      </c>
      <c r="P318" s="198">
        <f>16160/2</f>
        <v>8080</v>
      </c>
      <c r="Q318" s="53">
        <v>120</v>
      </c>
      <c r="R318" s="156"/>
      <c r="S318" s="156"/>
      <c r="T318" s="156"/>
    </row>
    <row r="319" spans="1:20" x14ac:dyDescent="0.25">
      <c r="A319" s="279">
        <v>5</v>
      </c>
      <c r="B319" s="61" t="s">
        <v>984</v>
      </c>
      <c r="C319" s="62">
        <v>8000</v>
      </c>
      <c r="D319" s="258">
        <f>388.3*2</f>
        <v>776.6</v>
      </c>
      <c r="E319" s="62">
        <v>16600</v>
      </c>
      <c r="F319" s="289">
        <f>295000+5000-300000</f>
        <v>0</v>
      </c>
      <c r="G319" s="251">
        <f t="shared" si="71"/>
        <v>16600</v>
      </c>
      <c r="H319" s="62">
        <f>(17000+3000+71000-91000+12500+5000-17500)+(22000+20000+20000-62000)+((2500+5000+10000+12000)+(50*10)-30000)+(15000+35000+400+10000+10000-70400)+(15000-15000)</f>
        <v>0</v>
      </c>
      <c r="I319" s="251">
        <f t="shared" si="72"/>
        <v>16600</v>
      </c>
      <c r="J319" s="251">
        <f t="shared" si="73"/>
        <v>132800000</v>
      </c>
      <c r="K319" s="290">
        <f t="shared" si="74"/>
        <v>12891560</v>
      </c>
      <c r="L319" s="256">
        <f>+I319*2</f>
        <v>33200</v>
      </c>
      <c r="M319" t="s">
        <v>1158</v>
      </c>
      <c r="N319" s="197" t="s">
        <v>1194</v>
      </c>
      <c r="O319" s="199" t="s">
        <v>1212</v>
      </c>
      <c r="P319" s="156"/>
      <c r="Q319" s="53"/>
      <c r="R319" s="53"/>
    </row>
    <row r="320" spans="1:20" x14ac:dyDescent="0.25">
      <c r="A320" s="279">
        <v>6</v>
      </c>
      <c r="B320" s="61" t="s">
        <v>1022</v>
      </c>
      <c r="C320" s="62">
        <v>9000</v>
      </c>
      <c r="D320" s="258">
        <f>3*208.3</f>
        <v>624.90000000000009</v>
      </c>
      <c r="E320" s="62">
        <v>0</v>
      </c>
      <c r="F320" s="289">
        <f>177000-177000</f>
        <v>0</v>
      </c>
      <c r="G320" s="251">
        <f t="shared" si="71"/>
        <v>0</v>
      </c>
      <c r="H320" s="62">
        <f>(9000+61800+3000-73800+6000+3000-9000)+(39600+1800+19680+14820+12498)+300-88698+(4302+1200)-5502</f>
        <v>0</v>
      </c>
      <c r="I320" s="251">
        <f t="shared" si="72"/>
        <v>0</v>
      </c>
      <c r="J320" s="251">
        <f t="shared" si="73"/>
        <v>0</v>
      </c>
      <c r="K320" s="290">
        <f t="shared" si="74"/>
        <v>0</v>
      </c>
      <c r="L320" s="255">
        <f>+I320*3</f>
        <v>0</v>
      </c>
      <c r="N320" t="s">
        <v>1195</v>
      </c>
      <c r="O320" s="238"/>
    </row>
    <row r="321" spans="1:19" x14ac:dyDescent="0.25">
      <c r="A321" s="279">
        <v>7</v>
      </c>
      <c r="B321" s="61" t="s">
        <v>1029</v>
      </c>
      <c r="C321" s="62">
        <v>5000</v>
      </c>
      <c r="D321" s="258">
        <v>186.17</v>
      </c>
      <c r="E321" s="62">
        <v>10560</v>
      </c>
      <c r="F321" s="289">
        <f>49500*20+10000-1000000</f>
        <v>0</v>
      </c>
      <c r="G321" s="251">
        <f t="shared" si="71"/>
        <v>10560</v>
      </c>
      <c r="H321" s="62">
        <f>(40000+3000+143500+10000+3000+6000+52000-257500)+(40000+22600+20000+125000+43000-250600)+((73000+65600+500+17400+11000+4600)+1000-173100)+(26000+27000+10000+130000+67000+48200-308200)+(40-40)</f>
        <v>0</v>
      </c>
      <c r="I321" s="251">
        <f t="shared" si="72"/>
        <v>10560</v>
      </c>
      <c r="J321" s="251">
        <f t="shared" si="73"/>
        <v>52800000</v>
      </c>
      <c r="K321" s="290">
        <f t="shared" si="74"/>
        <v>1965955.2</v>
      </c>
      <c r="L321" s="237">
        <f>SUM(M321:V321)</f>
        <v>0</v>
      </c>
      <c r="M321" t="s">
        <v>1196</v>
      </c>
      <c r="N321" s="40" t="s">
        <v>1210</v>
      </c>
      <c r="O321" s="186"/>
      <c r="Q321" s="156"/>
      <c r="R321" s="156"/>
      <c r="S321" s="156"/>
    </row>
    <row r="322" spans="1:19" x14ac:dyDescent="0.25">
      <c r="A322" s="279">
        <v>8</v>
      </c>
      <c r="B322" s="61" t="s">
        <v>1154</v>
      </c>
      <c r="C322" s="62">
        <v>10000</v>
      </c>
      <c r="D322" s="258">
        <v>614</v>
      </c>
      <c r="E322" s="62">
        <v>272134</v>
      </c>
      <c r="F322" s="289">
        <f>360000-360000</f>
        <v>0</v>
      </c>
      <c r="G322" s="251">
        <f t="shared" si="71"/>
        <v>272134</v>
      </c>
      <c r="H322" s="62">
        <f>(4800+55800+2000+6-62606)+(300-300)+(24960-24960)+15000+10294+25200+1200</f>
        <v>51694</v>
      </c>
      <c r="I322" s="251">
        <f t="shared" si="72"/>
        <v>220440</v>
      </c>
      <c r="J322" s="251">
        <f t="shared" si="73"/>
        <v>2204400000</v>
      </c>
      <c r="K322" s="290">
        <f t="shared" si="74"/>
        <v>135350160</v>
      </c>
      <c r="L322" s="215"/>
      <c r="M322" s="40">
        <v>4800</v>
      </c>
      <c r="N322" s="40">
        <v>55800</v>
      </c>
      <c r="O322" s="253" t="s">
        <v>1039</v>
      </c>
    </row>
    <row r="323" spans="1:19" x14ac:dyDescent="0.25">
      <c r="A323" s="279">
        <v>9</v>
      </c>
      <c r="B323" s="61" t="s">
        <v>1162</v>
      </c>
      <c r="C323" s="62">
        <v>9000</v>
      </c>
      <c r="D323" s="258">
        <v>678</v>
      </c>
      <c r="E323" s="62">
        <v>76200</v>
      </c>
      <c r="F323" s="289">
        <f>(1300*6-7800)+76200+276000-352200</f>
        <v>0</v>
      </c>
      <c r="G323" s="251">
        <f t="shared" si="71"/>
        <v>76200</v>
      </c>
      <c r="H323" s="62">
        <f>(6300+1000-7300)+(8400+300-8700)+(6000+34800+69300+600+10980+44580+10980+38420+6000+600-222260)+(45540-45540)+18000+14220+1200</f>
        <v>33420</v>
      </c>
      <c r="I323" s="251">
        <f t="shared" si="72"/>
        <v>42780</v>
      </c>
      <c r="J323" s="251">
        <f t="shared" si="73"/>
        <v>385020000</v>
      </c>
      <c r="K323" s="290">
        <f t="shared" si="74"/>
        <v>29004840</v>
      </c>
      <c r="L323" s="215"/>
      <c r="M323" s="40">
        <v>6300</v>
      </c>
      <c r="N323" t="s">
        <v>1163</v>
      </c>
      <c r="O323" s="268" t="s">
        <v>1179</v>
      </c>
      <c r="P323" s="40" t="s">
        <v>1211</v>
      </c>
    </row>
    <row r="324" spans="1:19" x14ac:dyDescent="0.25">
      <c r="A324" s="279">
        <v>10</v>
      </c>
      <c r="B324" s="61" t="s">
        <v>1177</v>
      </c>
      <c r="C324" s="62">
        <v>12000</v>
      </c>
      <c r="D324" s="258">
        <v>928</v>
      </c>
      <c r="E324" s="62">
        <v>217000</v>
      </c>
      <c r="F324" s="289">
        <f>(8000+32000+44000+12000-96000)+84000+60000-144000</f>
        <v>0</v>
      </c>
      <c r="G324" s="251">
        <f t="shared" si="71"/>
        <v>217000</v>
      </c>
      <c r="H324" s="62">
        <f>(6000+4000+3200-13200)+4000+800+2000-6800+(3000-3000)+4000+9200</f>
        <v>13200</v>
      </c>
      <c r="I324" s="251">
        <f t="shared" si="72"/>
        <v>203800</v>
      </c>
      <c r="J324" s="251">
        <f t="shared" si="73"/>
        <v>2445600000</v>
      </c>
      <c r="K324" s="290">
        <f t="shared" si="74"/>
        <v>189126400</v>
      </c>
      <c r="L324" s="215"/>
      <c r="O324" s="268" t="s">
        <v>1190</v>
      </c>
    </row>
    <row r="325" spans="1:19" x14ac:dyDescent="0.25">
      <c r="A325" s="279">
        <v>11</v>
      </c>
      <c r="B325" s="61" t="s">
        <v>1228</v>
      </c>
      <c r="C325" s="62">
        <v>3000</v>
      </c>
      <c r="D325" s="61">
        <v>245.66</v>
      </c>
      <c r="E325" s="62">
        <v>120050</v>
      </c>
      <c r="F325" s="289">
        <f>10000*15-150000</f>
        <v>0</v>
      </c>
      <c r="G325" s="251">
        <f t="shared" si="71"/>
        <v>120050</v>
      </c>
      <c r="H325" s="62">
        <f>(2500+10950+1500+15000-29950)+1500+102000+4500</f>
        <v>108000</v>
      </c>
      <c r="I325" s="251">
        <f t="shared" si="72"/>
        <v>12050</v>
      </c>
      <c r="J325" s="251">
        <f t="shared" si="73"/>
        <v>36150000</v>
      </c>
      <c r="K325" s="290">
        <f t="shared" si="74"/>
        <v>2960203</v>
      </c>
      <c r="L325" s="215">
        <f>35*20000</f>
        <v>700000</v>
      </c>
    </row>
    <row r="326" spans="1:19" x14ac:dyDescent="0.25">
      <c r="A326" s="279">
        <v>12</v>
      </c>
      <c r="B326" s="61" t="s">
        <v>1228</v>
      </c>
      <c r="C326" s="62">
        <v>4000</v>
      </c>
      <c r="D326" s="61">
        <v>245.66</v>
      </c>
      <c r="E326" s="62">
        <v>16550</v>
      </c>
      <c r="F326" s="289">
        <f>10000*15-150000</f>
        <v>0</v>
      </c>
      <c r="G326" s="251">
        <f t="shared" si="71"/>
        <v>16550</v>
      </c>
      <c r="H326" s="62">
        <f>(2500+10950)+(105000+15000-133450)+4500</f>
        <v>4500</v>
      </c>
      <c r="I326" s="251">
        <f t="shared" si="72"/>
        <v>12050</v>
      </c>
      <c r="J326" s="251">
        <f t="shared" si="73"/>
        <v>48200000</v>
      </c>
      <c r="K326" s="290">
        <f t="shared" si="74"/>
        <v>2960203</v>
      </c>
      <c r="L326" s="215">
        <v>2500</v>
      </c>
      <c r="M326" s="40">
        <f>408-25</f>
        <v>383</v>
      </c>
    </row>
    <row r="327" spans="1:19" x14ac:dyDescent="0.25">
      <c r="A327" s="279">
        <v>13</v>
      </c>
      <c r="B327" s="61" t="s">
        <v>1228</v>
      </c>
      <c r="C327" s="62">
        <v>5000</v>
      </c>
      <c r="D327" s="61">
        <v>245.66</v>
      </c>
      <c r="E327" s="62">
        <v>121550</v>
      </c>
      <c r="F327" s="289">
        <f>10000*15-150000</f>
        <v>0</v>
      </c>
      <c r="G327" s="251">
        <f t="shared" si="71"/>
        <v>121550</v>
      </c>
      <c r="H327" s="62">
        <f>(2500+10950+15000-28450)+900+5900+4500+52500</f>
        <v>63800</v>
      </c>
      <c r="I327" s="251">
        <f t="shared" si="72"/>
        <v>57750</v>
      </c>
      <c r="J327" s="251">
        <f t="shared" si="73"/>
        <v>288750000</v>
      </c>
      <c r="K327" s="290">
        <f t="shared" si="74"/>
        <v>14186865</v>
      </c>
      <c r="L327" s="237"/>
    </row>
    <row r="328" spans="1:19" ht="15.75" thickBot="1" x14ac:dyDescent="0.3">
      <c r="A328" s="279">
        <v>14</v>
      </c>
      <c r="B328" s="90"/>
      <c r="C328" s="91"/>
      <c r="D328" s="90"/>
      <c r="E328" s="91">
        <v>0</v>
      </c>
      <c r="F328" s="300"/>
      <c r="G328" s="292">
        <f t="shared" si="71"/>
        <v>0</v>
      </c>
      <c r="H328" s="91">
        <v>0</v>
      </c>
      <c r="I328" s="292">
        <f t="shared" si="72"/>
        <v>0</v>
      </c>
      <c r="J328" s="292">
        <f t="shared" si="73"/>
        <v>0</v>
      </c>
      <c r="K328" s="293">
        <f t="shared" si="74"/>
        <v>0</v>
      </c>
      <c r="L328" s="215">
        <f>500*20</f>
        <v>10000</v>
      </c>
    </row>
    <row r="329" spans="1:19" ht="15.75" thickBot="1" x14ac:dyDescent="0.3">
      <c r="A329" s="64"/>
      <c r="B329" s="96" t="s">
        <v>907</v>
      </c>
      <c r="C329" s="296"/>
      <c r="D329" s="296"/>
      <c r="E329" s="301">
        <f t="shared" ref="E329:K329" si="75">SUM(E315:E328)</f>
        <v>850644</v>
      </c>
      <c r="F329" s="301">
        <f t="shared" si="75"/>
        <v>0</v>
      </c>
      <c r="G329" s="301">
        <f t="shared" si="75"/>
        <v>850644</v>
      </c>
      <c r="H329" s="301">
        <f t="shared" si="75"/>
        <v>274614</v>
      </c>
      <c r="I329" s="301">
        <f t="shared" si="75"/>
        <v>576030</v>
      </c>
      <c r="J329" s="301">
        <f t="shared" si="75"/>
        <v>5593720000</v>
      </c>
      <c r="K329" s="302">
        <f t="shared" si="75"/>
        <v>388446186.19999999</v>
      </c>
      <c r="L329" s="217">
        <f>+L325+L326-L328</f>
        <v>692500</v>
      </c>
    </row>
    <row r="330" spans="1:19" x14ac:dyDescent="0.25">
      <c r="A330" s="298"/>
      <c r="B330" s="298"/>
      <c r="C330" s="298"/>
      <c r="D330" s="298"/>
      <c r="E330" s="309"/>
      <c r="F330" s="309"/>
      <c r="G330" s="309"/>
      <c r="H330" s="309"/>
      <c r="I330" s="309"/>
      <c r="J330" s="309"/>
      <c r="K330" s="309"/>
      <c r="L330" s="39"/>
    </row>
    <row r="331" spans="1:19" ht="15.75" thickBot="1" x14ac:dyDescent="0.3">
      <c r="A331" s="312" t="s">
        <v>651</v>
      </c>
      <c r="B331" s="298"/>
      <c r="C331" s="298"/>
      <c r="D331" s="298"/>
      <c r="E331" s="298"/>
      <c r="F331" s="298"/>
      <c r="G331" s="298"/>
      <c r="H331" s="298"/>
      <c r="I331" s="298"/>
      <c r="J331" s="298"/>
      <c r="K331" s="298"/>
    </row>
    <row r="332" spans="1:19" s="53" customFormat="1" ht="15.75" thickBot="1" x14ac:dyDescent="0.3">
      <c r="A332" s="313"/>
      <c r="B332" s="96" t="s">
        <v>912</v>
      </c>
      <c r="C332" s="296"/>
      <c r="D332" s="296"/>
      <c r="E332" s="314">
        <f t="shared" ref="E332:K332" si="76">+E44+E62+E81+E102+E124+E160+E172+E187+E212+E233+E256+E276+E296+E309+E329</f>
        <v>13083632</v>
      </c>
      <c r="F332" s="314">
        <f t="shared" si="76"/>
        <v>2960</v>
      </c>
      <c r="G332" s="314">
        <f t="shared" si="76"/>
        <v>13086592</v>
      </c>
      <c r="H332" s="314">
        <f t="shared" si="76"/>
        <v>491076</v>
      </c>
      <c r="I332" s="314">
        <f t="shared" si="76"/>
        <v>12595516</v>
      </c>
      <c r="J332" s="314">
        <f t="shared" si="76"/>
        <v>53689937500</v>
      </c>
      <c r="K332" s="315">
        <f t="shared" si="76"/>
        <v>2463919584.1300001</v>
      </c>
      <c r="L332" s="221"/>
      <c r="N332" s="53">
        <v>12595516</v>
      </c>
      <c r="O332" s="271">
        <v>53689937500</v>
      </c>
      <c r="P332" s="271">
        <v>2463919584.1300001</v>
      </c>
    </row>
    <row r="333" spans="1:19" x14ac:dyDescent="0.25">
      <c r="N333" s="154">
        <f>+N332-I332</f>
        <v>0</v>
      </c>
      <c r="O333" s="154">
        <f>+O332-J332</f>
        <v>0</v>
      </c>
      <c r="P333" s="155">
        <f>+P332-K332</f>
        <v>0</v>
      </c>
    </row>
    <row r="334" spans="1:19" x14ac:dyDescent="0.25">
      <c r="E334" s="36"/>
      <c r="F334" s="36"/>
      <c r="G334" s="144"/>
      <c r="H334" s="36"/>
      <c r="I334" s="36"/>
      <c r="J334" s="36"/>
      <c r="K334" s="36"/>
      <c r="L334" s="36"/>
      <c r="M334" s="40">
        <v>8</v>
      </c>
    </row>
    <row r="335" spans="1:19" x14ac:dyDescent="0.25">
      <c r="C335" t="s">
        <v>1170</v>
      </c>
      <c r="D335" t="s">
        <v>1171</v>
      </c>
      <c r="F335" s="40">
        <f>82800-240000</f>
        <v>-157200</v>
      </c>
      <c r="J335" s="40">
        <f>31600*2</f>
        <v>63200</v>
      </c>
    </row>
    <row r="336" spans="1:19" x14ac:dyDescent="0.25">
      <c r="B336" t="s">
        <v>1169</v>
      </c>
      <c r="C336" s="40">
        <v>1000</v>
      </c>
      <c r="D336" s="40">
        <f>2000*6</f>
        <v>12000</v>
      </c>
      <c r="E336" s="40">
        <v>1000</v>
      </c>
    </row>
    <row r="337" spans="3:11" x14ac:dyDescent="0.25">
      <c r="C337" s="40">
        <v>1000</v>
      </c>
      <c r="D337" s="40">
        <f>9000*6</f>
        <v>54000</v>
      </c>
      <c r="E337" s="40">
        <v>9000</v>
      </c>
    </row>
    <row r="338" spans="3:11" x14ac:dyDescent="0.25">
      <c r="C338" s="40">
        <v>6888</v>
      </c>
      <c r="D338" s="40">
        <f>9000*6</f>
        <v>54000</v>
      </c>
      <c r="E338" s="40">
        <v>9000</v>
      </c>
      <c r="I338" s="239"/>
    </row>
    <row r="339" spans="3:11" x14ac:dyDescent="0.25">
      <c r="D339" s="40">
        <f>40000*6</f>
        <v>240000</v>
      </c>
      <c r="E339" s="40">
        <v>40000</v>
      </c>
    </row>
    <row r="340" spans="3:11" x14ac:dyDescent="0.25">
      <c r="E340" s="40">
        <v>1000</v>
      </c>
      <c r="I340" s="40">
        <v>4800</v>
      </c>
      <c r="K340" s="40">
        <f>360000-2000</f>
        <v>358000</v>
      </c>
    </row>
    <row r="341" spans="3:11" x14ac:dyDescent="0.25">
      <c r="G341" s="40">
        <f>1300*6</f>
        <v>7800</v>
      </c>
      <c r="I341" s="40">
        <v>3000</v>
      </c>
      <c r="K341" s="40">
        <f>+K340-4800</f>
        <v>353200</v>
      </c>
    </row>
    <row r="342" spans="3:11" x14ac:dyDescent="0.25">
      <c r="G342" s="40">
        <f>33*6</f>
        <v>198</v>
      </c>
      <c r="I342" s="40">
        <v>52800</v>
      </c>
      <c r="K342" s="40">
        <f>+K341-6</f>
        <v>353194</v>
      </c>
    </row>
    <row r="343" spans="3:11" x14ac:dyDescent="0.25">
      <c r="F343"/>
      <c r="G343" s="40">
        <v>2</v>
      </c>
      <c r="I343" s="40">
        <v>2000</v>
      </c>
      <c r="K343" s="40">
        <f>+K342-55800</f>
        <v>297394</v>
      </c>
    </row>
    <row r="344" spans="3:11" x14ac:dyDescent="0.25">
      <c r="G344" s="40">
        <f>50*6</f>
        <v>300</v>
      </c>
      <c r="I344" s="40">
        <v>12</v>
      </c>
    </row>
    <row r="345" spans="3:11" x14ac:dyDescent="0.25">
      <c r="C345" s="40">
        <f>SUM(C336:C344)</f>
        <v>8888</v>
      </c>
      <c r="D345" s="40">
        <f>SUM(D336:D344)</f>
        <v>360000</v>
      </c>
      <c r="E345" s="40">
        <f>SUM(E336:E344)</f>
        <v>60000</v>
      </c>
    </row>
    <row r="346" spans="3:11" x14ac:dyDescent="0.25">
      <c r="D346" s="257">
        <f>+I322-D352</f>
        <v>-76954</v>
      </c>
      <c r="I346" s="40">
        <f>SUM(I340:I345)</f>
        <v>62612</v>
      </c>
    </row>
    <row r="348" spans="3:11" x14ac:dyDescent="0.25">
      <c r="D348" s="40">
        <f>49*6000</f>
        <v>294000</v>
      </c>
      <c r="E348" s="40">
        <v>49</v>
      </c>
      <c r="F348" s="40">
        <v>6000</v>
      </c>
      <c r="G348" s="40">
        <f>+E348*F348</f>
        <v>294000</v>
      </c>
    </row>
    <row r="349" spans="3:11" x14ac:dyDescent="0.25">
      <c r="D349" s="40">
        <f>600*5</f>
        <v>3000</v>
      </c>
      <c r="E349" s="40">
        <v>5</v>
      </c>
      <c r="F349" s="40">
        <v>600</v>
      </c>
      <c r="G349" s="40">
        <f>+E349*F349</f>
        <v>3000</v>
      </c>
    </row>
    <row r="350" spans="3:11" x14ac:dyDescent="0.25">
      <c r="D350" s="40">
        <f>65*6</f>
        <v>390</v>
      </c>
      <c r="E350" s="40">
        <v>65</v>
      </c>
      <c r="F350" s="40">
        <v>6</v>
      </c>
      <c r="G350" s="40">
        <f>+E350*F350</f>
        <v>390</v>
      </c>
    </row>
    <row r="351" spans="3:11" x14ac:dyDescent="0.25">
      <c r="D351" s="40">
        <v>4</v>
      </c>
      <c r="E351" s="40">
        <v>4</v>
      </c>
      <c r="F351" s="40">
        <v>1</v>
      </c>
      <c r="G351" s="40">
        <f>+E351*F351</f>
        <v>4</v>
      </c>
    </row>
    <row r="352" spans="3:11" x14ac:dyDescent="0.25">
      <c r="D352" s="40">
        <f>SUM(D348:D351)</f>
        <v>297394</v>
      </c>
      <c r="G352" s="40">
        <f>SUM(G348:G351)</f>
        <v>297394</v>
      </c>
    </row>
    <row r="353" spans="7:7" x14ac:dyDescent="0.25">
      <c r="G353" s="145">
        <f>+G352-I322</f>
        <v>76954</v>
      </c>
    </row>
  </sheetData>
  <mergeCells count="105">
    <mergeCell ref="A3:A5"/>
    <mergeCell ref="A83:A85"/>
    <mergeCell ref="A104:A106"/>
    <mergeCell ref="A126:A128"/>
    <mergeCell ref="A162:A164"/>
    <mergeCell ref="A46:A48"/>
    <mergeCell ref="A64:A66"/>
    <mergeCell ref="J298:J299"/>
    <mergeCell ref="K298:K299"/>
    <mergeCell ref="A298:A300"/>
    <mergeCell ref="B298:B299"/>
    <mergeCell ref="C298:C299"/>
    <mergeCell ref="D298:D299"/>
    <mergeCell ref="E298:I298"/>
    <mergeCell ref="A174:A176"/>
    <mergeCell ref="A189:A191"/>
    <mergeCell ref="A214:A216"/>
    <mergeCell ref="B278:B279"/>
    <mergeCell ref="C278:C279"/>
    <mergeCell ref="B258:B259"/>
    <mergeCell ref="C258:C259"/>
    <mergeCell ref="B235:B236"/>
    <mergeCell ref="C235:C236"/>
    <mergeCell ref="A235:A237"/>
    <mergeCell ref="A258:A260"/>
    <mergeCell ref="A278:A280"/>
    <mergeCell ref="D278:D279"/>
    <mergeCell ref="J278:J279"/>
    <mergeCell ref="K278:K279"/>
    <mergeCell ref="J235:J236"/>
    <mergeCell ref="K235:K236"/>
    <mergeCell ref="D258:D259"/>
    <mergeCell ref="J258:J259"/>
    <mergeCell ref="K258:K259"/>
    <mergeCell ref="E278:I278"/>
    <mergeCell ref="E258:I258"/>
    <mergeCell ref="E235:I235"/>
    <mergeCell ref="D235:D236"/>
    <mergeCell ref="J189:J190"/>
    <mergeCell ref="K189:K190"/>
    <mergeCell ref="B214:B215"/>
    <mergeCell ref="C214:C215"/>
    <mergeCell ref="D214:D215"/>
    <mergeCell ref="J214:J215"/>
    <mergeCell ref="K214:K215"/>
    <mergeCell ref="E189:I189"/>
    <mergeCell ref="B189:B190"/>
    <mergeCell ref="C189:C190"/>
    <mergeCell ref="D189:D190"/>
    <mergeCell ref="E214:I214"/>
    <mergeCell ref="J162:J163"/>
    <mergeCell ref="K162:K163"/>
    <mergeCell ref="B174:B175"/>
    <mergeCell ref="C174:C175"/>
    <mergeCell ref="D174:D175"/>
    <mergeCell ref="J174:J175"/>
    <mergeCell ref="K174:K175"/>
    <mergeCell ref="E162:I162"/>
    <mergeCell ref="B162:B163"/>
    <mergeCell ref="C162:C163"/>
    <mergeCell ref="D162:D163"/>
    <mergeCell ref="E174:I174"/>
    <mergeCell ref="B126:B127"/>
    <mergeCell ref="C126:C127"/>
    <mergeCell ref="D126:D127"/>
    <mergeCell ref="J126:J127"/>
    <mergeCell ref="K126:K127"/>
    <mergeCell ref="E104:I104"/>
    <mergeCell ref="B104:B105"/>
    <mergeCell ref="C104:C105"/>
    <mergeCell ref="D104:D105"/>
    <mergeCell ref="E126:I126"/>
    <mergeCell ref="J83:J84"/>
    <mergeCell ref="K83:K84"/>
    <mergeCell ref="E64:I64"/>
    <mergeCell ref="B64:B65"/>
    <mergeCell ref="C64:C65"/>
    <mergeCell ref="D64:D65"/>
    <mergeCell ref="E83:I83"/>
    <mergeCell ref="J104:J105"/>
    <mergeCell ref="K104:K105"/>
    <mergeCell ref="J311:J312"/>
    <mergeCell ref="K311:K312"/>
    <mergeCell ref="A311:A313"/>
    <mergeCell ref="B311:B312"/>
    <mergeCell ref="C311:C312"/>
    <mergeCell ref="D311:D312"/>
    <mergeCell ref="E311:I311"/>
    <mergeCell ref="J3:J4"/>
    <mergeCell ref="K3:K4"/>
    <mergeCell ref="B46:B47"/>
    <mergeCell ref="C46:C47"/>
    <mergeCell ref="D46:D47"/>
    <mergeCell ref="J46:J47"/>
    <mergeCell ref="K46:K47"/>
    <mergeCell ref="E3:I3"/>
    <mergeCell ref="E46:I46"/>
    <mergeCell ref="B3:B4"/>
    <mergeCell ref="C3:C4"/>
    <mergeCell ref="D3:D4"/>
    <mergeCell ref="J64:J65"/>
    <mergeCell ref="K64:K65"/>
    <mergeCell ref="B83:B84"/>
    <mergeCell ref="C83:C84"/>
    <mergeCell ref="D83:D84"/>
  </mergeCells>
  <pageMargins left="0" right="0" top="0.19685039370078741" bottom="0" header="0.19685039370078741" footer="0"/>
  <pageSetup paperSize="9" scale="91"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X310"/>
  <sheetViews>
    <sheetView topLeftCell="A269" workbookViewId="0">
      <selection activeCell="D248" sqref="D248"/>
    </sheetView>
  </sheetViews>
  <sheetFormatPr defaultColWidth="9.140625" defaultRowHeight="15" x14ac:dyDescent="0.25"/>
  <cols>
    <col min="1" max="1" width="4.7109375" style="40" customWidth="1"/>
    <col min="2" max="2" width="29.7109375" style="40" bestFit="1" customWidth="1"/>
    <col min="3" max="3" width="9" style="40" bestFit="1" customWidth="1"/>
    <col min="4" max="4" width="12.5703125" style="40" bestFit="1" customWidth="1"/>
    <col min="5" max="5" width="13.5703125" style="40" customWidth="1"/>
    <col min="6" max="6" width="12.140625" style="40" bestFit="1" customWidth="1"/>
    <col min="7" max="7" width="11.7109375" style="40" customWidth="1"/>
    <col min="8" max="8" width="12.5703125" style="40" bestFit="1" customWidth="1"/>
    <col min="9" max="9" width="11.5703125" style="40" bestFit="1" customWidth="1"/>
    <col min="10" max="10" width="15.140625" style="40" customWidth="1"/>
    <col min="11" max="12" width="15.42578125" style="40" customWidth="1"/>
    <col min="13" max="13" width="10" style="40" bestFit="1" customWidth="1"/>
    <col min="14" max="16384" width="9.140625" style="40"/>
  </cols>
  <sheetData>
    <row r="2" spans="1:12" ht="15.75" thickBot="1" x14ac:dyDescent="0.3">
      <c r="A2" s="88" t="s">
        <v>712</v>
      </c>
      <c r="B2" s="88"/>
      <c r="G2" s="41" t="str">
        <f>A.Prangko!G2</f>
        <v>desember 2017</v>
      </c>
    </row>
    <row r="3" spans="1:12" ht="15.75" thickBot="1" x14ac:dyDescent="0.3">
      <c r="A3" s="431" t="s">
        <v>653</v>
      </c>
      <c r="B3" s="428" t="s">
        <v>0</v>
      </c>
      <c r="C3" s="428" t="s">
        <v>1</v>
      </c>
      <c r="D3" s="429" t="s">
        <v>645</v>
      </c>
      <c r="E3" s="430" t="s">
        <v>19</v>
      </c>
      <c r="F3" s="430"/>
      <c r="G3" s="430"/>
      <c r="H3" s="430"/>
      <c r="I3" s="430"/>
      <c r="J3" s="424" t="s">
        <v>20</v>
      </c>
      <c r="K3" s="426" t="s">
        <v>598</v>
      </c>
      <c r="L3" s="213"/>
    </row>
    <row r="4" spans="1:12" ht="15.75" thickBot="1" x14ac:dyDescent="0.3">
      <c r="A4" s="432"/>
      <c r="B4" s="428"/>
      <c r="C4" s="428"/>
      <c r="D4" s="429"/>
      <c r="E4" s="54" t="s">
        <v>21</v>
      </c>
      <c r="F4" s="54" t="s">
        <v>596</v>
      </c>
      <c r="G4" s="54" t="s">
        <v>597</v>
      </c>
      <c r="H4" s="54" t="s">
        <v>585</v>
      </c>
      <c r="I4" s="54" t="s">
        <v>597</v>
      </c>
      <c r="J4" s="425"/>
      <c r="K4" s="427"/>
      <c r="L4" s="213"/>
    </row>
    <row r="5" spans="1:12" ht="15.75" thickBot="1" x14ac:dyDescent="0.3">
      <c r="A5" s="433"/>
      <c r="B5" s="55">
        <v>1</v>
      </c>
      <c r="C5" s="55">
        <v>2</v>
      </c>
      <c r="D5" s="55">
        <v>3</v>
      </c>
      <c r="E5" s="56">
        <v>4</v>
      </c>
      <c r="F5" s="56">
        <f>+E5+1</f>
        <v>5</v>
      </c>
      <c r="G5" s="56" t="s">
        <v>648</v>
      </c>
      <c r="H5" s="56">
        <v>7</v>
      </c>
      <c r="I5" s="57" t="s">
        <v>647</v>
      </c>
      <c r="J5" s="33" t="s">
        <v>646</v>
      </c>
      <c r="K5" s="33" t="s">
        <v>649</v>
      </c>
      <c r="L5" s="214"/>
    </row>
    <row r="6" spans="1:12" x14ac:dyDescent="0.25">
      <c r="A6" s="119"/>
      <c r="B6" s="120" t="s">
        <v>685</v>
      </c>
      <c r="C6" s="119"/>
      <c r="D6" s="119"/>
      <c r="E6" s="86"/>
      <c r="F6" s="86"/>
      <c r="G6" s="86"/>
      <c r="H6" s="86"/>
      <c r="I6" s="87"/>
      <c r="J6" s="50"/>
      <c r="K6" s="50"/>
      <c r="L6" s="214"/>
    </row>
    <row r="7" spans="1:12" x14ac:dyDescent="0.25">
      <c r="A7" s="106">
        <v>1</v>
      </c>
      <c r="B7" s="65" t="s">
        <v>155</v>
      </c>
      <c r="C7" s="66">
        <v>5000</v>
      </c>
      <c r="D7" s="121">
        <v>820.6</v>
      </c>
      <c r="E7" s="46">
        <v>0</v>
      </c>
      <c r="F7" s="46"/>
      <c r="G7" s="118">
        <f t="shared" ref="G7:G12" si="0">+E7+F7</f>
        <v>0</v>
      </c>
      <c r="H7" s="43"/>
      <c r="I7" s="44">
        <f t="shared" ref="I7:I12" si="1">+G7-H7</f>
        <v>0</v>
      </c>
      <c r="J7" s="44">
        <f t="shared" ref="J7:J12" si="2">I7*C7</f>
        <v>0</v>
      </c>
      <c r="K7" s="45">
        <f t="shared" ref="K7:K12" si="3">+D7*I7</f>
        <v>0</v>
      </c>
      <c r="L7" s="215"/>
    </row>
    <row r="8" spans="1:12" x14ac:dyDescent="0.25">
      <c r="A8" s="106">
        <v>2</v>
      </c>
      <c r="B8" s="65" t="s">
        <v>145</v>
      </c>
      <c r="C8" s="66">
        <v>5000</v>
      </c>
      <c r="D8" s="121">
        <v>801.16</v>
      </c>
      <c r="E8" s="46">
        <v>0</v>
      </c>
      <c r="F8" s="46"/>
      <c r="G8" s="118">
        <f t="shared" si="0"/>
        <v>0</v>
      </c>
      <c r="H8" s="43">
        <f>1-1</f>
        <v>0</v>
      </c>
      <c r="I8" s="44">
        <f t="shared" si="1"/>
        <v>0</v>
      </c>
      <c r="J8" s="44">
        <f t="shared" si="2"/>
        <v>0</v>
      </c>
      <c r="K8" s="45">
        <f t="shared" si="3"/>
        <v>0</v>
      </c>
      <c r="L8" s="215"/>
    </row>
    <row r="9" spans="1:12" x14ac:dyDescent="0.25">
      <c r="A9" s="106">
        <v>3</v>
      </c>
      <c r="B9" s="65" t="s">
        <v>146</v>
      </c>
      <c r="C9" s="66">
        <v>8000</v>
      </c>
      <c r="D9" s="121">
        <v>801.16</v>
      </c>
      <c r="E9" s="46">
        <v>0</v>
      </c>
      <c r="F9" s="46"/>
      <c r="G9" s="118">
        <f t="shared" si="0"/>
        <v>0</v>
      </c>
      <c r="H9" s="43">
        <f>1132-1132</f>
        <v>0</v>
      </c>
      <c r="I9" s="44">
        <f t="shared" si="1"/>
        <v>0</v>
      </c>
      <c r="J9" s="44">
        <f t="shared" si="2"/>
        <v>0</v>
      </c>
      <c r="K9" s="45">
        <f t="shared" si="3"/>
        <v>0</v>
      </c>
      <c r="L9" s="215"/>
    </row>
    <row r="10" spans="1:12" x14ac:dyDescent="0.25">
      <c r="A10" s="106">
        <v>4</v>
      </c>
      <c r="B10" s="65" t="s">
        <v>147</v>
      </c>
      <c r="C10" s="66">
        <v>5000</v>
      </c>
      <c r="D10" s="121">
        <v>570.16</v>
      </c>
      <c r="E10" s="46">
        <v>0</v>
      </c>
      <c r="F10" s="46"/>
      <c r="G10" s="118">
        <f t="shared" si="0"/>
        <v>0</v>
      </c>
      <c r="H10" s="43"/>
      <c r="I10" s="44">
        <f t="shared" si="1"/>
        <v>0</v>
      </c>
      <c r="J10" s="44">
        <f t="shared" si="2"/>
        <v>0</v>
      </c>
      <c r="K10" s="45">
        <f t="shared" si="3"/>
        <v>0</v>
      </c>
      <c r="L10" s="215"/>
    </row>
    <row r="11" spans="1:12" x14ac:dyDescent="0.25">
      <c r="A11" s="106">
        <v>5</v>
      </c>
      <c r="B11" s="65" t="s">
        <v>148</v>
      </c>
      <c r="C11" s="66">
        <v>6000</v>
      </c>
      <c r="D11" s="121">
        <v>981.75</v>
      </c>
      <c r="E11" s="46">
        <v>0</v>
      </c>
      <c r="F11" s="46"/>
      <c r="G11" s="118">
        <f t="shared" si="0"/>
        <v>0</v>
      </c>
      <c r="H11" s="43">
        <f>180-180</f>
        <v>0</v>
      </c>
      <c r="I11" s="44">
        <f t="shared" si="1"/>
        <v>0</v>
      </c>
      <c r="J11" s="44">
        <f t="shared" si="2"/>
        <v>0</v>
      </c>
      <c r="K11" s="45">
        <f t="shared" si="3"/>
        <v>0</v>
      </c>
      <c r="L11" s="215"/>
    </row>
    <row r="12" spans="1:12" ht="15.75" thickBot="1" x14ac:dyDescent="0.3">
      <c r="A12" s="122">
        <v>6</v>
      </c>
      <c r="B12" s="123" t="s">
        <v>149</v>
      </c>
      <c r="C12" s="68">
        <f>48000-12000</f>
        <v>36000</v>
      </c>
      <c r="D12" s="124">
        <v>1345</v>
      </c>
      <c r="E12" s="125">
        <v>0</v>
      </c>
      <c r="F12" s="125"/>
      <c r="G12" s="126">
        <f t="shared" si="0"/>
        <v>0</v>
      </c>
      <c r="H12" s="43">
        <f>370-370</f>
        <v>0</v>
      </c>
      <c r="I12" s="51">
        <f t="shared" si="1"/>
        <v>0</v>
      </c>
      <c r="J12" s="51">
        <f t="shared" si="2"/>
        <v>0</v>
      </c>
      <c r="K12" s="52">
        <f t="shared" si="3"/>
        <v>0</v>
      </c>
      <c r="L12" s="215"/>
    </row>
    <row r="13" spans="1:12" ht="15.75" thickBot="1" x14ac:dyDescent="0.3">
      <c r="A13" s="116"/>
      <c r="B13" s="105" t="s">
        <v>686</v>
      </c>
      <c r="C13" s="70"/>
      <c r="D13" s="32"/>
      <c r="E13" s="48">
        <f t="shared" ref="E13:K13" si="4">SUM(E7:E12)</f>
        <v>0</v>
      </c>
      <c r="F13" s="48">
        <f t="shared" si="4"/>
        <v>0</v>
      </c>
      <c r="G13" s="48">
        <f t="shared" si="4"/>
        <v>0</v>
      </c>
      <c r="H13" s="28">
        <f t="shared" si="4"/>
        <v>0</v>
      </c>
      <c r="I13" s="28">
        <f t="shared" si="4"/>
        <v>0</v>
      </c>
      <c r="J13" s="28">
        <f t="shared" si="4"/>
        <v>0</v>
      </c>
      <c r="K13" s="38">
        <f t="shared" si="4"/>
        <v>0</v>
      </c>
      <c r="L13" s="151"/>
    </row>
    <row r="14" spans="1:12" ht="15.75" thickBot="1" x14ac:dyDescent="0.3">
      <c r="B14" s="80"/>
      <c r="C14" s="81"/>
      <c r="D14" s="82"/>
      <c r="E14" s="83"/>
      <c r="F14" s="49"/>
      <c r="G14" s="83"/>
      <c r="H14" s="83"/>
      <c r="I14" s="83"/>
      <c r="J14" s="83"/>
      <c r="K14" s="82"/>
      <c r="L14" s="140"/>
    </row>
    <row r="15" spans="1:12" ht="15.75" thickBot="1" x14ac:dyDescent="0.3">
      <c r="A15" s="431" t="s">
        <v>653</v>
      </c>
      <c r="B15" s="428" t="s">
        <v>0</v>
      </c>
      <c r="C15" s="428" t="s">
        <v>1</v>
      </c>
      <c r="D15" s="429" t="s">
        <v>645</v>
      </c>
      <c r="E15" s="430" t="s">
        <v>19</v>
      </c>
      <c r="F15" s="430"/>
      <c r="G15" s="430"/>
      <c r="H15" s="430"/>
      <c r="I15" s="430"/>
      <c r="J15" s="424" t="s">
        <v>20</v>
      </c>
      <c r="K15" s="426" t="s">
        <v>598</v>
      </c>
      <c r="L15" s="213"/>
    </row>
    <row r="16" spans="1:12" ht="15.75" thickBot="1" x14ac:dyDescent="0.3">
      <c r="A16" s="432"/>
      <c r="B16" s="428"/>
      <c r="C16" s="428"/>
      <c r="D16" s="429"/>
      <c r="E16" s="54" t="s">
        <v>21</v>
      </c>
      <c r="F16" s="54" t="s">
        <v>596</v>
      </c>
      <c r="G16" s="54" t="s">
        <v>597</v>
      </c>
      <c r="H16" s="54" t="s">
        <v>585</v>
      </c>
      <c r="I16" s="54" t="s">
        <v>597</v>
      </c>
      <c r="J16" s="425"/>
      <c r="K16" s="427"/>
      <c r="L16" s="213"/>
    </row>
    <row r="17" spans="1:12" ht="15.75" thickBot="1" x14ac:dyDescent="0.3">
      <c r="A17" s="433"/>
      <c r="B17" s="55">
        <v>1</v>
      </c>
      <c r="C17" s="55">
        <v>2</v>
      </c>
      <c r="D17" s="55">
        <v>3</v>
      </c>
      <c r="E17" s="56">
        <v>4</v>
      </c>
      <c r="F17" s="56">
        <f>+E17+1</f>
        <v>5</v>
      </c>
      <c r="G17" s="56" t="s">
        <v>648</v>
      </c>
      <c r="H17" s="56">
        <v>7</v>
      </c>
      <c r="I17" s="57" t="s">
        <v>647</v>
      </c>
      <c r="J17" s="33" t="s">
        <v>646</v>
      </c>
      <c r="K17" s="33" t="s">
        <v>649</v>
      </c>
      <c r="L17" s="214"/>
    </row>
    <row r="18" spans="1:12" x14ac:dyDescent="0.25">
      <c r="A18" s="119"/>
      <c r="B18" s="120" t="s">
        <v>687</v>
      </c>
      <c r="C18" s="78"/>
      <c r="D18" s="129"/>
      <c r="E18" s="42"/>
      <c r="F18" s="42"/>
      <c r="G18" s="42"/>
      <c r="H18" s="42"/>
      <c r="I18" s="42"/>
      <c r="J18" s="42"/>
      <c r="K18" s="42"/>
      <c r="L18" s="114"/>
    </row>
    <row r="19" spans="1:12" x14ac:dyDescent="0.25">
      <c r="A19" s="106">
        <v>1</v>
      </c>
      <c r="B19" s="65" t="s">
        <v>150</v>
      </c>
      <c r="C19" s="66">
        <v>11000</v>
      </c>
      <c r="D19" s="121">
        <v>1304.3399999999999</v>
      </c>
      <c r="E19" s="46">
        <v>0</v>
      </c>
      <c r="F19" s="46"/>
      <c r="G19" s="118">
        <f>+E19+F19</f>
        <v>0</v>
      </c>
      <c r="H19" s="43">
        <f>4557-4557</f>
        <v>0</v>
      </c>
      <c r="I19" s="44">
        <f>+G19-H19</f>
        <v>0</v>
      </c>
      <c r="J19" s="44">
        <f>I19*C19</f>
        <v>0</v>
      </c>
      <c r="K19" s="45">
        <f>+D19*I19</f>
        <v>0</v>
      </c>
      <c r="L19" s="215"/>
    </row>
    <row r="20" spans="1:12" x14ac:dyDescent="0.25">
      <c r="A20" s="106">
        <v>2</v>
      </c>
      <c r="B20" s="65" t="s">
        <v>151</v>
      </c>
      <c r="C20" s="66">
        <v>10000</v>
      </c>
      <c r="D20" s="121">
        <v>1445</v>
      </c>
      <c r="E20" s="46">
        <v>0</v>
      </c>
      <c r="F20" s="46"/>
      <c r="G20" s="118">
        <f>+E20+F20</f>
        <v>0</v>
      </c>
      <c r="H20" s="43">
        <f>5658-5658</f>
        <v>0</v>
      </c>
      <c r="I20" s="44">
        <f>+G20-H20</f>
        <v>0</v>
      </c>
      <c r="J20" s="44">
        <f>I20*C20</f>
        <v>0</v>
      </c>
      <c r="K20" s="45">
        <f>+D20*I20</f>
        <v>0</v>
      </c>
      <c r="L20" s="215"/>
    </row>
    <row r="21" spans="1:12" x14ac:dyDescent="0.25">
      <c r="A21" s="106">
        <v>3</v>
      </c>
      <c r="B21" s="65" t="s">
        <v>152</v>
      </c>
      <c r="C21" s="66">
        <v>12000</v>
      </c>
      <c r="D21" s="121">
        <v>1522.4</v>
      </c>
      <c r="E21" s="46">
        <v>0</v>
      </c>
      <c r="F21" s="46"/>
      <c r="G21" s="118">
        <f>+E21+F21</f>
        <v>0</v>
      </c>
      <c r="H21" s="43">
        <f>1806-1806</f>
        <v>0</v>
      </c>
      <c r="I21" s="44">
        <f>+G21-H21</f>
        <v>0</v>
      </c>
      <c r="J21" s="44">
        <f>I21*C21</f>
        <v>0</v>
      </c>
      <c r="K21" s="45">
        <f>+D21*I21</f>
        <v>0</v>
      </c>
      <c r="L21" s="215"/>
    </row>
    <row r="22" spans="1:12" ht="15.75" thickBot="1" x14ac:dyDescent="0.3">
      <c r="A22" s="122">
        <v>4</v>
      </c>
      <c r="B22" s="123" t="s">
        <v>153</v>
      </c>
      <c r="C22" s="68">
        <v>18000</v>
      </c>
      <c r="D22" s="124">
        <v>1344.96</v>
      </c>
      <c r="E22" s="125">
        <v>0</v>
      </c>
      <c r="F22" s="125"/>
      <c r="G22" s="126">
        <f>+E22+F22</f>
        <v>0</v>
      </c>
      <c r="H22" s="148">
        <f>7297-7297</f>
        <v>0</v>
      </c>
      <c r="I22" s="51">
        <f>+G22-H22</f>
        <v>0</v>
      </c>
      <c r="J22" s="51">
        <f>I22*C22</f>
        <v>0</v>
      </c>
      <c r="K22" s="52">
        <f>+D22*I22</f>
        <v>0</v>
      </c>
      <c r="L22" s="227" t="s">
        <v>997</v>
      </c>
    </row>
    <row r="23" spans="1:12" ht="15.75" thickBot="1" x14ac:dyDescent="0.3">
      <c r="A23" s="116"/>
      <c r="B23" s="105" t="s">
        <v>688</v>
      </c>
      <c r="C23" s="70"/>
      <c r="D23" s="28"/>
      <c r="E23" s="28">
        <f>SUM(E19:E22)</f>
        <v>0</v>
      </c>
      <c r="F23" s="32"/>
      <c r="G23" s="28">
        <f>SUM(G19:G22)</f>
        <v>0</v>
      </c>
      <c r="H23" s="28">
        <f>SUM(H19:H22)</f>
        <v>0</v>
      </c>
      <c r="I23" s="29">
        <f>SUM(I19:I22)</f>
        <v>0</v>
      </c>
      <c r="J23" s="29">
        <f>SUM(J19:J22)</f>
        <v>0</v>
      </c>
      <c r="K23" s="31">
        <f>SUM(K19:K22)</f>
        <v>0</v>
      </c>
      <c r="L23" s="223"/>
    </row>
    <row r="24" spans="1:12" ht="15.75" thickBot="1" x14ac:dyDescent="0.3">
      <c r="B24" s="80"/>
      <c r="C24" s="81"/>
      <c r="D24" s="82"/>
      <c r="E24" s="83"/>
      <c r="F24" s="49"/>
      <c r="G24" s="83"/>
      <c r="H24" s="83"/>
      <c r="I24" s="83"/>
      <c r="J24" s="83"/>
      <c r="K24" s="82"/>
      <c r="L24" s="140"/>
    </row>
    <row r="25" spans="1:12" ht="15.75" thickBot="1" x14ac:dyDescent="0.3">
      <c r="A25" s="431" t="s">
        <v>653</v>
      </c>
      <c r="B25" s="428" t="s">
        <v>0</v>
      </c>
      <c r="C25" s="428" t="s">
        <v>1</v>
      </c>
      <c r="D25" s="429" t="s">
        <v>645</v>
      </c>
      <c r="E25" s="430" t="s">
        <v>19</v>
      </c>
      <c r="F25" s="430"/>
      <c r="G25" s="430"/>
      <c r="H25" s="430"/>
      <c r="I25" s="430"/>
      <c r="J25" s="424" t="s">
        <v>20</v>
      </c>
      <c r="K25" s="426" t="s">
        <v>598</v>
      </c>
      <c r="L25" s="213"/>
    </row>
    <row r="26" spans="1:12" ht="15.75" thickBot="1" x14ac:dyDescent="0.3">
      <c r="A26" s="432"/>
      <c r="B26" s="428"/>
      <c r="C26" s="428"/>
      <c r="D26" s="429"/>
      <c r="E26" s="54" t="s">
        <v>21</v>
      </c>
      <c r="F26" s="54" t="s">
        <v>596</v>
      </c>
      <c r="G26" s="54" t="s">
        <v>597</v>
      </c>
      <c r="H26" s="54" t="s">
        <v>585</v>
      </c>
      <c r="I26" s="54" t="s">
        <v>597</v>
      </c>
      <c r="J26" s="425"/>
      <c r="K26" s="427"/>
      <c r="L26" s="213"/>
    </row>
    <row r="27" spans="1:12" ht="15.75" thickBot="1" x14ac:dyDescent="0.3">
      <c r="A27" s="433"/>
      <c r="B27" s="110">
        <v>1</v>
      </c>
      <c r="C27" s="110">
        <v>2</v>
      </c>
      <c r="D27" s="110">
        <v>3</v>
      </c>
      <c r="E27" s="56">
        <v>4</v>
      </c>
      <c r="F27" s="56">
        <f>+E27+1</f>
        <v>5</v>
      </c>
      <c r="G27" s="56" t="s">
        <v>648</v>
      </c>
      <c r="H27" s="56">
        <v>7</v>
      </c>
      <c r="I27" s="57" t="s">
        <v>647</v>
      </c>
      <c r="J27" s="33" t="s">
        <v>646</v>
      </c>
      <c r="K27" s="33" t="s">
        <v>649</v>
      </c>
      <c r="L27" s="214"/>
    </row>
    <row r="28" spans="1:12" x14ac:dyDescent="0.25">
      <c r="A28" s="128"/>
      <c r="B28" s="58" t="s">
        <v>690</v>
      </c>
      <c r="C28" s="78"/>
      <c r="D28" s="129"/>
      <c r="E28" s="42"/>
      <c r="F28" s="42"/>
      <c r="G28" s="42"/>
      <c r="H28" s="42"/>
      <c r="I28" s="42"/>
      <c r="J28" s="42"/>
      <c r="K28" s="42"/>
      <c r="L28" s="114"/>
    </row>
    <row r="29" spans="1:12" x14ac:dyDescent="0.25">
      <c r="A29" s="130">
        <v>1</v>
      </c>
      <c r="B29" s="65" t="s">
        <v>727</v>
      </c>
      <c r="C29" s="66">
        <v>6000</v>
      </c>
      <c r="D29" s="121">
        <v>748.19</v>
      </c>
      <c r="E29" s="34">
        <v>0</v>
      </c>
      <c r="F29" s="34"/>
      <c r="G29" s="118">
        <f>+E29+F29</f>
        <v>0</v>
      </c>
      <c r="H29" s="143">
        <f>1159-1159</f>
        <v>0</v>
      </c>
      <c r="I29" s="44">
        <f>+G29-H29</f>
        <v>0</v>
      </c>
      <c r="J29" s="44">
        <f>I29*C29</f>
        <v>0</v>
      </c>
      <c r="K29" s="45">
        <f>+D29*I29</f>
        <v>0</v>
      </c>
      <c r="L29" s="215"/>
    </row>
    <row r="30" spans="1:12" x14ac:dyDescent="0.25">
      <c r="A30" s="130">
        <v>2</v>
      </c>
      <c r="B30" s="65" t="s">
        <v>689</v>
      </c>
      <c r="C30" s="66">
        <v>5000</v>
      </c>
      <c r="D30" s="121">
        <v>514.99</v>
      </c>
      <c r="E30" s="34">
        <v>0</v>
      </c>
      <c r="F30" s="34"/>
      <c r="G30" s="118">
        <f>+E30+F30</f>
        <v>0</v>
      </c>
      <c r="H30" s="43"/>
      <c r="I30" s="44">
        <f>+G30-H30</f>
        <v>0</v>
      </c>
      <c r="J30" s="44">
        <f>I30*C30</f>
        <v>0</v>
      </c>
      <c r="K30" s="45">
        <f>+D30*I30</f>
        <v>0</v>
      </c>
      <c r="L30" s="215"/>
    </row>
    <row r="31" spans="1:12" x14ac:dyDescent="0.25">
      <c r="A31" s="130">
        <v>3</v>
      </c>
      <c r="B31" s="65" t="s">
        <v>154</v>
      </c>
      <c r="C31" s="66">
        <v>5000</v>
      </c>
      <c r="D31" s="121">
        <v>514.99</v>
      </c>
      <c r="E31" s="34">
        <v>0</v>
      </c>
      <c r="F31" s="34"/>
      <c r="G31" s="118">
        <f>+E31+F31</f>
        <v>0</v>
      </c>
      <c r="H31" s="43">
        <f>158-158</f>
        <v>0</v>
      </c>
      <c r="I31" s="44">
        <f>+G31-H31</f>
        <v>0</v>
      </c>
      <c r="J31" s="44">
        <f>I31*C31</f>
        <v>0</v>
      </c>
      <c r="K31" s="45">
        <f>+D31*I31</f>
        <v>0</v>
      </c>
      <c r="L31" s="215"/>
    </row>
    <row r="32" spans="1:12" ht="15.75" thickBot="1" x14ac:dyDescent="0.3">
      <c r="A32" s="131">
        <v>4</v>
      </c>
      <c r="B32" s="123" t="s">
        <v>148</v>
      </c>
      <c r="C32" s="68">
        <v>6000</v>
      </c>
      <c r="D32" s="124">
        <v>748.19</v>
      </c>
      <c r="E32" s="132">
        <v>0</v>
      </c>
      <c r="F32" s="132"/>
      <c r="G32" s="118">
        <f>+E32+F32</f>
        <v>0</v>
      </c>
      <c r="H32" s="43">
        <f>400-400</f>
        <v>0</v>
      </c>
      <c r="I32" s="44">
        <f>+G32-H32</f>
        <v>0</v>
      </c>
      <c r="J32" s="44">
        <f>I32*C32</f>
        <v>0</v>
      </c>
      <c r="K32" s="45">
        <f>+D32*I32</f>
        <v>0</v>
      </c>
      <c r="L32" s="215"/>
    </row>
    <row r="33" spans="1:12" ht="15.75" thickBot="1" x14ac:dyDescent="0.3">
      <c r="A33" s="111"/>
      <c r="B33" s="105" t="s">
        <v>691</v>
      </c>
      <c r="C33" s="70"/>
      <c r="D33" s="32"/>
      <c r="E33" s="28">
        <f>SUM(E29:E32)</f>
        <v>0</v>
      </c>
      <c r="F33" s="28"/>
      <c r="G33" s="28">
        <f>SUM(G29:G32)</f>
        <v>0</v>
      </c>
      <c r="H33" s="28">
        <f>SUM(H29:H32)</f>
        <v>0</v>
      </c>
      <c r="I33" s="28">
        <f>SUM(I29:I32)</f>
        <v>0</v>
      </c>
      <c r="J33" s="28">
        <f>SUM(J29:J32)</f>
        <v>0</v>
      </c>
      <c r="K33" s="127">
        <f>SUM(K29:K32)</f>
        <v>0</v>
      </c>
      <c r="L33" s="223"/>
    </row>
    <row r="34" spans="1:12" ht="15.75" thickBot="1" x14ac:dyDescent="0.3">
      <c r="B34" s="80"/>
      <c r="C34" s="81"/>
      <c r="D34" s="82"/>
      <c r="E34" s="83"/>
      <c r="F34" s="49"/>
      <c r="G34" s="83"/>
      <c r="H34" s="83"/>
      <c r="I34" s="83"/>
      <c r="J34" s="83"/>
      <c r="K34" s="82"/>
      <c r="L34" s="140"/>
    </row>
    <row r="35" spans="1:12" ht="15.75" thickBot="1" x14ac:dyDescent="0.3">
      <c r="A35" s="431" t="s">
        <v>653</v>
      </c>
      <c r="B35" s="428" t="s">
        <v>0</v>
      </c>
      <c r="C35" s="428" t="s">
        <v>1</v>
      </c>
      <c r="D35" s="429" t="s">
        <v>645</v>
      </c>
      <c r="E35" s="430" t="s">
        <v>19</v>
      </c>
      <c r="F35" s="430"/>
      <c r="G35" s="430"/>
      <c r="H35" s="430"/>
      <c r="I35" s="430"/>
      <c r="J35" s="424" t="s">
        <v>20</v>
      </c>
      <c r="K35" s="426" t="s">
        <v>598</v>
      </c>
      <c r="L35" s="213"/>
    </row>
    <row r="36" spans="1:12" ht="15.75" thickBot="1" x14ac:dyDescent="0.3">
      <c r="A36" s="432"/>
      <c r="B36" s="428"/>
      <c r="C36" s="428"/>
      <c r="D36" s="429"/>
      <c r="E36" s="54" t="s">
        <v>21</v>
      </c>
      <c r="F36" s="54" t="s">
        <v>596</v>
      </c>
      <c r="G36" s="54" t="s">
        <v>597</v>
      </c>
      <c r="H36" s="54" t="s">
        <v>585</v>
      </c>
      <c r="I36" s="54" t="s">
        <v>597</v>
      </c>
      <c r="J36" s="425"/>
      <c r="K36" s="427"/>
      <c r="L36" s="213"/>
    </row>
    <row r="37" spans="1:12" ht="15.75" thickBot="1" x14ac:dyDescent="0.3">
      <c r="A37" s="433"/>
      <c r="B37" s="110">
        <v>1</v>
      </c>
      <c r="C37" s="110">
        <v>2</v>
      </c>
      <c r="D37" s="110">
        <v>3</v>
      </c>
      <c r="E37" s="56">
        <v>4</v>
      </c>
      <c r="F37" s="56">
        <f>+E37+1</f>
        <v>5</v>
      </c>
      <c r="G37" s="56" t="s">
        <v>648</v>
      </c>
      <c r="H37" s="56">
        <v>7</v>
      </c>
      <c r="I37" s="57" t="s">
        <v>647</v>
      </c>
      <c r="J37" s="33" t="s">
        <v>646</v>
      </c>
      <c r="K37" s="33" t="s">
        <v>649</v>
      </c>
      <c r="L37" s="214"/>
    </row>
    <row r="38" spans="1:12" x14ac:dyDescent="0.25">
      <c r="A38" s="119"/>
      <c r="B38" s="120" t="s">
        <v>692</v>
      </c>
      <c r="C38" s="119"/>
      <c r="D38" s="119"/>
      <c r="E38" s="86"/>
      <c r="F38" s="86"/>
      <c r="G38" s="86"/>
      <c r="H38" s="86"/>
      <c r="I38" s="87"/>
      <c r="J38" s="50"/>
      <c r="K38" s="50"/>
      <c r="L38" s="214"/>
    </row>
    <row r="39" spans="1:12" x14ac:dyDescent="0.25">
      <c r="A39" s="130">
        <v>1</v>
      </c>
      <c r="B39" s="65" t="s">
        <v>155</v>
      </c>
      <c r="C39" s="66">
        <v>6000</v>
      </c>
      <c r="D39" s="121">
        <v>748.19</v>
      </c>
      <c r="E39" s="47">
        <v>0</v>
      </c>
      <c r="F39" s="34"/>
      <c r="G39" s="118">
        <f>+E39+F39</f>
        <v>0</v>
      </c>
      <c r="H39" s="43">
        <f>645-645</f>
        <v>0</v>
      </c>
      <c r="I39" s="44">
        <f>+G39-H39</f>
        <v>0</v>
      </c>
      <c r="J39" s="44">
        <f>I39*C39</f>
        <v>0</v>
      </c>
      <c r="K39" s="45">
        <f>+D39*I39</f>
        <v>0</v>
      </c>
      <c r="L39" s="215"/>
    </row>
    <row r="40" spans="1:12" x14ac:dyDescent="0.25">
      <c r="A40" s="130">
        <v>2</v>
      </c>
      <c r="B40" s="65" t="s">
        <v>156</v>
      </c>
      <c r="C40" s="66">
        <v>46000</v>
      </c>
      <c r="D40" s="121">
        <v>5971.74</v>
      </c>
      <c r="E40" s="66">
        <v>0</v>
      </c>
      <c r="F40" s="47"/>
      <c r="G40" s="118">
        <f>+E40+F40</f>
        <v>0</v>
      </c>
      <c r="H40" s="43">
        <f>40-40</f>
        <v>0</v>
      </c>
      <c r="I40" s="44">
        <f>+G40-H40</f>
        <v>0</v>
      </c>
      <c r="J40" s="44">
        <f>I40*C40</f>
        <v>0</v>
      </c>
      <c r="K40" s="45">
        <f>+D40*I40</f>
        <v>0</v>
      </c>
      <c r="L40" s="215"/>
    </row>
    <row r="41" spans="1:12" ht="15.75" thickBot="1" x14ac:dyDescent="0.3">
      <c r="A41" s="131">
        <v>3</v>
      </c>
      <c r="B41" s="123" t="s">
        <v>148</v>
      </c>
      <c r="C41" s="68">
        <v>3000</v>
      </c>
      <c r="D41" s="124">
        <v>1030.3800000000001</v>
      </c>
      <c r="E41" s="68">
        <v>0</v>
      </c>
      <c r="F41" s="134"/>
      <c r="G41" s="126">
        <f>+E41+F41</f>
        <v>0</v>
      </c>
      <c r="H41" s="43">
        <f>31-31</f>
        <v>0</v>
      </c>
      <c r="I41" s="51">
        <f>+G41-H41</f>
        <v>0</v>
      </c>
      <c r="J41" s="51">
        <f>I41*C41</f>
        <v>0</v>
      </c>
      <c r="K41" s="52">
        <f>+D41*I41</f>
        <v>0</v>
      </c>
      <c r="L41" s="215"/>
    </row>
    <row r="42" spans="1:12" ht="15.75" thickBot="1" x14ac:dyDescent="0.3">
      <c r="A42" s="111"/>
      <c r="B42" s="105" t="s">
        <v>693</v>
      </c>
      <c r="C42" s="70"/>
      <c r="D42" s="117"/>
      <c r="E42" s="117">
        <f t="shared" ref="E42:K42" si="5">SUM(E39:E41)</f>
        <v>0</v>
      </c>
      <c r="F42" s="117">
        <f t="shared" si="5"/>
        <v>0</v>
      </c>
      <c r="G42" s="117">
        <f t="shared" si="5"/>
        <v>0</v>
      </c>
      <c r="H42" s="117">
        <f t="shared" si="5"/>
        <v>0</v>
      </c>
      <c r="I42" s="117">
        <f t="shared" si="5"/>
        <v>0</v>
      </c>
      <c r="J42" s="117">
        <f t="shared" si="5"/>
        <v>0</v>
      </c>
      <c r="K42" s="133">
        <f t="shared" si="5"/>
        <v>0</v>
      </c>
      <c r="L42" s="224"/>
    </row>
    <row r="43" spans="1:12" ht="15.75" thickBot="1" x14ac:dyDescent="0.3">
      <c r="B43" s="80"/>
      <c r="C43" s="81"/>
      <c r="D43" s="82"/>
      <c r="E43" s="83"/>
      <c r="F43" s="49"/>
      <c r="G43" s="83"/>
      <c r="H43" s="83"/>
      <c r="I43" s="83"/>
      <c r="J43" s="83"/>
      <c r="K43" s="82"/>
      <c r="L43" s="140"/>
    </row>
    <row r="44" spans="1:12" ht="15.75" thickBot="1" x14ac:dyDescent="0.3">
      <c r="A44" s="431" t="s">
        <v>653</v>
      </c>
      <c r="B44" s="428" t="s">
        <v>0</v>
      </c>
      <c r="C44" s="428" t="s">
        <v>1</v>
      </c>
      <c r="D44" s="429" t="s">
        <v>645</v>
      </c>
      <c r="E44" s="430" t="s">
        <v>19</v>
      </c>
      <c r="F44" s="430"/>
      <c r="G44" s="430"/>
      <c r="H44" s="430"/>
      <c r="I44" s="430"/>
      <c r="J44" s="424" t="s">
        <v>20</v>
      </c>
      <c r="K44" s="426" t="s">
        <v>598</v>
      </c>
      <c r="L44" s="213"/>
    </row>
    <row r="45" spans="1:12" ht="15.75" thickBot="1" x14ac:dyDescent="0.3">
      <c r="A45" s="432"/>
      <c r="B45" s="428"/>
      <c r="C45" s="428"/>
      <c r="D45" s="429"/>
      <c r="E45" s="54" t="s">
        <v>21</v>
      </c>
      <c r="F45" s="54" t="s">
        <v>596</v>
      </c>
      <c r="G45" s="54" t="s">
        <v>597</v>
      </c>
      <c r="H45" s="54" t="s">
        <v>585</v>
      </c>
      <c r="I45" s="54" t="s">
        <v>597</v>
      </c>
      <c r="J45" s="425"/>
      <c r="K45" s="427"/>
      <c r="L45" s="213"/>
    </row>
    <row r="46" spans="1:12" ht="15.75" thickBot="1" x14ac:dyDescent="0.3">
      <c r="A46" s="433"/>
      <c r="B46" s="110">
        <v>1</v>
      </c>
      <c r="C46" s="110">
        <v>2</v>
      </c>
      <c r="D46" s="110">
        <v>3</v>
      </c>
      <c r="E46" s="56">
        <v>4</v>
      </c>
      <c r="F46" s="56">
        <f>+E46+1</f>
        <v>5</v>
      </c>
      <c r="G46" s="56" t="s">
        <v>648</v>
      </c>
      <c r="H46" s="56">
        <v>7</v>
      </c>
      <c r="I46" s="57" t="s">
        <v>647</v>
      </c>
      <c r="J46" s="33" t="s">
        <v>646</v>
      </c>
      <c r="K46" s="33" t="s">
        <v>649</v>
      </c>
      <c r="L46" s="214"/>
    </row>
    <row r="47" spans="1:12" x14ac:dyDescent="0.25">
      <c r="A47" s="119"/>
      <c r="B47" s="120" t="s">
        <v>694</v>
      </c>
      <c r="C47" s="119"/>
      <c r="D47" s="119"/>
      <c r="E47" s="86"/>
      <c r="F47" s="86"/>
      <c r="G47" s="86"/>
      <c r="H47" s="86"/>
      <c r="I47" s="87"/>
      <c r="J47" s="50"/>
      <c r="K47" s="50"/>
      <c r="L47" s="214"/>
    </row>
    <row r="48" spans="1:12" x14ac:dyDescent="0.25">
      <c r="A48" s="130">
        <v>1</v>
      </c>
      <c r="B48" s="65" t="s">
        <v>728</v>
      </c>
      <c r="C48" s="66">
        <v>6000</v>
      </c>
      <c r="D48" s="121">
        <v>748.19</v>
      </c>
      <c r="E48" s="34">
        <v>0</v>
      </c>
      <c r="F48" s="34"/>
      <c r="G48" s="118">
        <f>+E48+F48</f>
        <v>0</v>
      </c>
      <c r="H48" s="43"/>
      <c r="I48" s="44">
        <f>+G48-H48</f>
        <v>0</v>
      </c>
      <c r="J48" s="44">
        <f>I48*C48</f>
        <v>0</v>
      </c>
      <c r="K48" s="45">
        <f>+D48*I48</f>
        <v>0</v>
      </c>
      <c r="L48" s="215"/>
    </row>
    <row r="49" spans="1:14" x14ac:dyDescent="0.25">
      <c r="A49" s="130">
        <v>2</v>
      </c>
      <c r="B49" s="65" t="s">
        <v>49</v>
      </c>
      <c r="C49" s="66">
        <v>3000</v>
      </c>
      <c r="D49" s="121">
        <v>379.05</v>
      </c>
      <c r="E49" s="34">
        <v>0</v>
      </c>
      <c r="F49" s="34"/>
      <c r="G49" s="118">
        <f>+E49+F49</f>
        <v>0</v>
      </c>
      <c r="H49" s="43">
        <f>4237-4237</f>
        <v>0</v>
      </c>
      <c r="I49" s="44">
        <f>+G49-H49</f>
        <v>0</v>
      </c>
      <c r="J49" s="44">
        <f>I49*C49</f>
        <v>0</v>
      </c>
      <c r="K49" s="45">
        <f>+D49*I49</f>
        <v>0</v>
      </c>
      <c r="L49" s="215"/>
    </row>
    <row r="50" spans="1:14" x14ac:dyDescent="0.25">
      <c r="A50" s="130">
        <v>3</v>
      </c>
      <c r="B50" s="65" t="s">
        <v>768</v>
      </c>
      <c r="C50" s="66">
        <v>5000</v>
      </c>
      <c r="D50" s="121">
        <v>764.96</v>
      </c>
      <c r="E50" s="34">
        <v>0</v>
      </c>
      <c r="F50" s="34"/>
      <c r="G50" s="118">
        <f>+E50+F50</f>
        <v>0</v>
      </c>
      <c r="H50" s="43">
        <f>3752-3752</f>
        <v>0</v>
      </c>
      <c r="I50" s="44">
        <f>+G50-H50</f>
        <v>0</v>
      </c>
      <c r="J50" s="44">
        <f>I50*C50</f>
        <v>0</v>
      </c>
      <c r="K50" s="45">
        <f>+D50*I50</f>
        <v>0</v>
      </c>
      <c r="L50" s="215"/>
    </row>
    <row r="51" spans="1:14" x14ac:dyDescent="0.25">
      <c r="A51" s="130">
        <v>4</v>
      </c>
      <c r="B51" s="65" t="s">
        <v>157</v>
      </c>
      <c r="C51" s="66">
        <v>5000</v>
      </c>
      <c r="D51" s="121">
        <v>764.96</v>
      </c>
      <c r="E51" s="34">
        <v>0</v>
      </c>
      <c r="F51" s="34"/>
      <c r="G51" s="118">
        <f>+E51+F51</f>
        <v>0</v>
      </c>
      <c r="H51" s="43">
        <f>113-113</f>
        <v>0</v>
      </c>
      <c r="I51" s="44">
        <f>+G51-H51</f>
        <v>0</v>
      </c>
      <c r="J51" s="44">
        <f>I51*C51</f>
        <v>0</v>
      </c>
      <c r="K51" s="45">
        <f>+D51*I51</f>
        <v>0</v>
      </c>
      <c r="L51" s="215"/>
    </row>
    <row r="52" spans="1:14" ht="15.75" thickBot="1" x14ac:dyDescent="0.3">
      <c r="A52" s="131">
        <v>5</v>
      </c>
      <c r="B52" s="123" t="s">
        <v>158</v>
      </c>
      <c r="C52" s="68">
        <v>5000</v>
      </c>
      <c r="D52" s="124">
        <v>764.96</v>
      </c>
      <c r="E52" s="132">
        <v>0</v>
      </c>
      <c r="F52" s="132"/>
      <c r="G52" s="126">
        <f>+E52+F52</f>
        <v>0</v>
      </c>
      <c r="H52" s="43">
        <f>379-379</f>
        <v>0</v>
      </c>
      <c r="I52" s="51">
        <f>+G52-H52</f>
        <v>0</v>
      </c>
      <c r="J52" s="51">
        <f>I52*C52</f>
        <v>0</v>
      </c>
      <c r="K52" s="52">
        <f>+D52*I52</f>
        <v>0</v>
      </c>
      <c r="L52" s="215"/>
    </row>
    <row r="53" spans="1:14" ht="15.75" hidden="1" thickBot="1" x14ac:dyDescent="0.3">
      <c r="B53" s="434"/>
      <c r="C53" s="435"/>
      <c r="D53" s="436"/>
      <c r="E53" s="135"/>
      <c r="F53" s="135"/>
      <c r="G53" s="135"/>
      <c r="H53" s="135"/>
      <c r="I53" s="135"/>
      <c r="J53" s="115"/>
      <c r="K53" s="115"/>
      <c r="L53" s="114"/>
    </row>
    <row r="54" spans="1:14" ht="15.75" hidden="1" thickBot="1" x14ac:dyDescent="0.3">
      <c r="B54" s="434"/>
      <c r="C54" s="435"/>
      <c r="D54" s="436"/>
      <c r="E54" s="136"/>
      <c r="F54" s="136"/>
      <c r="G54" s="136"/>
      <c r="H54" s="136"/>
      <c r="I54" s="136"/>
      <c r="J54" s="30"/>
      <c r="K54" s="30"/>
      <c r="L54" s="114"/>
    </row>
    <row r="55" spans="1:14" ht="15.75" hidden="1" thickBot="1" x14ac:dyDescent="0.3">
      <c r="B55" s="434"/>
      <c r="C55" s="113"/>
      <c r="D55" s="114"/>
      <c r="E55" s="137"/>
      <c r="F55" s="137"/>
      <c r="G55" s="137"/>
      <c r="H55" s="137"/>
      <c r="I55" s="137"/>
      <c r="J55" s="112"/>
      <c r="K55" s="112"/>
      <c r="L55" s="114"/>
    </row>
    <row r="56" spans="1:14" ht="15.75" thickBot="1" x14ac:dyDescent="0.3">
      <c r="A56" s="111"/>
      <c r="B56" s="105" t="s">
        <v>695</v>
      </c>
      <c r="C56" s="32"/>
      <c r="D56" s="32"/>
      <c r="E56" s="28">
        <f>SUM(E48:E52)</f>
        <v>0</v>
      </c>
      <c r="F56" s="28"/>
      <c r="G56" s="28">
        <f>SUM(G48:G52)</f>
        <v>0</v>
      </c>
      <c r="H56" s="28">
        <f>SUM(H48:H52)</f>
        <v>0</v>
      </c>
      <c r="I56" s="28">
        <f>SUM(I48:I52)</f>
        <v>0</v>
      </c>
      <c r="J56" s="28">
        <f>SUM(J48:J52)</f>
        <v>0</v>
      </c>
      <c r="K56" s="127">
        <f>SUM(K48:K52)</f>
        <v>0</v>
      </c>
      <c r="L56" s="223"/>
    </row>
    <row r="57" spans="1:14" ht="15.75" thickBot="1" x14ac:dyDescent="0.3">
      <c r="B57" s="80"/>
      <c r="C57" s="81"/>
      <c r="D57" s="82"/>
      <c r="E57" s="83"/>
      <c r="F57" s="49"/>
      <c r="G57" s="83"/>
      <c r="H57" s="83"/>
      <c r="I57" s="83"/>
      <c r="J57" s="83"/>
      <c r="K57" s="82"/>
      <c r="L57" s="140"/>
    </row>
    <row r="58" spans="1:14" ht="15.75" thickBot="1" x14ac:dyDescent="0.3">
      <c r="A58" s="418" t="s">
        <v>653</v>
      </c>
      <c r="B58" s="421" t="s">
        <v>0</v>
      </c>
      <c r="C58" s="421" t="s">
        <v>1</v>
      </c>
      <c r="D58" s="422" t="s">
        <v>645</v>
      </c>
      <c r="E58" s="423" t="s">
        <v>19</v>
      </c>
      <c r="F58" s="423"/>
      <c r="G58" s="423"/>
      <c r="H58" s="423"/>
      <c r="I58" s="423"/>
      <c r="J58" s="416" t="s">
        <v>20</v>
      </c>
      <c r="K58" s="418" t="s">
        <v>598</v>
      </c>
      <c r="L58" s="213"/>
    </row>
    <row r="59" spans="1:14" ht="15.75" thickBot="1" x14ac:dyDescent="0.3">
      <c r="A59" s="420"/>
      <c r="B59" s="421"/>
      <c r="C59" s="421"/>
      <c r="D59" s="422"/>
      <c r="E59" s="272" t="s">
        <v>21</v>
      </c>
      <c r="F59" s="272" t="s">
        <v>596</v>
      </c>
      <c r="G59" s="272" t="s">
        <v>597</v>
      </c>
      <c r="H59" s="272" t="s">
        <v>585</v>
      </c>
      <c r="I59" s="272" t="s">
        <v>597</v>
      </c>
      <c r="J59" s="417"/>
      <c r="K59" s="419"/>
      <c r="L59" s="213"/>
    </row>
    <row r="60" spans="1:14" ht="15.75" thickBot="1" x14ac:dyDescent="0.3">
      <c r="A60" s="419"/>
      <c r="B60" s="273">
        <v>1</v>
      </c>
      <c r="C60" s="273">
        <v>2</v>
      </c>
      <c r="D60" s="273">
        <v>3</v>
      </c>
      <c r="E60" s="274">
        <v>4</v>
      </c>
      <c r="F60" s="274">
        <f>+E60+1</f>
        <v>5</v>
      </c>
      <c r="G60" s="274" t="s">
        <v>648</v>
      </c>
      <c r="H60" s="274">
        <v>7</v>
      </c>
      <c r="I60" s="275" t="s">
        <v>647</v>
      </c>
      <c r="J60" s="287" t="s">
        <v>646</v>
      </c>
      <c r="K60" s="287" t="s">
        <v>649</v>
      </c>
      <c r="L60" s="214"/>
    </row>
    <row r="61" spans="1:14" x14ac:dyDescent="0.25">
      <c r="A61" s="288"/>
      <c r="B61" s="276" t="s">
        <v>696</v>
      </c>
      <c r="C61" s="288"/>
      <c r="D61" s="288"/>
      <c r="E61" s="288"/>
      <c r="F61" s="288"/>
      <c r="G61" s="288"/>
      <c r="H61" s="288"/>
      <c r="I61" s="288"/>
      <c r="J61" s="288"/>
      <c r="K61" s="288"/>
      <c r="L61" s="114"/>
    </row>
    <row r="62" spans="1:14" x14ac:dyDescent="0.25">
      <c r="A62" s="279">
        <v>1</v>
      </c>
      <c r="B62" s="61" t="s">
        <v>769</v>
      </c>
      <c r="C62" s="62">
        <v>6000</v>
      </c>
      <c r="D62" s="316">
        <v>1619.38</v>
      </c>
      <c r="E62" s="62">
        <v>27999</v>
      </c>
      <c r="F62" s="61"/>
      <c r="G62" s="289">
        <f>+E62+F62</f>
        <v>27999</v>
      </c>
      <c r="H62" s="61">
        <f>5000-5000</f>
        <v>0</v>
      </c>
      <c r="I62" s="251">
        <f>+G62-H62</f>
        <v>27999</v>
      </c>
      <c r="J62" s="251">
        <f>I62*C62</f>
        <v>167994000</v>
      </c>
      <c r="K62" s="290">
        <f>+D62*I62</f>
        <v>45341020.620000005</v>
      </c>
      <c r="L62" s="227" t="s">
        <v>1009</v>
      </c>
      <c r="N62" t="s">
        <v>961</v>
      </c>
    </row>
    <row r="63" spans="1:14" x14ac:dyDescent="0.25">
      <c r="A63" s="279">
        <v>2</v>
      </c>
      <c r="B63" s="61" t="s">
        <v>160</v>
      </c>
      <c r="C63" s="62">
        <v>5000</v>
      </c>
      <c r="D63" s="316">
        <v>872.71</v>
      </c>
      <c r="E63" s="62">
        <v>0</v>
      </c>
      <c r="F63" s="61"/>
      <c r="G63" s="289">
        <f>+E63+F63</f>
        <v>0</v>
      </c>
      <c r="H63" s="61">
        <f>1129-1129</f>
        <v>0</v>
      </c>
      <c r="I63" s="251">
        <f>+G63-H63</f>
        <v>0</v>
      </c>
      <c r="J63" s="251">
        <f>I63*C63</f>
        <v>0</v>
      </c>
      <c r="K63" s="290">
        <f>+D63*I63</f>
        <v>0</v>
      </c>
      <c r="L63" s="215"/>
    </row>
    <row r="64" spans="1:14" x14ac:dyDescent="0.25">
      <c r="A64" s="279">
        <v>3</v>
      </c>
      <c r="B64" s="61" t="s">
        <v>161</v>
      </c>
      <c r="C64" s="62">
        <v>5000</v>
      </c>
      <c r="D64" s="316">
        <v>636.86</v>
      </c>
      <c r="E64" s="62">
        <v>0</v>
      </c>
      <c r="F64" s="61"/>
      <c r="G64" s="289">
        <f>+E64+F64</f>
        <v>0</v>
      </c>
      <c r="H64" s="61">
        <f>4230-4230</f>
        <v>0</v>
      </c>
      <c r="I64" s="251">
        <f>+G64-H64</f>
        <v>0</v>
      </c>
      <c r="J64" s="251">
        <f>I64*C64</f>
        <v>0</v>
      </c>
      <c r="K64" s="290">
        <f>+D64*I64</f>
        <v>0</v>
      </c>
      <c r="L64" s="215"/>
    </row>
    <row r="65" spans="1:14" x14ac:dyDescent="0.25">
      <c r="A65" s="279">
        <v>4</v>
      </c>
      <c r="B65" s="61" t="s">
        <v>157</v>
      </c>
      <c r="C65" s="62">
        <v>5000</v>
      </c>
      <c r="D65" s="316">
        <v>636</v>
      </c>
      <c r="E65" s="62">
        <v>0</v>
      </c>
      <c r="F65" s="61"/>
      <c r="G65" s="289">
        <f>+E65+F65</f>
        <v>0</v>
      </c>
      <c r="H65" s="61">
        <f>2017-2017</f>
        <v>0</v>
      </c>
      <c r="I65" s="251">
        <f>+G65-H65</f>
        <v>0</v>
      </c>
      <c r="J65" s="251">
        <f>I65*C65</f>
        <v>0</v>
      </c>
      <c r="K65" s="290">
        <f>+D65*I65</f>
        <v>0</v>
      </c>
      <c r="L65" s="215"/>
    </row>
    <row r="66" spans="1:14" ht="15.75" thickBot="1" x14ac:dyDescent="0.3">
      <c r="A66" s="280">
        <v>5</v>
      </c>
      <c r="B66" s="281" t="s">
        <v>162</v>
      </c>
      <c r="C66" s="282">
        <v>5000</v>
      </c>
      <c r="D66" s="317">
        <v>677.89</v>
      </c>
      <c r="E66" s="282">
        <v>0</v>
      </c>
      <c r="F66" s="281"/>
      <c r="G66" s="295">
        <f>+E66+F66</f>
        <v>0</v>
      </c>
      <c r="H66" s="61">
        <f>1867-1867</f>
        <v>0</v>
      </c>
      <c r="I66" s="322">
        <f>+G66-H66</f>
        <v>0</v>
      </c>
      <c r="J66" s="322">
        <f>I66*C66</f>
        <v>0</v>
      </c>
      <c r="K66" s="323">
        <f>+D66*I66</f>
        <v>0</v>
      </c>
      <c r="L66" s="215"/>
    </row>
    <row r="67" spans="1:14" ht="15.75" thickBot="1" x14ac:dyDescent="0.3">
      <c r="A67" s="313"/>
      <c r="B67" s="96" t="s">
        <v>697</v>
      </c>
      <c r="C67" s="296"/>
      <c r="D67" s="296"/>
      <c r="E67" s="97">
        <f>SUM(E62:E66)</f>
        <v>27999</v>
      </c>
      <c r="F67" s="296"/>
      <c r="G67" s="97">
        <f>SUM(G62:G66)</f>
        <v>27999</v>
      </c>
      <c r="H67" s="97">
        <f>SUM(H62:H66)</f>
        <v>0</v>
      </c>
      <c r="I67" s="97">
        <f>SUM(I62:I66)</f>
        <v>27999</v>
      </c>
      <c r="J67" s="97">
        <f>SUM(J62:J66)</f>
        <v>167994000</v>
      </c>
      <c r="K67" s="297">
        <f>SUM(K62:K66)</f>
        <v>45341020.620000005</v>
      </c>
      <c r="L67" s="151"/>
    </row>
    <row r="68" spans="1:14" ht="15.75" thickBot="1" x14ac:dyDescent="0.3">
      <c r="A68" s="298"/>
      <c r="B68" s="80"/>
      <c r="C68" s="81"/>
      <c r="D68" s="82"/>
      <c r="E68" s="83"/>
      <c r="F68" s="80"/>
      <c r="G68" s="83"/>
      <c r="H68" s="83"/>
      <c r="I68" s="83"/>
      <c r="J68" s="83"/>
      <c r="K68" s="82"/>
      <c r="L68" s="140"/>
    </row>
    <row r="69" spans="1:14" ht="15.75" thickBot="1" x14ac:dyDescent="0.3">
      <c r="A69" s="418" t="s">
        <v>653</v>
      </c>
      <c r="B69" s="421" t="s">
        <v>0</v>
      </c>
      <c r="C69" s="421" t="s">
        <v>1</v>
      </c>
      <c r="D69" s="422" t="s">
        <v>645</v>
      </c>
      <c r="E69" s="423" t="s">
        <v>19</v>
      </c>
      <c r="F69" s="423"/>
      <c r="G69" s="423"/>
      <c r="H69" s="423"/>
      <c r="I69" s="423"/>
      <c r="J69" s="416" t="s">
        <v>20</v>
      </c>
      <c r="K69" s="418" t="s">
        <v>598</v>
      </c>
      <c r="L69" s="213"/>
    </row>
    <row r="70" spans="1:14" ht="15.75" thickBot="1" x14ac:dyDescent="0.3">
      <c r="A70" s="420"/>
      <c r="B70" s="421"/>
      <c r="C70" s="421"/>
      <c r="D70" s="422"/>
      <c r="E70" s="272" t="s">
        <v>21</v>
      </c>
      <c r="F70" s="272" t="s">
        <v>596</v>
      </c>
      <c r="G70" s="272" t="s">
        <v>597</v>
      </c>
      <c r="H70" s="272" t="s">
        <v>585</v>
      </c>
      <c r="I70" s="272" t="s">
        <v>597</v>
      </c>
      <c r="J70" s="417"/>
      <c r="K70" s="419"/>
      <c r="L70" s="213"/>
    </row>
    <row r="71" spans="1:14" ht="15.75" thickBot="1" x14ac:dyDescent="0.3">
      <c r="A71" s="419"/>
      <c r="B71" s="273">
        <v>1</v>
      </c>
      <c r="C71" s="273">
        <v>2</v>
      </c>
      <c r="D71" s="273">
        <v>3</v>
      </c>
      <c r="E71" s="274">
        <v>4</v>
      </c>
      <c r="F71" s="274">
        <f>+E71+1</f>
        <v>5</v>
      </c>
      <c r="G71" s="274" t="s">
        <v>648</v>
      </c>
      <c r="H71" s="274">
        <v>7</v>
      </c>
      <c r="I71" s="275" t="s">
        <v>647</v>
      </c>
      <c r="J71" s="287" t="s">
        <v>646</v>
      </c>
      <c r="K71" s="287" t="s">
        <v>649</v>
      </c>
      <c r="L71" s="214"/>
    </row>
    <row r="72" spans="1:14" x14ac:dyDescent="0.25">
      <c r="A72" s="288"/>
      <c r="B72" s="276" t="s">
        <v>699</v>
      </c>
      <c r="C72" s="288"/>
      <c r="D72" s="288"/>
      <c r="E72" s="288"/>
      <c r="F72" s="288"/>
      <c r="G72" s="288"/>
      <c r="H72" s="288"/>
      <c r="I72" s="288"/>
      <c r="J72" s="288"/>
      <c r="K72" s="288"/>
      <c r="L72" s="114"/>
    </row>
    <row r="73" spans="1:14" x14ac:dyDescent="0.25">
      <c r="A73" s="279">
        <v>1</v>
      </c>
      <c r="B73" s="61" t="s">
        <v>163</v>
      </c>
      <c r="C73" s="62">
        <v>5000</v>
      </c>
      <c r="D73" s="316">
        <v>920.06</v>
      </c>
      <c r="E73" s="62">
        <v>19000</v>
      </c>
      <c r="F73" s="62"/>
      <c r="G73" s="289">
        <f t="shared" ref="G73:G78" si="6">+E73+F73</f>
        <v>19000</v>
      </c>
      <c r="H73" s="61">
        <f>5000-5000+999-999</f>
        <v>0</v>
      </c>
      <c r="I73" s="251">
        <f t="shared" ref="I73:I78" si="7">+G73-H73</f>
        <v>19000</v>
      </c>
      <c r="J73" s="251">
        <f t="shared" ref="J73:J78" si="8">I73*C73</f>
        <v>95000000</v>
      </c>
      <c r="K73" s="290">
        <f t="shared" ref="K73:K78" si="9">+D73*I73</f>
        <v>17481140</v>
      </c>
      <c r="L73" s="227" t="s">
        <v>1008</v>
      </c>
      <c r="N73" t="s">
        <v>961</v>
      </c>
    </row>
    <row r="74" spans="1:14" x14ac:dyDescent="0.25">
      <c r="A74" s="279">
        <v>2</v>
      </c>
      <c r="B74" s="61" t="s">
        <v>164</v>
      </c>
      <c r="C74" s="62">
        <v>10000</v>
      </c>
      <c r="D74" s="316">
        <v>806.73</v>
      </c>
      <c r="E74" s="62">
        <v>0</v>
      </c>
      <c r="F74" s="62"/>
      <c r="G74" s="289">
        <f t="shared" si="6"/>
        <v>0</v>
      </c>
      <c r="H74" s="61">
        <f>8627-8627</f>
        <v>0</v>
      </c>
      <c r="I74" s="251">
        <f t="shared" si="7"/>
        <v>0</v>
      </c>
      <c r="J74" s="251">
        <f t="shared" si="8"/>
        <v>0</v>
      </c>
      <c r="K74" s="290">
        <f t="shared" si="9"/>
        <v>0</v>
      </c>
      <c r="L74" s="215"/>
    </row>
    <row r="75" spans="1:14" x14ac:dyDescent="0.25">
      <c r="A75" s="279">
        <v>3</v>
      </c>
      <c r="B75" s="61" t="s">
        <v>165</v>
      </c>
      <c r="C75" s="62">
        <v>10000</v>
      </c>
      <c r="D75" s="316">
        <v>715</v>
      </c>
      <c r="E75" s="62">
        <v>0</v>
      </c>
      <c r="F75" s="62"/>
      <c r="G75" s="289">
        <f t="shared" si="6"/>
        <v>0</v>
      </c>
      <c r="H75" s="61">
        <f>594-594</f>
        <v>0</v>
      </c>
      <c r="I75" s="251">
        <f t="shared" si="7"/>
        <v>0</v>
      </c>
      <c r="J75" s="251">
        <f t="shared" si="8"/>
        <v>0</v>
      </c>
      <c r="K75" s="290">
        <f t="shared" si="9"/>
        <v>0</v>
      </c>
      <c r="L75" s="215"/>
    </row>
    <row r="76" spans="1:14" x14ac:dyDescent="0.25">
      <c r="A76" s="279">
        <v>4</v>
      </c>
      <c r="B76" s="61" t="s">
        <v>166</v>
      </c>
      <c r="C76" s="62">
        <v>100000</v>
      </c>
      <c r="D76" s="316">
        <v>3237.85</v>
      </c>
      <c r="E76" s="62">
        <v>0</v>
      </c>
      <c r="F76" s="62"/>
      <c r="G76" s="289">
        <f t="shared" si="6"/>
        <v>0</v>
      </c>
      <c r="H76" s="61">
        <f>300-300</f>
        <v>0</v>
      </c>
      <c r="I76" s="251">
        <f t="shared" si="7"/>
        <v>0</v>
      </c>
      <c r="J76" s="251">
        <f t="shared" si="8"/>
        <v>0</v>
      </c>
      <c r="K76" s="290">
        <f t="shared" si="9"/>
        <v>0</v>
      </c>
      <c r="L76" s="215"/>
    </row>
    <row r="77" spans="1:14" x14ac:dyDescent="0.25">
      <c r="A77" s="279">
        <v>5</v>
      </c>
      <c r="B77" s="61" t="s">
        <v>167</v>
      </c>
      <c r="C77" s="62">
        <v>25000</v>
      </c>
      <c r="D77" s="316">
        <f>820.1*5</f>
        <v>4100.5</v>
      </c>
      <c r="E77" s="62">
        <v>0</v>
      </c>
      <c r="F77" s="62"/>
      <c r="G77" s="289">
        <f t="shared" si="6"/>
        <v>0</v>
      </c>
      <c r="H77" s="61">
        <f>2483-2483</f>
        <v>0</v>
      </c>
      <c r="I77" s="251">
        <f t="shared" si="7"/>
        <v>0</v>
      </c>
      <c r="J77" s="251">
        <f t="shared" si="8"/>
        <v>0</v>
      </c>
      <c r="K77" s="290">
        <f t="shared" si="9"/>
        <v>0</v>
      </c>
      <c r="L77" s="215"/>
    </row>
    <row r="78" spans="1:14" ht="15.75" thickBot="1" x14ac:dyDescent="0.3">
      <c r="A78" s="280">
        <v>6</v>
      </c>
      <c r="B78" s="281" t="s">
        <v>167</v>
      </c>
      <c r="C78" s="282">
        <v>5000</v>
      </c>
      <c r="D78" s="317">
        <v>820.1</v>
      </c>
      <c r="E78" s="282">
        <v>0</v>
      </c>
      <c r="F78" s="282"/>
      <c r="G78" s="289">
        <f t="shared" si="6"/>
        <v>0</v>
      </c>
      <c r="H78" s="61">
        <f>483-483</f>
        <v>0</v>
      </c>
      <c r="I78" s="251">
        <f t="shared" si="7"/>
        <v>0</v>
      </c>
      <c r="J78" s="251">
        <f t="shared" si="8"/>
        <v>0</v>
      </c>
      <c r="K78" s="290">
        <f t="shared" si="9"/>
        <v>0</v>
      </c>
      <c r="L78" s="215"/>
    </row>
    <row r="79" spans="1:14" ht="15.75" thickBot="1" x14ac:dyDescent="0.3">
      <c r="A79" s="313"/>
      <c r="B79" s="96" t="s">
        <v>698</v>
      </c>
      <c r="C79" s="296"/>
      <c r="D79" s="97"/>
      <c r="E79" s="97">
        <f>SUM(E73:E78)</f>
        <v>19000</v>
      </c>
      <c r="F79" s="296"/>
      <c r="G79" s="97">
        <f>SUM(G73:G78)</f>
        <v>19000</v>
      </c>
      <c r="H79" s="97">
        <f>SUM(H73:H78)</f>
        <v>0</v>
      </c>
      <c r="I79" s="97">
        <f>SUM(I73:I78)</f>
        <v>19000</v>
      </c>
      <c r="J79" s="97">
        <f>SUM(J73:J78)</f>
        <v>95000000</v>
      </c>
      <c r="K79" s="297">
        <f>SUM(K73:K78)</f>
        <v>17481140</v>
      </c>
      <c r="L79" s="151"/>
    </row>
    <row r="80" spans="1:14" ht="15.75" thickBot="1" x14ac:dyDescent="0.3">
      <c r="A80" s="298"/>
      <c r="B80" s="80"/>
      <c r="C80" s="81"/>
      <c r="D80" s="82"/>
      <c r="E80" s="83"/>
      <c r="F80" s="80"/>
      <c r="G80" s="83"/>
      <c r="H80" s="83"/>
      <c r="I80" s="83"/>
      <c r="J80" s="83"/>
      <c r="K80" s="82"/>
      <c r="L80" s="140"/>
    </row>
    <row r="81" spans="1:13" ht="15.75" thickBot="1" x14ac:dyDescent="0.3">
      <c r="A81" s="418" t="s">
        <v>653</v>
      </c>
      <c r="B81" s="421" t="s">
        <v>0</v>
      </c>
      <c r="C81" s="421" t="s">
        <v>1</v>
      </c>
      <c r="D81" s="422" t="s">
        <v>645</v>
      </c>
      <c r="E81" s="423" t="s">
        <v>19</v>
      </c>
      <c r="F81" s="423"/>
      <c r="G81" s="423"/>
      <c r="H81" s="423"/>
      <c r="I81" s="423"/>
      <c r="J81" s="416" t="s">
        <v>20</v>
      </c>
      <c r="K81" s="418" t="s">
        <v>598</v>
      </c>
      <c r="L81" s="213"/>
    </row>
    <row r="82" spans="1:13" ht="15.75" thickBot="1" x14ac:dyDescent="0.3">
      <c r="A82" s="420"/>
      <c r="B82" s="421"/>
      <c r="C82" s="421"/>
      <c r="D82" s="422"/>
      <c r="E82" s="272" t="s">
        <v>21</v>
      </c>
      <c r="F82" s="272" t="s">
        <v>596</v>
      </c>
      <c r="G82" s="272" t="s">
        <v>597</v>
      </c>
      <c r="H82" s="272" t="s">
        <v>585</v>
      </c>
      <c r="I82" s="272" t="s">
        <v>597</v>
      </c>
      <c r="J82" s="417"/>
      <c r="K82" s="419"/>
      <c r="L82" s="213"/>
    </row>
    <row r="83" spans="1:13" ht="15.75" thickBot="1" x14ac:dyDescent="0.3">
      <c r="A83" s="419"/>
      <c r="B83" s="273">
        <v>1</v>
      </c>
      <c r="C83" s="273">
        <v>2</v>
      </c>
      <c r="D83" s="273">
        <v>3</v>
      </c>
      <c r="E83" s="274">
        <v>4</v>
      </c>
      <c r="F83" s="274">
        <f>+E83+1</f>
        <v>5</v>
      </c>
      <c r="G83" s="274" t="s">
        <v>648</v>
      </c>
      <c r="H83" s="274">
        <v>7</v>
      </c>
      <c r="I83" s="275" t="s">
        <v>647</v>
      </c>
      <c r="J83" s="287" t="s">
        <v>646</v>
      </c>
      <c r="K83" s="287" t="s">
        <v>649</v>
      </c>
      <c r="L83" s="214"/>
    </row>
    <row r="84" spans="1:13" x14ac:dyDescent="0.25">
      <c r="A84" s="288"/>
      <c r="B84" s="276" t="s">
        <v>700</v>
      </c>
      <c r="C84" s="288"/>
      <c r="D84" s="288"/>
      <c r="E84" s="288"/>
      <c r="F84" s="288"/>
      <c r="G84" s="288"/>
      <c r="H84" s="288"/>
      <c r="I84" s="288"/>
      <c r="J84" s="288"/>
      <c r="K84" s="288"/>
      <c r="L84" s="114"/>
    </row>
    <row r="85" spans="1:13" x14ac:dyDescent="0.25">
      <c r="A85" s="279">
        <v>1</v>
      </c>
      <c r="B85" s="61" t="s">
        <v>168</v>
      </c>
      <c r="C85" s="62">
        <v>5000</v>
      </c>
      <c r="D85" s="316">
        <v>600.29999999999995</v>
      </c>
      <c r="E85" s="62">
        <v>0</v>
      </c>
      <c r="F85" s="62"/>
      <c r="G85" s="289">
        <f t="shared" ref="G85:G91" si="10">+E85+F85</f>
        <v>0</v>
      </c>
      <c r="H85" s="61"/>
      <c r="I85" s="251">
        <f t="shared" ref="I85:I91" si="11">+G85-H85</f>
        <v>0</v>
      </c>
      <c r="J85" s="251">
        <f t="shared" ref="J85:J91" si="12">I85*C85</f>
        <v>0</v>
      </c>
      <c r="K85" s="290">
        <f t="shared" ref="K85:K91" si="13">+D85*I85</f>
        <v>0</v>
      </c>
      <c r="L85" s="215"/>
    </row>
    <row r="86" spans="1:13" x14ac:dyDescent="0.25">
      <c r="A86" s="279">
        <v>2</v>
      </c>
      <c r="B86" s="61" t="s">
        <v>169</v>
      </c>
      <c r="C86" s="62">
        <v>5000</v>
      </c>
      <c r="D86" s="316">
        <v>582.69000000000005</v>
      </c>
      <c r="E86" s="62">
        <v>0</v>
      </c>
      <c r="F86" s="62"/>
      <c r="G86" s="289">
        <f t="shared" si="10"/>
        <v>0</v>
      </c>
      <c r="H86" s="61">
        <f>700-700</f>
        <v>0</v>
      </c>
      <c r="I86" s="251">
        <f t="shared" si="11"/>
        <v>0</v>
      </c>
      <c r="J86" s="251">
        <f t="shared" si="12"/>
        <v>0</v>
      </c>
      <c r="K86" s="290">
        <f t="shared" si="13"/>
        <v>0</v>
      </c>
      <c r="L86" s="215"/>
    </row>
    <row r="87" spans="1:13" x14ac:dyDescent="0.25">
      <c r="A87" s="279">
        <v>3</v>
      </c>
      <c r="B87" s="61" t="s">
        <v>170</v>
      </c>
      <c r="C87" s="62">
        <v>5000</v>
      </c>
      <c r="D87" s="316">
        <v>582.69000000000005</v>
      </c>
      <c r="E87" s="62">
        <v>0</v>
      </c>
      <c r="F87" s="62"/>
      <c r="G87" s="289">
        <f t="shared" si="10"/>
        <v>0</v>
      </c>
      <c r="H87" s="61">
        <f>700-700</f>
        <v>0</v>
      </c>
      <c r="I87" s="251">
        <f t="shared" si="11"/>
        <v>0</v>
      </c>
      <c r="J87" s="251">
        <f t="shared" si="12"/>
        <v>0</v>
      </c>
      <c r="K87" s="290">
        <f t="shared" si="13"/>
        <v>0</v>
      </c>
      <c r="L87" s="215"/>
    </row>
    <row r="88" spans="1:13" x14ac:dyDescent="0.25">
      <c r="A88" s="279">
        <v>4</v>
      </c>
      <c r="B88" s="61" t="s">
        <v>171</v>
      </c>
      <c r="C88" s="62">
        <v>5000</v>
      </c>
      <c r="D88" s="316">
        <v>539.53</v>
      </c>
      <c r="E88" s="62">
        <v>0</v>
      </c>
      <c r="F88" s="62"/>
      <c r="G88" s="289">
        <f t="shared" si="10"/>
        <v>0</v>
      </c>
      <c r="H88" s="61">
        <f>3485-3485+200-200</f>
        <v>0</v>
      </c>
      <c r="I88" s="251">
        <f t="shared" si="11"/>
        <v>0</v>
      </c>
      <c r="J88" s="251">
        <f t="shared" si="12"/>
        <v>0</v>
      </c>
      <c r="K88" s="290">
        <f t="shared" si="13"/>
        <v>0</v>
      </c>
      <c r="L88" s="215"/>
      <c r="M88" t="s">
        <v>930</v>
      </c>
    </row>
    <row r="89" spans="1:13" x14ac:dyDescent="0.25">
      <c r="A89" s="279">
        <v>5</v>
      </c>
      <c r="B89" s="61" t="s">
        <v>172</v>
      </c>
      <c r="C89" s="62">
        <v>5000</v>
      </c>
      <c r="D89" s="316">
        <v>735.57</v>
      </c>
      <c r="E89" s="62">
        <v>0</v>
      </c>
      <c r="F89" s="62"/>
      <c r="G89" s="289">
        <f t="shared" si="10"/>
        <v>0</v>
      </c>
      <c r="H89" s="61">
        <f>9355-9355</f>
        <v>0</v>
      </c>
      <c r="I89" s="251">
        <f t="shared" si="11"/>
        <v>0</v>
      </c>
      <c r="J89" s="251">
        <f t="shared" si="12"/>
        <v>0</v>
      </c>
      <c r="K89" s="290">
        <f t="shared" si="13"/>
        <v>0</v>
      </c>
      <c r="L89" s="215"/>
    </row>
    <row r="90" spans="1:13" x14ac:dyDescent="0.25">
      <c r="A90" s="279">
        <v>6</v>
      </c>
      <c r="B90" s="61" t="s">
        <v>173</v>
      </c>
      <c r="C90" s="62">
        <v>5000</v>
      </c>
      <c r="D90" s="316">
        <v>634.70000000000005</v>
      </c>
      <c r="E90" s="62">
        <v>0</v>
      </c>
      <c r="F90" s="62"/>
      <c r="G90" s="289">
        <f t="shared" si="10"/>
        <v>0</v>
      </c>
      <c r="H90" s="61">
        <f>6920-6920</f>
        <v>0</v>
      </c>
      <c r="I90" s="251">
        <f t="shared" si="11"/>
        <v>0</v>
      </c>
      <c r="J90" s="251">
        <f t="shared" si="12"/>
        <v>0</v>
      </c>
      <c r="K90" s="290">
        <f t="shared" si="13"/>
        <v>0</v>
      </c>
      <c r="L90" s="215"/>
    </row>
    <row r="91" spans="1:13" ht="15.75" thickBot="1" x14ac:dyDescent="0.3">
      <c r="A91" s="280">
        <v>7</v>
      </c>
      <c r="B91" s="281" t="s">
        <v>174</v>
      </c>
      <c r="C91" s="282">
        <v>5000</v>
      </c>
      <c r="D91" s="317">
        <v>807.02</v>
      </c>
      <c r="E91" s="282">
        <v>0</v>
      </c>
      <c r="F91" s="282"/>
      <c r="G91" s="295">
        <f t="shared" si="10"/>
        <v>0</v>
      </c>
      <c r="H91" s="61">
        <f>525-525</f>
        <v>0</v>
      </c>
      <c r="I91" s="322">
        <f t="shared" si="11"/>
        <v>0</v>
      </c>
      <c r="J91" s="322">
        <f t="shared" si="12"/>
        <v>0</v>
      </c>
      <c r="K91" s="323">
        <f t="shared" si="13"/>
        <v>0</v>
      </c>
      <c r="L91" s="215"/>
    </row>
    <row r="92" spans="1:13" ht="15.75" thickBot="1" x14ac:dyDescent="0.3">
      <c r="A92" s="313"/>
      <c r="B92" s="96" t="s">
        <v>701</v>
      </c>
      <c r="C92" s="296"/>
      <c r="D92" s="97"/>
      <c r="E92" s="97">
        <f t="shared" ref="E92:K92" si="14">SUM(E85:E91)</f>
        <v>0</v>
      </c>
      <c r="F92" s="97">
        <f t="shared" si="14"/>
        <v>0</v>
      </c>
      <c r="G92" s="97">
        <f t="shared" si="14"/>
        <v>0</v>
      </c>
      <c r="H92" s="97">
        <f t="shared" si="14"/>
        <v>0</v>
      </c>
      <c r="I92" s="97">
        <f t="shared" si="14"/>
        <v>0</v>
      </c>
      <c r="J92" s="97">
        <f t="shared" si="14"/>
        <v>0</v>
      </c>
      <c r="K92" s="297">
        <f t="shared" si="14"/>
        <v>0</v>
      </c>
      <c r="L92" s="151"/>
    </row>
    <row r="93" spans="1:13" ht="15.75" thickBot="1" x14ac:dyDescent="0.3">
      <c r="A93" s="298"/>
      <c r="B93" s="80"/>
      <c r="C93" s="81"/>
      <c r="D93" s="82"/>
      <c r="E93" s="83"/>
      <c r="F93" s="80"/>
      <c r="G93" s="83"/>
      <c r="H93" s="83"/>
      <c r="I93" s="83"/>
      <c r="J93" s="83"/>
      <c r="K93" s="82"/>
      <c r="L93" s="140"/>
    </row>
    <row r="94" spans="1:13" ht="15.75" thickBot="1" x14ac:dyDescent="0.3">
      <c r="A94" s="418" t="s">
        <v>653</v>
      </c>
      <c r="B94" s="421" t="s">
        <v>0</v>
      </c>
      <c r="C94" s="421" t="s">
        <v>1</v>
      </c>
      <c r="D94" s="422" t="s">
        <v>645</v>
      </c>
      <c r="E94" s="423" t="s">
        <v>19</v>
      </c>
      <c r="F94" s="423"/>
      <c r="G94" s="423"/>
      <c r="H94" s="423"/>
      <c r="I94" s="423"/>
      <c r="J94" s="416" t="s">
        <v>20</v>
      </c>
      <c r="K94" s="418" t="s">
        <v>598</v>
      </c>
      <c r="L94" s="213"/>
    </row>
    <row r="95" spans="1:13" ht="15.75" thickBot="1" x14ac:dyDescent="0.3">
      <c r="A95" s="420"/>
      <c r="B95" s="421"/>
      <c r="C95" s="421"/>
      <c r="D95" s="422"/>
      <c r="E95" s="272" t="s">
        <v>21</v>
      </c>
      <c r="F95" s="272" t="s">
        <v>596</v>
      </c>
      <c r="G95" s="272" t="s">
        <v>597</v>
      </c>
      <c r="H95" s="272" t="s">
        <v>585</v>
      </c>
      <c r="I95" s="272" t="s">
        <v>597</v>
      </c>
      <c r="J95" s="417"/>
      <c r="K95" s="419"/>
      <c r="L95" s="213"/>
    </row>
    <row r="96" spans="1:13" ht="15.75" thickBot="1" x14ac:dyDescent="0.3">
      <c r="A96" s="419"/>
      <c r="B96" s="273">
        <v>1</v>
      </c>
      <c r="C96" s="273">
        <v>2</v>
      </c>
      <c r="D96" s="273">
        <v>3</v>
      </c>
      <c r="E96" s="274">
        <v>4</v>
      </c>
      <c r="F96" s="274">
        <f>+E96+1</f>
        <v>5</v>
      </c>
      <c r="G96" s="274" t="s">
        <v>648</v>
      </c>
      <c r="H96" s="274">
        <v>7</v>
      </c>
      <c r="I96" s="275" t="s">
        <v>647</v>
      </c>
      <c r="J96" s="287" t="s">
        <v>646</v>
      </c>
      <c r="K96" s="287" t="s">
        <v>649</v>
      </c>
      <c r="L96" s="214"/>
    </row>
    <row r="97" spans="1:13" x14ac:dyDescent="0.25">
      <c r="A97" s="288"/>
      <c r="B97" s="276" t="s">
        <v>702</v>
      </c>
      <c r="C97" s="288"/>
      <c r="D97" s="288"/>
      <c r="E97" s="288"/>
      <c r="F97" s="288"/>
      <c r="G97" s="288"/>
      <c r="H97" s="288"/>
      <c r="I97" s="288"/>
      <c r="J97" s="288"/>
      <c r="K97" s="288"/>
      <c r="L97" s="114"/>
    </row>
    <row r="98" spans="1:13" x14ac:dyDescent="0.25">
      <c r="A98" s="279">
        <v>1</v>
      </c>
      <c r="B98" s="61" t="s">
        <v>867</v>
      </c>
      <c r="C98" s="62">
        <v>20000</v>
      </c>
      <c r="D98" s="316">
        <v>1728.55</v>
      </c>
      <c r="E98" s="62">
        <v>0</v>
      </c>
      <c r="F98" s="61"/>
      <c r="G98" s="289">
        <f t="shared" ref="G98:G104" si="15">+E98+F98</f>
        <v>0</v>
      </c>
      <c r="H98" s="61">
        <f>225-225</f>
        <v>0</v>
      </c>
      <c r="I98" s="251">
        <f t="shared" ref="I98:I104" si="16">+G98-H98</f>
        <v>0</v>
      </c>
      <c r="J98" s="251">
        <f t="shared" ref="J98:J104" si="17">I98*C98</f>
        <v>0</v>
      </c>
      <c r="K98" s="290">
        <f t="shared" ref="K98:K104" si="18">+D98*I98</f>
        <v>0</v>
      </c>
      <c r="L98" s="215"/>
    </row>
    <row r="99" spans="1:13" x14ac:dyDescent="0.25">
      <c r="A99" s="279">
        <v>2</v>
      </c>
      <c r="B99" s="61" t="s">
        <v>175</v>
      </c>
      <c r="C99" s="62">
        <v>5000</v>
      </c>
      <c r="D99" s="316">
        <v>138.94999999999999</v>
      </c>
      <c r="E99" s="62">
        <v>0</v>
      </c>
      <c r="F99" s="61"/>
      <c r="G99" s="289">
        <f t="shared" si="15"/>
        <v>0</v>
      </c>
      <c r="H99" s="61">
        <f>200-200</f>
        <v>0</v>
      </c>
      <c r="I99" s="251">
        <f t="shared" si="16"/>
        <v>0</v>
      </c>
      <c r="J99" s="251">
        <f t="shared" si="17"/>
        <v>0</v>
      </c>
      <c r="K99" s="290">
        <f t="shared" si="18"/>
        <v>0</v>
      </c>
      <c r="L99" s="215"/>
    </row>
    <row r="100" spans="1:13" x14ac:dyDescent="0.25">
      <c r="A100" s="279">
        <v>3</v>
      </c>
      <c r="B100" s="61" t="s">
        <v>176</v>
      </c>
      <c r="C100" s="62">
        <v>10000</v>
      </c>
      <c r="D100" s="316">
        <v>933.37</v>
      </c>
      <c r="E100" s="62">
        <v>0</v>
      </c>
      <c r="F100" s="61"/>
      <c r="G100" s="289">
        <f t="shared" si="15"/>
        <v>0</v>
      </c>
      <c r="H100" s="61">
        <f>3500-3500</f>
        <v>0</v>
      </c>
      <c r="I100" s="251">
        <f t="shared" si="16"/>
        <v>0</v>
      </c>
      <c r="J100" s="251">
        <f t="shared" si="17"/>
        <v>0</v>
      </c>
      <c r="K100" s="290">
        <f t="shared" si="18"/>
        <v>0</v>
      </c>
      <c r="L100" s="215"/>
    </row>
    <row r="101" spans="1:13" x14ac:dyDescent="0.25">
      <c r="A101" s="279">
        <v>4</v>
      </c>
      <c r="B101" s="61" t="s">
        <v>177</v>
      </c>
      <c r="C101" s="62">
        <v>5000</v>
      </c>
      <c r="D101" s="316">
        <v>423.66</v>
      </c>
      <c r="E101" s="62">
        <v>0</v>
      </c>
      <c r="F101" s="61"/>
      <c r="G101" s="289">
        <f t="shared" si="15"/>
        <v>0</v>
      </c>
      <c r="H101" s="61">
        <f>475-475</f>
        <v>0</v>
      </c>
      <c r="I101" s="251">
        <f t="shared" si="16"/>
        <v>0</v>
      </c>
      <c r="J101" s="251">
        <f t="shared" si="17"/>
        <v>0</v>
      </c>
      <c r="K101" s="290">
        <f t="shared" si="18"/>
        <v>0</v>
      </c>
      <c r="L101" s="215"/>
      <c r="M101" t="s">
        <v>931</v>
      </c>
    </row>
    <row r="102" spans="1:13" x14ac:dyDescent="0.25">
      <c r="A102" s="279">
        <v>5</v>
      </c>
      <c r="B102" s="61" t="s">
        <v>866</v>
      </c>
      <c r="C102" s="62">
        <v>5000</v>
      </c>
      <c r="D102" s="316">
        <v>1728.55</v>
      </c>
      <c r="E102" s="62">
        <v>0</v>
      </c>
      <c r="F102" s="61"/>
      <c r="G102" s="289">
        <f t="shared" si="15"/>
        <v>0</v>
      </c>
      <c r="H102" s="61">
        <f>800-800</f>
        <v>0</v>
      </c>
      <c r="I102" s="251">
        <f t="shared" si="16"/>
        <v>0</v>
      </c>
      <c r="J102" s="251">
        <f t="shared" si="17"/>
        <v>0</v>
      </c>
      <c r="K102" s="290">
        <f t="shared" si="18"/>
        <v>0</v>
      </c>
      <c r="L102" s="215"/>
      <c r="M102" s="152"/>
    </row>
    <row r="103" spans="1:13" x14ac:dyDescent="0.25">
      <c r="A103" s="279">
        <v>6</v>
      </c>
      <c r="B103" s="61" t="s">
        <v>178</v>
      </c>
      <c r="C103" s="62">
        <v>10000</v>
      </c>
      <c r="D103" s="316">
        <v>1049.3699999999999</v>
      </c>
      <c r="E103" s="62">
        <v>0</v>
      </c>
      <c r="F103" s="61"/>
      <c r="G103" s="289">
        <f t="shared" si="15"/>
        <v>0</v>
      </c>
      <c r="H103" s="61">
        <f>2000-2000</f>
        <v>0</v>
      </c>
      <c r="I103" s="251">
        <f t="shared" si="16"/>
        <v>0</v>
      </c>
      <c r="J103" s="251">
        <f t="shared" si="17"/>
        <v>0</v>
      </c>
      <c r="K103" s="290">
        <f t="shared" si="18"/>
        <v>0</v>
      </c>
      <c r="L103" s="215"/>
    </row>
    <row r="104" spans="1:13" ht="15.75" thickBot="1" x14ac:dyDescent="0.3">
      <c r="A104" s="280">
        <v>7</v>
      </c>
      <c r="B104" s="281" t="s">
        <v>179</v>
      </c>
      <c r="C104" s="282">
        <v>10000</v>
      </c>
      <c r="D104" s="317">
        <v>1001.07</v>
      </c>
      <c r="E104" s="282">
        <v>0</v>
      </c>
      <c r="F104" s="281"/>
      <c r="G104" s="295">
        <f t="shared" si="15"/>
        <v>0</v>
      </c>
      <c r="H104" s="61">
        <f>7975-7975</f>
        <v>0</v>
      </c>
      <c r="I104" s="322">
        <f t="shared" si="16"/>
        <v>0</v>
      </c>
      <c r="J104" s="322">
        <f t="shared" si="17"/>
        <v>0</v>
      </c>
      <c r="K104" s="323">
        <f t="shared" si="18"/>
        <v>0</v>
      </c>
      <c r="L104" s="215"/>
    </row>
    <row r="105" spans="1:13" ht="15.75" thickBot="1" x14ac:dyDescent="0.3">
      <c r="A105" s="313"/>
      <c r="B105" s="96" t="s">
        <v>703</v>
      </c>
      <c r="C105" s="296"/>
      <c r="D105" s="296"/>
      <c r="E105" s="97">
        <f t="shared" ref="E105:K105" si="19">SUM(E98:E104)</f>
        <v>0</v>
      </c>
      <c r="F105" s="97">
        <f t="shared" si="19"/>
        <v>0</v>
      </c>
      <c r="G105" s="97">
        <f t="shared" si="19"/>
        <v>0</v>
      </c>
      <c r="H105" s="97">
        <f t="shared" si="19"/>
        <v>0</v>
      </c>
      <c r="I105" s="97">
        <f t="shared" si="19"/>
        <v>0</v>
      </c>
      <c r="J105" s="97">
        <f t="shared" si="19"/>
        <v>0</v>
      </c>
      <c r="K105" s="297">
        <f t="shared" si="19"/>
        <v>0</v>
      </c>
      <c r="L105" s="151"/>
    </row>
    <row r="106" spans="1:13" x14ac:dyDescent="0.25">
      <c r="A106" s="298"/>
      <c r="B106" s="138"/>
      <c r="C106" s="139"/>
      <c r="D106" s="140"/>
      <c r="E106" s="141"/>
      <c r="F106" s="138"/>
      <c r="G106" s="141"/>
      <c r="H106" s="141"/>
      <c r="I106" s="141"/>
      <c r="J106" s="141"/>
      <c r="K106" s="140"/>
      <c r="L106" s="140"/>
    </row>
    <row r="107" spans="1:13" ht="15.75" thickBot="1" x14ac:dyDescent="0.3">
      <c r="A107" s="298"/>
      <c r="B107" s="318" t="s">
        <v>644</v>
      </c>
      <c r="C107" s="138"/>
      <c r="D107" s="138"/>
      <c r="E107" s="138"/>
      <c r="F107" s="138"/>
      <c r="G107" s="138"/>
      <c r="H107" s="138"/>
      <c r="I107" s="138"/>
      <c r="J107" s="138"/>
      <c r="K107" s="138"/>
      <c r="L107" s="114"/>
    </row>
    <row r="108" spans="1:13" ht="15.75" thickBot="1" x14ac:dyDescent="0.3">
      <c r="A108" s="418" t="s">
        <v>653</v>
      </c>
      <c r="B108" s="421" t="s">
        <v>0</v>
      </c>
      <c r="C108" s="421" t="s">
        <v>1</v>
      </c>
      <c r="D108" s="422" t="s">
        <v>645</v>
      </c>
      <c r="E108" s="423" t="s">
        <v>19</v>
      </c>
      <c r="F108" s="423"/>
      <c r="G108" s="423"/>
      <c r="H108" s="423"/>
      <c r="I108" s="423"/>
      <c r="J108" s="416" t="s">
        <v>20</v>
      </c>
      <c r="K108" s="418" t="s">
        <v>598</v>
      </c>
      <c r="L108" s="213"/>
    </row>
    <row r="109" spans="1:13" ht="15.75" thickBot="1" x14ac:dyDescent="0.3">
      <c r="A109" s="420"/>
      <c r="B109" s="421"/>
      <c r="C109" s="421"/>
      <c r="D109" s="422"/>
      <c r="E109" s="272" t="s">
        <v>21</v>
      </c>
      <c r="F109" s="272" t="s">
        <v>596</v>
      </c>
      <c r="G109" s="272" t="s">
        <v>597</v>
      </c>
      <c r="H109" s="272" t="s">
        <v>585</v>
      </c>
      <c r="I109" s="272" t="s">
        <v>597</v>
      </c>
      <c r="J109" s="417"/>
      <c r="K109" s="419"/>
      <c r="L109" s="213"/>
    </row>
    <row r="110" spans="1:13" ht="15.75" thickBot="1" x14ac:dyDescent="0.3">
      <c r="A110" s="419"/>
      <c r="B110" s="273">
        <v>1</v>
      </c>
      <c r="C110" s="273">
        <v>2</v>
      </c>
      <c r="D110" s="273">
        <v>3</v>
      </c>
      <c r="E110" s="274">
        <v>4</v>
      </c>
      <c r="F110" s="274">
        <f>+E110+1</f>
        <v>5</v>
      </c>
      <c r="G110" s="274" t="s">
        <v>648</v>
      </c>
      <c r="H110" s="274">
        <v>7</v>
      </c>
      <c r="I110" s="275" t="s">
        <v>647</v>
      </c>
      <c r="J110" s="287" t="s">
        <v>646</v>
      </c>
      <c r="K110" s="287" t="s">
        <v>649</v>
      </c>
      <c r="L110" s="214"/>
    </row>
    <row r="111" spans="1:13" x14ac:dyDescent="0.25">
      <c r="A111" s="288"/>
      <c r="B111" s="276" t="s">
        <v>694</v>
      </c>
      <c r="C111" s="288"/>
      <c r="D111" s="288"/>
      <c r="E111" s="288"/>
      <c r="F111" s="288"/>
      <c r="G111" s="288"/>
      <c r="H111" s="288"/>
      <c r="I111" s="288"/>
      <c r="J111" s="288"/>
      <c r="K111" s="288"/>
      <c r="L111" s="114"/>
    </row>
    <row r="112" spans="1:13" x14ac:dyDescent="0.25">
      <c r="A112" s="279">
        <v>1</v>
      </c>
      <c r="B112" s="61" t="s">
        <v>159</v>
      </c>
      <c r="C112" s="62">
        <v>6000</v>
      </c>
      <c r="D112" s="316">
        <v>654.19000000000005</v>
      </c>
      <c r="E112" s="61">
        <v>0</v>
      </c>
      <c r="F112" s="61"/>
      <c r="G112" s="289">
        <f>+E112+F112</f>
        <v>0</v>
      </c>
      <c r="H112" s="61">
        <f>145-145</f>
        <v>0</v>
      </c>
      <c r="I112" s="251">
        <f>+G112-H112</f>
        <v>0</v>
      </c>
      <c r="J112" s="251">
        <f>I112*C112</f>
        <v>0</v>
      </c>
      <c r="K112" s="290">
        <f>+D112*I112</f>
        <v>0</v>
      </c>
      <c r="L112" s="215"/>
    </row>
    <row r="113" spans="1:12" x14ac:dyDescent="0.25">
      <c r="A113" s="279">
        <v>2</v>
      </c>
      <c r="B113" s="61" t="s">
        <v>180</v>
      </c>
      <c r="C113" s="62">
        <v>100000</v>
      </c>
      <c r="D113" s="316">
        <v>25052.04</v>
      </c>
      <c r="E113" s="61">
        <v>0</v>
      </c>
      <c r="F113" s="61"/>
      <c r="G113" s="289">
        <f>+E113+F113</f>
        <v>0</v>
      </c>
      <c r="H113" s="61">
        <f>222-222</f>
        <v>0</v>
      </c>
      <c r="I113" s="251">
        <f>+G113-H113</f>
        <v>0</v>
      </c>
      <c r="J113" s="251">
        <f>I113*C113</f>
        <v>0</v>
      </c>
      <c r="K113" s="290">
        <f>+D113*I113</f>
        <v>0</v>
      </c>
      <c r="L113" s="215"/>
    </row>
    <row r="114" spans="1:12" ht="15.75" thickBot="1" x14ac:dyDescent="0.3">
      <c r="A114" s="280">
        <v>3</v>
      </c>
      <c r="B114" s="281" t="s">
        <v>181</v>
      </c>
      <c r="C114" s="282">
        <v>44000</v>
      </c>
      <c r="D114" s="317">
        <v>4175.34</v>
      </c>
      <c r="E114" s="281">
        <v>0</v>
      </c>
      <c r="F114" s="281"/>
      <c r="G114" s="289">
        <f>+E114+F114</f>
        <v>0</v>
      </c>
      <c r="H114" s="61">
        <f>112-112</f>
        <v>0</v>
      </c>
      <c r="I114" s="251">
        <f>+G114-H114</f>
        <v>0</v>
      </c>
      <c r="J114" s="251">
        <f>I114*C114</f>
        <v>0</v>
      </c>
      <c r="K114" s="290">
        <f>+D114*I114</f>
        <v>0</v>
      </c>
      <c r="L114" s="215"/>
    </row>
    <row r="115" spans="1:12" ht="15.75" thickBot="1" x14ac:dyDescent="0.3">
      <c r="A115" s="313"/>
      <c r="B115" s="96" t="s">
        <v>660</v>
      </c>
      <c r="C115" s="296"/>
      <c r="D115" s="296"/>
      <c r="E115" s="296">
        <f t="shared" ref="E115:K115" si="20">SUM(E112:E114)</f>
        <v>0</v>
      </c>
      <c r="F115" s="296">
        <f t="shared" si="20"/>
        <v>0</v>
      </c>
      <c r="G115" s="97">
        <f t="shared" si="20"/>
        <v>0</v>
      </c>
      <c r="H115" s="97">
        <f t="shared" si="20"/>
        <v>0</v>
      </c>
      <c r="I115" s="97">
        <f t="shared" si="20"/>
        <v>0</v>
      </c>
      <c r="J115" s="97">
        <f t="shared" si="20"/>
        <v>0</v>
      </c>
      <c r="K115" s="297">
        <f t="shared" si="20"/>
        <v>0</v>
      </c>
      <c r="L115" s="151"/>
    </row>
    <row r="116" spans="1:12" ht="15.75" thickBot="1" x14ac:dyDescent="0.3">
      <c r="A116" s="298"/>
      <c r="B116" s="80"/>
      <c r="C116" s="81"/>
      <c r="D116" s="82"/>
      <c r="E116" s="83"/>
      <c r="F116" s="80"/>
      <c r="G116" s="83"/>
      <c r="H116" s="83"/>
      <c r="I116" s="83"/>
      <c r="J116" s="83"/>
      <c r="K116" s="82"/>
      <c r="L116" s="140"/>
    </row>
    <row r="117" spans="1:12" ht="15.75" thickBot="1" x14ac:dyDescent="0.3">
      <c r="A117" s="418" t="s">
        <v>653</v>
      </c>
      <c r="B117" s="421" t="s">
        <v>704</v>
      </c>
      <c r="C117" s="421" t="s">
        <v>1</v>
      </c>
      <c r="D117" s="422" t="s">
        <v>645</v>
      </c>
      <c r="E117" s="423" t="s">
        <v>19</v>
      </c>
      <c r="F117" s="423"/>
      <c r="G117" s="423"/>
      <c r="H117" s="423"/>
      <c r="I117" s="423"/>
      <c r="J117" s="416" t="s">
        <v>20</v>
      </c>
      <c r="K117" s="418" t="s">
        <v>598</v>
      </c>
      <c r="L117" s="213"/>
    </row>
    <row r="118" spans="1:12" ht="15.75" thickBot="1" x14ac:dyDescent="0.3">
      <c r="A118" s="420"/>
      <c r="B118" s="421"/>
      <c r="C118" s="421"/>
      <c r="D118" s="422"/>
      <c r="E118" s="272" t="s">
        <v>21</v>
      </c>
      <c r="F118" s="272" t="s">
        <v>596</v>
      </c>
      <c r="G118" s="272" t="s">
        <v>597</v>
      </c>
      <c r="H118" s="272" t="s">
        <v>585</v>
      </c>
      <c r="I118" s="272" t="s">
        <v>597</v>
      </c>
      <c r="J118" s="417"/>
      <c r="K118" s="419"/>
      <c r="L118" s="213"/>
    </row>
    <row r="119" spans="1:12" ht="15.75" thickBot="1" x14ac:dyDescent="0.3">
      <c r="A119" s="419"/>
      <c r="B119" s="273">
        <v>1</v>
      </c>
      <c r="C119" s="273">
        <v>2</v>
      </c>
      <c r="D119" s="273">
        <v>3</v>
      </c>
      <c r="E119" s="274">
        <v>4</v>
      </c>
      <c r="F119" s="274">
        <f>+E119+1</f>
        <v>5</v>
      </c>
      <c r="G119" s="274" t="s">
        <v>648</v>
      </c>
      <c r="H119" s="274">
        <v>7</v>
      </c>
      <c r="I119" s="275" t="s">
        <v>647</v>
      </c>
      <c r="J119" s="287" t="s">
        <v>646</v>
      </c>
      <c r="K119" s="287" t="s">
        <v>649</v>
      </c>
      <c r="L119" s="214"/>
    </row>
    <row r="120" spans="1:12" x14ac:dyDescent="0.25">
      <c r="A120" s="324"/>
      <c r="B120" s="276" t="s">
        <v>696</v>
      </c>
      <c r="C120" s="288"/>
      <c r="D120" s="288"/>
      <c r="E120" s="288"/>
      <c r="F120" s="288"/>
      <c r="G120" s="288"/>
      <c r="H120" s="288"/>
      <c r="I120" s="288"/>
      <c r="J120" s="288"/>
      <c r="K120" s="288"/>
      <c r="L120" s="114"/>
    </row>
    <row r="121" spans="1:12" x14ac:dyDescent="0.25">
      <c r="A121" s="279">
        <v>1</v>
      </c>
      <c r="B121" s="61" t="s">
        <v>182</v>
      </c>
      <c r="C121" s="62">
        <v>30000</v>
      </c>
      <c r="D121" s="316">
        <v>4175.34</v>
      </c>
      <c r="E121" s="62">
        <v>0</v>
      </c>
      <c r="F121" s="62"/>
      <c r="G121" s="289">
        <f>+E121+F121</f>
        <v>0</v>
      </c>
      <c r="H121" s="61">
        <f>21499-21499</f>
        <v>0</v>
      </c>
      <c r="I121" s="251">
        <f>+G121-H121</f>
        <v>0</v>
      </c>
      <c r="J121" s="251">
        <f>I121*C121</f>
        <v>0</v>
      </c>
      <c r="K121" s="290">
        <f>+D121*I121</f>
        <v>0</v>
      </c>
      <c r="L121" s="227" t="s">
        <v>1004</v>
      </c>
    </row>
    <row r="122" spans="1:12" ht="15.75" thickBot="1" x14ac:dyDescent="0.3">
      <c r="A122" s="280">
        <v>2</v>
      </c>
      <c r="B122" s="281" t="s">
        <v>183</v>
      </c>
      <c r="C122" s="282">
        <v>12000</v>
      </c>
      <c r="D122" s="317">
        <v>976.95</v>
      </c>
      <c r="E122" s="282">
        <v>0</v>
      </c>
      <c r="F122" s="282"/>
      <c r="G122" s="295">
        <f>+E122+F122</f>
        <v>0</v>
      </c>
      <c r="H122" s="61">
        <f>2000-2000</f>
        <v>0</v>
      </c>
      <c r="I122" s="322">
        <f>+G122-H122</f>
        <v>0</v>
      </c>
      <c r="J122" s="322">
        <f>I122*C122</f>
        <v>0</v>
      </c>
      <c r="K122" s="323">
        <f>+D122*I122</f>
        <v>0</v>
      </c>
      <c r="L122" s="215"/>
    </row>
    <row r="123" spans="1:12" ht="15.75" thickBot="1" x14ac:dyDescent="0.3">
      <c r="A123" s="313"/>
      <c r="B123" s="96" t="s">
        <v>662</v>
      </c>
      <c r="C123" s="296"/>
      <c r="D123" s="296"/>
      <c r="E123" s="97">
        <f>SUM(E121:E122)</f>
        <v>0</v>
      </c>
      <c r="F123" s="296"/>
      <c r="G123" s="97">
        <f>SUM(G121:G122)</f>
        <v>0</v>
      </c>
      <c r="H123" s="97">
        <f>SUM(H121:H122)</f>
        <v>0</v>
      </c>
      <c r="I123" s="97">
        <f>SUM(I121:I122)</f>
        <v>0</v>
      </c>
      <c r="J123" s="97">
        <f>SUM(J121:J122)</f>
        <v>0</v>
      </c>
      <c r="K123" s="325">
        <f>SUM(K121:K122)</f>
        <v>0</v>
      </c>
      <c r="L123" s="137"/>
    </row>
    <row r="124" spans="1:12" ht="15.75" thickBot="1" x14ac:dyDescent="0.3">
      <c r="A124" s="298"/>
      <c r="B124" s="80"/>
      <c r="C124" s="81"/>
      <c r="D124" s="82"/>
      <c r="E124" s="83"/>
      <c r="F124" s="80"/>
      <c r="G124" s="83"/>
      <c r="H124" s="83"/>
      <c r="I124" s="83"/>
      <c r="J124" s="83"/>
      <c r="K124" s="82"/>
      <c r="L124" s="140"/>
    </row>
    <row r="125" spans="1:12" ht="15.75" thickBot="1" x14ac:dyDescent="0.3">
      <c r="A125" s="418" t="s">
        <v>653</v>
      </c>
      <c r="B125" s="421" t="s">
        <v>704</v>
      </c>
      <c r="C125" s="421" t="s">
        <v>1</v>
      </c>
      <c r="D125" s="422" t="s">
        <v>645</v>
      </c>
      <c r="E125" s="423" t="s">
        <v>19</v>
      </c>
      <c r="F125" s="423"/>
      <c r="G125" s="423"/>
      <c r="H125" s="423"/>
      <c r="I125" s="423"/>
      <c r="J125" s="416" t="s">
        <v>20</v>
      </c>
      <c r="K125" s="418" t="s">
        <v>598</v>
      </c>
      <c r="L125" s="213"/>
    </row>
    <row r="126" spans="1:12" ht="15.75" thickBot="1" x14ac:dyDescent="0.3">
      <c r="A126" s="420"/>
      <c r="B126" s="421"/>
      <c r="C126" s="421"/>
      <c r="D126" s="422"/>
      <c r="E126" s="272" t="s">
        <v>21</v>
      </c>
      <c r="F126" s="272" t="s">
        <v>596</v>
      </c>
      <c r="G126" s="272" t="s">
        <v>597</v>
      </c>
      <c r="H126" s="272" t="s">
        <v>585</v>
      </c>
      <c r="I126" s="272" t="s">
        <v>597</v>
      </c>
      <c r="J126" s="417"/>
      <c r="K126" s="419"/>
      <c r="L126" s="213"/>
    </row>
    <row r="127" spans="1:12" ht="15.75" thickBot="1" x14ac:dyDescent="0.3">
      <c r="A127" s="419"/>
      <c r="B127" s="273">
        <v>1</v>
      </c>
      <c r="C127" s="273">
        <v>2</v>
      </c>
      <c r="D127" s="273">
        <v>3</v>
      </c>
      <c r="E127" s="274">
        <v>4</v>
      </c>
      <c r="F127" s="274">
        <f>+E127+1</f>
        <v>5</v>
      </c>
      <c r="G127" s="274" t="s">
        <v>648</v>
      </c>
      <c r="H127" s="274">
        <v>7</v>
      </c>
      <c r="I127" s="275" t="s">
        <v>647</v>
      </c>
      <c r="J127" s="287" t="s">
        <v>646</v>
      </c>
      <c r="K127" s="287" t="s">
        <v>649</v>
      </c>
      <c r="L127" s="214"/>
    </row>
    <row r="128" spans="1:12" x14ac:dyDescent="0.25">
      <c r="A128" s="288"/>
      <c r="B128" s="276" t="s">
        <v>699</v>
      </c>
      <c r="C128" s="288"/>
      <c r="D128" s="288"/>
      <c r="E128" s="288"/>
      <c r="F128" s="288"/>
      <c r="G128" s="288"/>
      <c r="H128" s="288"/>
      <c r="I128" s="288"/>
      <c r="J128" s="288"/>
      <c r="K128" s="288"/>
      <c r="L128" s="114"/>
    </row>
    <row r="129" spans="1:12" x14ac:dyDescent="0.25">
      <c r="A129" s="279">
        <v>1</v>
      </c>
      <c r="B129" s="61" t="s">
        <v>184</v>
      </c>
      <c r="C129" s="62">
        <v>60000</v>
      </c>
      <c r="D129" s="316">
        <v>60000</v>
      </c>
      <c r="E129" s="62">
        <v>0</v>
      </c>
      <c r="F129" s="61"/>
      <c r="G129" s="289">
        <f>+E129+F129</f>
        <v>0</v>
      </c>
      <c r="H129" s="61">
        <f>1004-1004</f>
        <v>0</v>
      </c>
      <c r="I129" s="251">
        <f>+G129-H129</f>
        <v>0</v>
      </c>
      <c r="J129" s="251">
        <f>I129*C129</f>
        <v>0</v>
      </c>
      <c r="K129" s="290">
        <f>+D129*I129</f>
        <v>0</v>
      </c>
      <c r="L129" s="215"/>
    </row>
    <row r="130" spans="1:12" ht="15.75" thickBot="1" x14ac:dyDescent="0.3">
      <c r="A130" s="280">
        <v>2</v>
      </c>
      <c r="B130" s="281" t="s">
        <v>185</v>
      </c>
      <c r="C130" s="282">
        <v>50000</v>
      </c>
      <c r="D130" s="317">
        <v>50000</v>
      </c>
      <c r="E130" s="282">
        <v>0</v>
      </c>
      <c r="F130" s="281"/>
      <c r="G130" s="295">
        <f>+E130+F130</f>
        <v>0</v>
      </c>
      <c r="H130" s="61">
        <f>1040-1040</f>
        <v>0</v>
      </c>
      <c r="I130" s="322">
        <f>+G130-H130</f>
        <v>0</v>
      </c>
      <c r="J130" s="322">
        <f>I130*C130</f>
        <v>0</v>
      </c>
      <c r="K130" s="323">
        <f>+D130*I130</f>
        <v>0</v>
      </c>
      <c r="L130" s="215"/>
    </row>
    <row r="131" spans="1:12" ht="15.75" thickBot="1" x14ac:dyDescent="0.3">
      <c r="A131" s="313"/>
      <c r="B131" s="96" t="s">
        <v>665</v>
      </c>
      <c r="C131" s="296"/>
      <c r="D131" s="296"/>
      <c r="E131" s="97">
        <f>SUM(E129:E130)</f>
        <v>0</v>
      </c>
      <c r="F131" s="296"/>
      <c r="G131" s="97">
        <f>SUM(G129:G130)</f>
        <v>0</v>
      </c>
      <c r="H131" s="97">
        <f>SUM(H129:H130)</f>
        <v>0</v>
      </c>
      <c r="I131" s="97">
        <f>SUM(I129:I130)</f>
        <v>0</v>
      </c>
      <c r="J131" s="97">
        <f>SUM(J129:J130)</f>
        <v>0</v>
      </c>
      <c r="K131" s="297">
        <f>SUM(K129:K130)</f>
        <v>0</v>
      </c>
      <c r="L131" s="151"/>
    </row>
    <row r="132" spans="1:12" ht="15.75" thickBot="1" x14ac:dyDescent="0.3">
      <c r="A132" s="298"/>
      <c r="B132" s="80"/>
      <c r="C132" s="81"/>
      <c r="D132" s="82"/>
      <c r="E132" s="83"/>
      <c r="F132" s="80"/>
      <c r="G132" s="83"/>
      <c r="H132" s="83"/>
      <c r="I132" s="83"/>
      <c r="J132" s="83"/>
      <c r="K132" s="82"/>
      <c r="L132" s="140"/>
    </row>
    <row r="133" spans="1:12" ht="15.75" thickBot="1" x14ac:dyDescent="0.3">
      <c r="A133" s="418" t="s">
        <v>653</v>
      </c>
      <c r="B133" s="421" t="s">
        <v>704</v>
      </c>
      <c r="C133" s="421" t="s">
        <v>1</v>
      </c>
      <c r="D133" s="422" t="s">
        <v>645</v>
      </c>
      <c r="E133" s="423" t="s">
        <v>19</v>
      </c>
      <c r="F133" s="423"/>
      <c r="G133" s="423"/>
      <c r="H133" s="423"/>
      <c r="I133" s="423"/>
      <c r="J133" s="416" t="s">
        <v>20</v>
      </c>
      <c r="K133" s="418" t="s">
        <v>598</v>
      </c>
      <c r="L133" s="213"/>
    </row>
    <row r="134" spans="1:12" ht="15.75" thickBot="1" x14ac:dyDescent="0.3">
      <c r="A134" s="420"/>
      <c r="B134" s="421"/>
      <c r="C134" s="421"/>
      <c r="D134" s="422"/>
      <c r="E134" s="272" t="s">
        <v>21</v>
      </c>
      <c r="F134" s="272" t="s">
        <v>596</v>
      </c>
      <c r="G134" s="272" t="s">
        <v>597</v>
      </c>
      <c r="H134" s="272" t="s">
        <v>585</v>
      </c>
      <c r="I134" s="272" t="s">
        <v>597</v>
      </c>
      <c r="J134" s="417"/>
      <c r="K134" s="419"/>
      <c r="L134" s="213"/>
    </row>
    <row r="135" spans="1:12" ht="15.75" thickBot="1" x14ac:dyDescent="0.3">
      <c r="A135" s="419"/>
      <c r="B135" s="273">
        <v>1</v>
      </c>
      <c r="C135" s="273">
        <v>2</v>
      </c>
      <c r="D135" s="273">
        <v>3</v>
      </c>
      <c r="E135" s="274">
        <v>4</v>
      </c>
      <c r="F135" s="274">
        <f>+E135+1</f>
        <v>5</v>
      </c>
      <c r="G135" s="274" t="s">
        <v>648</v>
      </c>
      <c r="H135" s="274">
        <v>7</v>
      </c>
      <c r="I135" s="275" t="s">
        <v>647</v>
      </c>
      <c r="J135" s="287" t="s">
        <v>646</v>
      </c>
      <c r="K135" s="287" t="s">
        <v>649</v>
      </c>
      <c r="L135" s="214"/>
    </row>
    <row r="136" spans="1:12" x14ac:dyDescent="0.25">
      <c r="A136" s="288"/>
      <c r="B136" s="276" t="s">
        <v>705</v>
      </c>
      <c r="C136" s="288"/>
      <c r="D136" s="288"/>
      <c r="E136" s="288"/>
      <c r="F136" s="288"/>
      <c r="G136" s="288"/>
      <c r="H136" s="288"/>
      <c r="I136" s="288"/>
      <c r="J136" s="288"/>
      <c r="K136" s="288"/>
      <c r="L136" s="114"/>
    </row>
    <row r="137" spans="1:12" x14ac:dyDescent="0.25">
      <c r="A137" s="279">
        <v>1</v>
      </c>
      <c r="B137" s="61" t="s">
        <v>186</v>
      </c>
      <c r="C137" s="62">
        <v>12000</v>
      </c>
      <c r="D137" s="316">
        <v>1732.5</v>
      </c>
      <c r="E137" s="62">
        <v>0</v>
      </c>
      <c r="F137" s="61"/>
      <c r="G137" s="289">
        <f>+E137+F137</f>
        <v>0</v>
      </c>
      <c r="H137" s="61">
        <f>1154-1154</f>
        <v>0</v>
      </c>
      <c r="I137" s="251">
        <f>+G137-H137</f>
        <v>0</v>
      </c>
      <c r="J137" s="251">
        <f>I137*C137</f>
        <v>0</v>
      </c>
      <c r="K137" s="290">
        <f>+D137*I137</f>
        <v>0</v>
      </c>
      <c r="L137" s="215"/>
    </row>
    <row r="138" spans="1:12" x14ac:dyDescent="0.25">
      <c r="A138" s="279">
        <v>2</v>
      </c>
      <c r="B138" s="61" t="s">
        <v>187</v>
      </c>
      <c r="C138" s="62">
        <v>31000</v>
      </c>
      <c r="D138" s="316">
        <v>1784.75</v>
      </c>
      <c r="E138" s="62">
        <v>0</v>
      </c>
      <c r="F138" s="61"/>
      <c r="G138" s="289">
        <f>+E138+F138</f>
        <v>0</v>
      </c>
      <c r="H138" s="61">
        <f>5775-5775</f>
        <v>0</v>
      </c>
      <c r="I138" s="251">
        <f>+G138-H138</f>
        <v>0</v>
      </c>
      <c r="J138" s="251">
        <f>I138*C138</f>
        <v>0</v>
      </c>
      <c r="K138" s="290">
        <f>+D138*I138</f>
        <v>0</v>
      </c>
      <c r="L138" s="215"/>
    </row>
    <row r="139" spans="1:12" x14ac:dyDescent="0.25">
      <c r="A139" s="279">
        <v>3</v>
      </c>
      <c r="B139" s="61" t="s">
        <v>188</v>
      </c>
      <c r="C139" s="62">
        <v>15000</v>
      </c>
      <c r="D139" s="316">
        <f>1696.75+495</f>
        <v>2191.75</v>
      </c>
      <c r="E139" s="62">
        <v>0</v>
      </c>
      <c r="F139" s="61"/>
      <c r="G139" s="289">
        <f>+E139+F139</f>
        <v>0</v>
      </c>
      <c r="H139" s="61">
        <f>20-20</f>
        <v>0</v>
      </c>
      <c r="I139" s="251">
        <f>+G139-H139</f>
        <v>0</v>
      </c>
      <c r="J139" s="251">
        <f>I139*C139</f>
        <v>0</v>
      </c>
      <c r="K139" s="290">
        <f>+D139*I139</f>
        <v>0</v>
      </c>
      <c r="L139" s="215"/>
    </row>
    <row r="140" spans="1:12" ht="15.75" thickBot="1" x14ac:dyDescent="0.3">
      <c r="A140" s="280">
        <v>4</v>
      </c>
      <c r="B140" s="281" t="s">
        <v>189</v>
      </c>
      <c r="C140" s="282">
        <v>27000</v>
      </c>
      <c r="D140" s="317">
        <v>1815</v>
      </c>
      <c r="E140" s="282">
        <v>0</v>
      </c>
      <c r="F140" s="281"/>
      <c r="G140" s="295">
        <f>+E140+F140</f>
        <v>0</v>
      </c>
      <c r="H140" s="281">
        <f>1000-1000</f>
        <v>0</v>
      </c>
      <c r="I140" s="322">
        <f>+G140-H140</f>
        <v>0</v>
      </c>
      <c r="J140" s="322">
        <f>I140*C140</f>
        <v>0</v>
      </c>
      <c r="K140" s="323">
        <f>+D140*I140</f>
        <v>0</v>
      </c>
      <c r="L140" s="215"/>
    </row>
    <row r="141" spans="1:12" ht="15.75" thickBot="1" x14ac:dyDescent="0.3">
      <c r="A141" s="313"/>
      <c r="B141" s="96" t="s">
        <v>666</v>
      </c>
      <c r="C141" s="296"/>
      <c r="D141" s="296"/>
      <c r="E141" s="97">
        <f>SUM(E137:E140)</f>
        <v>0</v>
      </c>
      <c r="F141" s="97"/>
      <c r="G141" s="97">
        <f>SUM(G137:G140)</f>
        <v>0</v>
      </c>
      <c r="H141" s="97">
        <f>SUM(H137:H140)</f>
        <v>0</v>
      </c>
      <c r="I141" s="97">
        <f>SUM(I137:I140)</f>
        <v>0</v>
      </c>
      <c r="J141" s="97">
        <f>SUM(J137:J140)</f>
        <v>0</v>
      </c>
      <c r="K141" s="297">
        <f>SUM(K137:K140)</f>
        <v>0</v>
      </c>
      <c r="L141" s="151"/>
    </row>
    <row r="142" spans="1:12" ht="15.75" thickBot="1" x14ac:dyDescent="0.3">
      <c r="A142" s="298"/>
      <c r="B142" s="80"/>
      <c r="C142" s="81"/>
      <c r="D142" s="82"/>
      <c r="E142" s="83"/>
      <c r="F142" s="80"/>
      <c r="G142" s="83"/>
      <c r="H142" s="83"/>
      <c r="I142" s="83"/>
      <c r="J142" s="83"/>
      <c r="K142" s="82"/>
      <c r="L142" s="140"/>
    </row>
    <row r="143" spans="1:12" ht="15.75" thickBot="1" x14ac:dyDescent="0.3">
      <c r="A143" s="418" t="s">
        <v>653</v>
      </c>
      <c r="B143" s="421" t="s">
        <v>704</v>
      </c>
      <c r="C143" s="421" t="s">
        <v>1</v>
      </c>
      <c r="D143" s="422" t="s">
        <v>645</v>
      </c>
      <c r="E143" s="423" t="s">
        <v>19</v>
      </c>
      <c r="F143" s="423"/>
      <c r="G143" s="423"/>
      <c r="H143" s="423"/>
      <c r="I143" s="423"/>
      <c r="J143" s="416" t="s">
        <v>20</v>
      </c>
      <c r="K143" s="418" t="s">
        <v>598</v>
      </c>
      <c r="L143" s="213"/>
    </row>
    <row r="144" spans="1:12" ht="15.75" thickBot="1" x14ac:dyDescent="0.3">
      <c r="A144" s="420"/>
      <c r="B144" s="421"/>
      <c r="C144" s="421"/>
      <c r="D144" s="422"/>
      <c r="E144" s="272" t="s">
        <v>21</v>
      </c>
      <c r="F144" s="272" t="s">
        <v>596</v>
      </c>
      <c r="G144" s="272" t="s">
        <v>597</v>
      </c>
      <c r="H144" s="272" t="s">
        <v>585</v>
      </c>
      <c r="I144" s="272" t="s">
        <v>597</v>
      </c>
      <c r="J144" s="417"/>
      <c r="K144" s="419"/>
      <c r="L144" s="213"/>
    </row>
    <row r="145" spans="1:12" ht="15.75" thickBot="1" x14ac:dyDescent="0.3">
      <c r="A145" s="419"/>
      <c r="B145" s="273">
        <v>1</v>
      </c>
      <c r="C145" s="273">
        <v>2</v>
      </c>
      <c r="D145" s="273">
        <v>3</v>
      </c>
      <c r="E145" s="274">
        <v>4</v>
      </c>
      <c r="F145" s="274">
        <f>+E145+1</f>
        <v>5</v>
      </c>
      <c r="G145" s="274" t="s">
        <v>648</v>
      </c>
      <c r="H145" s="274">
        <v>7</v>
      </c>
      <c r="I145" s="275" t="s">
        <v>647</v>
      </c>
      <c r="J145" s="287" t="s">
        <v>646</v>
      </c>
      <c r="K145" s="287" t="s">
        <v>649</v>
      </c>
      <c r="L145" s="214"/>
    </row>
    <row r="146" spans="1:12" x14ac:dyDescent="0.25">
      <c r="A146" s="288"/>
      <c r="B146" s="276" t="s">
        <v>700</v>
      </c>
      <c r="C146" s="288"/>
      <c r="D146" s="288"/>
      <c r="E146" s="288"/>
      <c r="F146" s="288"/>
      <c r="G146" s="288"/>
      <c r="H146" s="288"/>
      <c r="I146" s="288"/>
      <c r="J146" s="288"/>
      <c r="K146" s="288"/>
      <c r="L146" s="114"/>
    </row>
    <row r="147" spans="1:12" x14ac:dyDescent="0.25">
      <c r="A147" s="279">
        <v>1</v>
      </c>
      <c r="B147" s="61" t="s">
        <v>770</v>
      </c>
      <c r="C147" s="62">
        <v>9000</v>
      </c>
      <c r="D147" s="316">
        <v>4838</v>
      </c>
      <c r="E147" s="62">
        <v>0</v>
      </c>
      <c r="F147" s="62"/>
      <c r="G147" s="289">
        <f>+E147+F147</f>
        <v>0</v>
      </c>
      <c r="H147" s="61">
        <f>500-500</f>
        <v>0</v>
      </c>
      <c r="I147" s="251">
        <f>+G147-H147</f>
        <v>0</v>
      </c>
      <c r="J147" s="251">
        <f>I147*C147</f>
        <v>0</v>
      </c>
      <c r="K147" s="290">
        <f>+D147*I147</f>
        <v>0</v>
      </c>
      <c r="L147" s="215"/>
    </row>
    <row r="148" spans="1:12" x14ac:dyDescent="0.25">
      <c r="A148" s="279">
        <v>2</v>
      </c>
      <c r="B148" s="61" t="s">
        <v>190</v>
      </c>
      <c r="C148" s="62">
        <v>6000</v>
      </c>
      <c r="D148" s="316">
        <f>176.31*4</f>
        <v>705.24</v>
      </c>
      <c r="E148" s="62">
        <v>0</v>
      </c>
      <c r="F148" s="62"/>
      <c r="G148" s="289">
        <f>+E148+F148</f>
        <v>0</v>
      </c>
      <c r="H148" s="61">
        <f>41-41</f>
        <v>0</v>
      </c>
      <c r="I148" s="251">
        <f>+G148-H148</f>
        <v>0</v>
      </c>
      <c r="J148" s="251">
        <f>I148*C148</f>
        <v>0</v>
      </c>
      <c r="K148" s="290">
        <f>+D148*I148</f>
        <v>0</v>
      </c>
      <c r="L148" s="215"/>
    </row>
    <row r="149" spans="1:12" x14ac:dyDescent="0.25">
      <c r="A149" s="279">
        <v>3</v>
      </c>
      <c r="B149" s="61" t="s">
        <v>191</v>
      </c>
      <c r="C149" s="62">
        <v>9000</v>
      </c>
      <c r="D149" s="316">
        <v>4270.13</v>
      </c>
      <c r="E149" s="62">
        <v>200</v>
      </c>
      <c r="F149" s="62"/>
      <c r="G149" s="289">
        <f>+E149+F149</f>
        <v>200</v>
      </c>
      <c r="H149" s="61"/>
      <c r="I149" s="251">
        <f>+G149-H149</f>
        <v>200</v>
      </c>
      <c r="J149" s="251">
        <f>I149*C149</f>
        <v>1800000</v>
      </c>
      <c r="K149" s="290">
        <f>+D149*I149</f>
        <v>854026</v>
      </c>
      <c r="L149" s="227" t="s">
        <v>1006</v>
      </c>
    </row>
    <row r="150" spans="1:12" x14ac:dyDescent="0.25">
      <c r="A150" s="279">
        <v>4</v>
      </c>
      <c r="B150" s="61" t="s">
        <v>192</v>
      </c>
      <c r="C150" s="62">
        <v>20000</v>
      </c>
      <c r="D150" s="316">
        <v>4318</v>
      </c>
      <c r="E150" s="62">
        <v>0</v>
      </c>
      <c r="F150" s="62"/>
      <c r="G150" s="289">
        <f>+E150+F150</f>
        <v>0</v>
      </c>
      <c r="H150" s="61">
        <f>100-100</f>
        <v>0</v>
      </c>
      <c r="I150" s="251">
        <f>+G150-H150</f>
        <v>0</v>
      </c>
      <c r="J150" s="251">
        <f>I150*C150</f>
        <v>0</v>
      </c>
      <c r="K150" s="290">
        <f>+D150*I150</f>
        <v>0</v>
      </c>
      <c r="L150" s="215"/>
    </row>
    <row r="151" spans="1:12" ht="15.75" thickBot="1" x14ac:dyDescent="0.3">
      <c r="A151" s="280">
        <v>5</v>
      </c>
      <c r="B151" s="281" t="s">
        <v>193</v>
      </c>
      <c r="C151" s="282">
        <v>16500</v>
      </c>
      <c r="D151" s="317">
        <v>4036.8</v>
      </c>
      <c r="E151" s="282">
        <v>0</v>
      </c>
      <c r="F151" s="282"/>
      <c r="G151" s="295">
        <f>+E151+F151</f>
        <v>0</v>
      </c>
      <c r="H151" s="61">
        <f>500-500</f>
        <v>0</v>
      </c>
      <c r="I151" s="322">
        <f>+G151-H151</f>
        <v>0</v>
      </c>
      <c r="J151" s="322">
        <f>I151*C151</f>
        <v>0</v>
      </c>
      <c r="K151" s="323">
        <f>+D151*I151</f>
        <v>0</v>
      </c>
      <c r="L151" s="215"/>
    </row>
    <row r="152" spans="1:12" ht="15.75" thickBot="1" x14ac:dyDescent="0.3">
      <c r="A152" s="313"/>
      <c r="B152" s="96" t="s">
        <v>669</v>
      </c>
      <c r="C152" s="296"/>
      <c r="D152" s="296"/>
      <c r="E152" s="97">
        <f>SUM(E147:E151)</f>
        <v>200</v>
      </c>
      <c r="F152" s="97"/>
      <c r="G152" s="97">
        <f>SUM(G147:G151)</f>
        <v>200</v>
      </c>
      <c r="H152" s="97">
        <f>SUM(H147:H151)</f>
        <v>0</v>
      </c>
      <c r="I152" s="97">
        <f>SUM(I147:I151)</f>
        <v>200</v>
      </c>
      <c r="J152" s="97">
        <f>SUM(J147:J151)</f>
        <v>1800000</v>
      </c>
      <c r="K152" s="297">
        <f>SUM(K147:K151)</f>
        <v>854026</v>
      </c>
      <c r="L152" s="151"/>
    </row>
    <row r="153" spans="1:12" ht="15.75" thickBot="1" x14ac:dyDescent="0.3">
      <c r="A153" s="298"/>
      <c r="B153" s="80"/>
      <c r="C153" s="81"/>
      <c r="D153" s="82"/>
      <c r="E153" s="83"/>
      <c r="F153" s="80"/>
      <c r="G153" s="83"/>
      <c r="H153" s="83"/>
      <c r="I153" s="83"/>
      <c r="J153" s="83"/>
      <c r="K153" s="82"/>
      <c r="L153" s="140"/>
    </row>
    <row r="154" spans="1:12" ht="15.75" thickBot="1" x14ac:dyDescent="0.3">
      <c r="A154" s="418" t="s">
        <v>653</v>
      </c>
      <c r="B154" s="421" t="s">
        <v>704</v>
      </c>
      <c r="C154" s="421" t="s">
        <v>1</v>
      </c>
      <c r="D154" s="422" t="s">
        <v>645</v>
      </c>
      <c r="E154" s="423" t="s">
        <v>19</v>
      </c>
      <c r="F154" s="423"/>
      <c r="G154" s="423"/>
      <c r="H154" s="423"/>
      <c r="I154" s="423"/>
      <c r="J154" s="416" t="s">
        <v>20</v>
      </c>
      <c r="K154" s="418" t="s">
        <v>598</v>
      </c>
      <c r="L154" s="213"/>
    </row>
    <row r="155" spans="1:12" ht="15.75" thickBot="1" x14ac:dyDescent="0.3">
      <c r="A155" s="420"/>
      <c r="B155" s="421"/>
      <c r="C155" s="421"/>
      <c r="D155" s="422"/>
      <c r="E155" s="272" t="s">
        <v>21</v>
      </c>
      <c r="F155" s="272" t="s">
        <v>596</v>
      </c>
      <c r="G155" s="272" t="s">
        <v>597</v>
      </c>
      <c r="H155" s="272" t="s">
        <v>585</v>
      </c>
      <c r="I155" s="272" t="s">
        <v>597</v>
      </c>
      <c r="J155" s="417"/>
      <c r="K155" s="419"/>
      <c r="L155" s="213"/>
    </row>
    <row r="156" spans="1:12" ht="15.75" thickBot="1" x14ac:dyDescent="0.3">
      <c r="A156" s="419"/>
      <c r="B156" s="273">
        <v>1</v>
      </c>
      <c r="C156" s="273">
        <v>2</v>
      </c>
      <c r="D156" s="273">
        <v>3</v>
      </c>
      <c r="E156" s="274">
        <v>4</v>
      </c>
      <c r="F156" s="274">
        <f>+E156+1</f>
        <v>5</v>
      </c>
      <c r="G156" s="274" t="s">
        <v>648</v>
      </c>
      <c r="H156" s="274">
        <v>7</v>
      </c>
      <c r="I156" s="275" t="s">
        <v>647</v>
      </c>
      <c r="J156" s="287" t="s">
        <v>646</v>
      </c>
      <c r="K156" s="287" t="s">
        <v>649</v>
      </c>
      <c r="L156" s="214"/>
    </row>
    <row r="157" spans="1:12" x14ac:dyDescent="0.25">
      <c r="A157" s="288"/>
      <c r="B157" s="276" t="s">
        <v>702</v>
      </c>
      <c r="C157" s="288"/>
      <c r="D157" s="288"/>
      <c r="E157" s="288"/>
      <c r="F157" s="288"/>
      <c r="G157" s="288"/>
      <c r="H157" s="288"/>
      <c r="I157" s="288"/>
      <c r="J157" s="288"/>
      <c r="K157" s="288"/>
      <c r="L157" s="114"/>
    </row>
    <row r="158" spans="1:12" x14ac:dyDescent="0.25">
      <c r="A158" s="279">
        <v>1</v>
      </c>
      <c r="B158" s="61" t="s">
        <v>194</v>
      </c>
      <c r="C158" s="62">
        <v>17000</v>
      </c>
      <c r="D158" s="316">
        <v>1175.8699999999999</v>
      </c>
      <c r="E158" s="62">
        <v>200</v>
      </c>
      <c r="F158" s="62"/>
      <c r="G158" s="289">
        <f>+E158+F158</f>
        <v>200</v>
      </c>
      <c r="H158" s="61">
        <f>500-500</f>
        <v>0</v>
      </c>
      <c r="I158" s="251">
        <f>+G158-H158</f>
        <v>200</v>
      </c>
      <c r="J158" s="251">
        <f>I158*C158</f>
        <v>3400000</v>
      </c>
      <c r="K158" s="290">
        <f>+D158*I158</f>
        <v>235173.99999999997</v>
      </c>
      <c r="L158" s="227" t="s">
        <v>1080</v>
      </c>
    </row>
    <row r="159" spans="1:12" x14ac:dyDescent="0.25">
      <c r="A159" s="279">
        <v>2</v>
      </c>
      <c r="B159" s="61" t="s">
        <v>195</v>
      </c>
      <c r="C159" s="62">
        <v>9500</v>
      </c>
      <c r="D159" s="316">
        <v>1216.3800000000001</v>
      </c>
      <c r="E159" s="62">
        <v>0</v>
      </c>
      <c r="F159" s="62"/>
      <c r="G159" s="289">
        <f>+E159+F159</f>
        <v>0</v>
      </c>
      <c r="H159" s="61">
        <f>5000-5000</f>
        <v>0</v>
      </c>
      <c r="I159" s="251">
        <f>+G159-H159</f>
        <v>0</v>
      </c>
      <c r="J159" s="251">
        <f>I159*C159</f>
        <v>0</v>
      </c>
      <c r="K159" s="290">
        <f>+D159*I159</f>
        <v>0</v>
      </c>
      <c r="L159" s="215"/>
    </row>
    <row r="160" spans="1:12" x14ac:dyDescent="0.25">
      <c r="A160" s="279">
        <v>3</v>
      </c>
      <c r="B160" s="61" t="s">
        <v>196</v>
      </c>
      <c r="C160" s="62">
        <v>20000</v>
      </c>
      <c r="D160" s="316">
        <v>1728.55</v>
      </c>
      <c r="E160" s="62">
        <v>0</v>
      </c>
      <c r="F160" s="62"/>
      <c r="G160" s="289">
        <f>+E160+F160</f>
        <v>0</v>
      </c>
      <c r="H160" s="61">
        <f>1800-1800</f>
        <v>0</v>
      </c>
      <c r="I160" s="251">
        <f>+G160-H160</f>
        <v>0</v>
      </c>
      <c r="J160" s="251">
        <f>I160*C160</f>
        <v>0</v>
      </c>
      <c r="K160" s="290">
        <f>+D160*I160</f>
        <v>0</v>
      </c>
      <c r="L160" s="215"/>
    </row>
    <row r="161" spans="1:12" ht="15.75" thickBot="1" x14ac:dyDescent="0.3">
      <c r="A161" s="280">
        <v>4</v>
      </c>
      <c r="B161" s="281" t="s">
        <v>197</v>
      </c>
      <c r="C161" s="282">
        <v>20000</v>
      </c>
      <c r="D161" s="317">
        <v>3828.97</v>
      </c>
      <c r="E161" s="282">
        <v>470</v>
      </c>
      <c r="F161" s="282"/>
      <c r="G161" s="295">
        <f>+E161+F161</f>
        <v>470</v>
      </c>
      <c r="H161" s="281">
        <f>30-30</f>
        <v>0</v>
      </c>
      <c r="I161" s="322">
        <f>+G161-H161</f>
        <v>470</v>
      </c>
      <c r="J161" s="322">
        <f>I161*C161</f>
        <v>9400000</v>
      </c>
      <c r="K161" s="323">
        <f>+D161*I161</f>
        <v>1799615.9</v>
      </c>
      <c r="L161" s="227" t="s">
        <v>1081</v>
      </c>
    </row>
    <row r="162" spans="1:12" ht="15.75" thickBot="1" x14ac:dyDescent="0.3">
      <c r="A162" s="313"/>
      <c r="B162" s="96" t="s">
        <v>670</v>
      </c>
      <c r="C162" s="296"/>
      <c r="D162" s="296"/>
      <c r="E162" s="97">
        <f>SUM(E158:E161)</f>
        <v>670</v>
      </c>
      <c r="F162" s="97"/>
      <c r="G162" s="97">
        <f>SUM(G158:G161)</f>
        <v>670</v>
      </c>
      <c r="H162" s="97">
        <f>SUM(H158:H161)</f>
        <v>0</v>
      </c>
      <c r="I162" s="97">
        <f>SUM(I158:I161)</f>
        <v>670</v>
      </c>
      <c r="J162" s="97">
        <f>SUM(J158:J161)</f>
        <v>12800000</v>
      </c>
      <c r="K162" s="297">
        <f>SUM(K158:K161)</f>
        <v>2034789.9</v>
      </c>
      <c r="L162" s="151"/>
    </row>
    <row r="163" spans="1:12" ht="15.75" thickBot="1" x14ac:dyDescent="0.3">
      <c r="A163" s="298"/>
      <c r="B163" s="80"/>
      <c r="C163" s="81"/>
      <c r="D163" s="82"/>
      <c r="E163" s="83"/>
      <c r="F163" s="80"/>
      <c r="G163" s="83"/>
      <c r="H163" s="83"/>
      <c r="I163" s="83"/>
      <c r="J163" s="83"/>
      <c r="K163" s="82"/>
      <c r="L163" s="140"/>
    </row>
    <row r="164" spans="1:12" ht="15.75" thickBot="1" x14ac:dyDescent="0.3">
      <c r="A164" s="418" t="s">
        <v>653</v>
      </c>
      <c r="B164" s="421" t="s">
        <v>704</v>
      </c>
      <c r="C164" s="421" t="s">
        <v>1</v>
      </c>
      <c r="D164" s="422" t="s">
        <v>645</v>
      </c>
      <c r="E164" s="423" t="s">
        <v>19</v>
      </c>
      <c r="F164" s="423"/>
      <c r="G164" s="423"/>
      <c r="H164" s="423"/>
      <c r="I164" s="423"/>
      <c r="J164" s="416" t="s">
        <v>20</v>
      </c>
      <c r="K164" s="418" t="s">
        <v>598</v>
      </c>
      <c r="L164" s="213"/>
    </row>
    <row r="165" spans="1:12" ht="15.75" thickBot="1" x14ac:dyDescent="0.3">
      <c r="A165" s="420"/>
      <c r="B165" s="421"/>
      <c r="C165" s="421"/>
      <c r="D165" s="422"/>
      <c r="E165" s="272" t="s">
        <v>21</v>
      </c>
      <c r="F165" s="272" t="s">
        <v>596</v>
      </c>
      <c r="G165" s="272" t="s">
        <v>597</v>
      </c>
      <c r="H165" s="272" t="s">
        <v>585</v>
      </c>
      <c r="I165" s="272" t="s">
        <v>597</v>
      </c>
      <c r="J165" s="417"/>
      <c r="K165" s="419"/>
      <c r="L165" s="213"/>
    </row>
    <row r="166" spans="1:12" ht="15.75" thickBot="1" x14ac:dyDescent="0.3">
      <c r="A166" s="419"/>
      <c r="B166" s="273">
        <v>1</v>
      </c>
      <c r="C166" s="273">
        <v>2</v>
      </c>
      <c r="D166" s="273">
        <v>3</v>
      </c>
      <c r="E166" s="274">
        <v>4</v>
      </c>
      <c r="F166" s="274">
        <f>+E166+1</f>
        <v>5</v>
      </c>
      <c r="G166" s="274" t="s">
        <v>648</v>
      </c>
      <c r="H166" s="274">
        <v>7</v>
      </c>
      <c r="I166" s="275" t="s">
        <v>647</v>
      </c>
      <c r="J166" s="287" t="s">
        <v>646</v>
      </c>
      <c r="K166" s="287" t="s">
        <v>649</v>
      </c>
      <c r="L166" s="214"/>
    </row>
    <row r="167" spans="1:12" x14ac:dyDescent="0.25">
      <c r="A167" s="288"/>
      <c r="B167" s="276" t="s">
        <v>706</v>
      </c>
      <c r="C167" s="288"/>
      <c r="D167" s="288"/>
      <c r="E167" s="288"/>
      <c r="F167" s="288"/>
      <c r="G167" s="288"/>
      <c r="H167" s="288"/>
      <c r="I167" s="288"/>
      <c r="J167" s="288"/>
      <c r="K167" s="288"/>
      <c r="L167" s="114"/>
    </row>
    <row r="168" spans="1:12" x14ac:dyDescent="0.25">
      <c r="A168" s="279">
        <v>1</v>
      </c>
      <c r="B168" s="61" t="s">
        <v>198</v>
      </c>
      <c r="C168" s="62">
        <v>15000</v>
      </c>
      <c r="D168" s="316">
        <v>1187.75</v>
      </c>
      <c r="E168" s="62">
        <v>0</v>
      </c>
      <c r="F168" s="61"/>
      <c r="G168" s="289">
        <f t="shared" ref="G168:G182" si="21">+E168+F168</f>
        <v>0</v>
      </c>
      <c r="H168" s="61">
        <f>3700-3700</f>
        <v>0</v>
      </c>
      <c r="I168" s="251">
        <f t="shared" ref="I168:I182" si="22">+G168-H168</f>
        <v>0</v>
      </c>
      <c r="J168" s="251">
        <f t="shared" ref="J168:J182" si="23">I168*C168</f>
        <v>0</v>
      </c>
      <c r="K168" s="290">
        <f t="shared" ref="K168:K182" si="24">+D168*I168</f>
        <v>0</v>
      </c>
      <c r="L168" s="215"/>
    </row>
    <row r="169" spans="1:12" x14ac:dyDescent="0.25">
      <c r="A169" s="279">
        <v>2</v>
      </c>
      <c r="B169" s="61" t="s">
        <v>868</v>
      </c>
      <c r="C169" s="62">
        <v>20000</v>
      </c>
      <c r="D169" s="316">
        <v>1221.53</v>
      </c>
      <c r="E169" s="62">
        <v>0</v>
      </c>
      <c r="F169" s="61"/>
      <c r="G169" s="289">
        <f t="shared" si="21"/>
        <v>0</v>
      </c>
      <c r="H169" s="61">
        <f>800-800</f>
        <v>0</v>
      </c>
      <c r="I169" s="251">
        <f t="shared" si="22"/>
        <v>0</v>
      </c>
      <c r="J169" s="251">
        <f t="shared" si="23"/>
        <v>0</v>
      </c>
      <c r="K169" s="290">
        <f t="shared" si="24"/>
        <v>0</v>
      </c>
      <c r="L169" s="215"/>
    </row>
    <row r="170" spans="1:12" x14ac:dyDescent="0.25">
      <c r="A170" s="279">
        <v>3</v>
      </c>
      <c r="B170" s="61" t="s">
        <v>869</v>
      </c>
      <c r="C170" s="62">
        <v>2500</v>
      </c>
      <c r="D170" s="316">
        <v>1221.53</v>
      </c>
      <c r="E170" s="62">
        <v>0</v>
      </c>
      <c r="F170" s="61"/>
      <c r="G170" s="289">
        <f t="shared" si="21"/>
        <v>0</v>
      </c>
      <c r="H170" s="61">
        <f>1300-1300</f>
        <v>0</v>
      </c>
      <c r="I170" s="251">
        <f t="shared" si="22"/>
        <v>0</v>
      </c>
      <c r="J170" s="251">
        <f t="shared" si="23"/>
        <v>0</v>
      </c>
      <c r="K170" s="290">
        <f t="shared" si="24"/>
        <v>0</v>
      </c>
      <c r="L170" s="215"/>
    </row>
    <row r="171" spans="1:12" x14ac:dyDescent="0.25">
      <c r="A171" s="279">
        <v>4</v>
      </c>
      <c r="B171" s="61" t="s">
        <v>199</v>
      </c>
      <c r="C171" s="62">
        <v>5000</v>
      </c>
      <c r="D171" s="316">
        <v>1009.13</v>
      </c>
      <c r="E171" s="62">
        <v>0</v>
      </c>
      <c r="F171" s="61"/>
      <c r="G171" s="289">
        <f t="shared" si="21"/>
        <v>0</v>
      </c>
      <c r="H171" s="61">
        <f t="shared" ref="H171:H177" si="25">2400-2400</f>
        <v>0</v>
      </c>
      <c r="I171" s="251">
        <f t="shared" si="22"/>
        <v>0</v>
      </c>
      <c r="J171" s="251">
        <f t="shared" si="23"/>
        <v>0</v>
      </c>
      <c r="K171" s="290">
        <f t="shared" si="24"/>
        <v>0</v>
      </c>
      <c r="L171" s="215"/>
    </row>
    <row r="172" spans="1:12" x14ac:dyDescent="0.25">
      <c r="A172" s="279">
        <v>5</v>
      </c>
      <c r="B172" s="61" t="s">
        <v>200</v>
      </c>
      <c r="C172" s="62">
        <v>5000</v>
      </c>
      <c r="D172" s="316">
        <v>1009.13</v>
      </c>
      <c r="E172" s="62">
        <v>0</v>
      </c>
      <c r="F172" s="61"/>
      <c r="G172" s="289">
        <f t="shared" si="21"/>
        <v>0</v>
      </c>
      <c r="H172" s="61">
        <f t="shared" si="25"/>
        <v>0</v>
      </c>
      <c r="I172" s="251">
        <f t="shared" si="22"/>
        <v>0</v>
      </c>
      <c r="J172" s="251">
        <f t="shared" si="23"/>
        <v>0</v>
      </c>
      <c r="K172" s="290">
        <f t="shared" si="24"/>
        <v>0</v>
      </c>
      <c r="L172" s="215"/>
    </row>
    <row r="173" spans="1:12" x14ac:dyDescent="0.25">
      <c r="A173" s="279">
        <v>6</v>
      </c>
      <c r="B173" s="61" t="s">
        <v>201</v>
      </c>
      <c r="C173" s="62">
        <v>5000</v>
      </c>
      <c r="D173" s="316">
        <v>1009.13</v>
      </c>
      <c r="E173" s="62">
        <v>0</v>
      </c>
      <c r="F173" s="61"/>
      <c r="G173" s="289">
        <f t="shared" si="21"/>
        <v>0</v>
      </c>
      <c r="H173" s="61">
        <f t="shared" si="25"/>
        <v>0</v>
      </c>
      <c r="I173" s="251">
        <f t="shared" si="22"/>
        <v>0</v>
      </c>
      <c r="J173" s="251">
        <f t="shared" si="23"/>
        <v>0</v>
      </c>
      <c r="K173" s="290">
        <f t="shared" si="24"/>
        <v>0</v>
      </c>
      <c r="L173" s="215"/>
    </row>
    <row r="174" spans="1:12" x14ac:dyDescent="0.25">
      <c r="A174" s="279">
        <v>7</v>
      </c>
      <c r="B174" s="61" t="s">
        <v>202</v>
      </c>
      <c r="C174" s="62">
        <v>5000</v>
      </c>
      <c r="D174" s="316">
        <v>1009.13</v>
      </c>
      <c r="E174" s="62">
        <v>0</v>
      </c>
      <c r="F174" s="61"/>
      <c r="G174" s="289">
        <f t="shared" si="21"/>
        <v>0</v>
      </c>
      <c r="H174" s="61">
        <f t="shared" si="25"/>
        <v>0</v>
      </c>
      <c r="I174" s="251">
        <f t="shared" si="22"/>
        <v>0</v>
      </c>
      <c r="J174" s="251">
        <f t="shared" si="23"/>
        <v>0</v>
      </c>
      <c r="K174" s="290">
        <f t="shared" si="24"/>
        <v>0</v>
      </c>
      <c r="L174" s="215"/>
    </row>
    <row r="175" spans="1:12" x14ac:dyDescent="0.25">
      <c r="A175" s="279">
        <v>8</v>
      </c>
      <c r="B175" s="61" t="s">
        <v>203</v>
      </c>
      <c r="C175" s="62">
        <v>5000</v>
      </c>
      <c r="D175" s="316">
        <v>1009.13</v>
      </c>
      <c r="E175" s="62">
        <v>0</v>
      </c>
      <c r="F175" s="61"/>
      <c r="G175" s="289">
        <f t="shared" si="21"/>
        <v>0</v>
      </c>
      <c r="H175" s="61">
        <f t="shared" si="25"/>
        <v>0</v>
      </c>
      <c r="I175" s="251">
        <f t="shared" si="22"/>
        <v>0</v>
      </c>
      <c r="J175" s="251">
        <f t="shared" si="23"/>
        <v>0</v>
      </c>
      <c r="K175" s="290">
        <f t="shared" si="24"/>
        <v>0</v>
      </c>
      <c r="L175" s="215"/>
    </row>
    <row r="176" spans="1:12" x14ac:dyDescent="0.25">
      <c r="A176" s="279">
        <v>9</v>
      </c>
      <c r="B176" s="61" t="s">
        <v>204</v>
      </c>
      <c r="C176" s="62">
        <v>5000</v>
      </c>
      <c r="D176" s="316">
        <v>1009.13</v>
      </c>
      <c r="E176" s="62">
        <v>0</v>
      </c>
      <c r="F176" s="61"/>
      <c r="G176" s="289">
        <f t="shared" si="21"/>
        <v>0</v>
      </c>
      <c r="H176" s="61">
        <f t="shared" si="25"/>
        <v>0</v>
      </c>
      <c r="I176" s="251">
        <f t="shared" si="22"/>
        <v>0</v>
      </c>
      <c r="J176" s="251">
        <f t="shared" si="23"/>
        <v>0</v>
      </c>
      <c r="K176" s="290">
        <f t="shared" si="24"/>
        <v>0</v>
      </c>
      <c r="L176" s="215"/>
    </row>
    <row r="177" spans="1:14" x14ac:dyDescent="0.25">
      <c r="A177" s="279">
        <v>10</v>
      </c>
      <c r="B177" s="61" t="s">
        <v>205</v>
      </c>
      <c r="C177" s="62">
        <v>5000</v>
      </c>
      <c r="D177" s="316">
        <v>1009.13</v>
      </c>
      <c r="E177" s="62">
        <v>0</v>
      </c>
      <c r="F177" s="61"/>
      <c r="G177" s="289">
        <f t="shared" si="21"/>
        <v>0</v>
      </c>
      <c r="H177" s="61">
        <f t="shared" si="25"/>
        <v>0</v>
      </c>
      <c r="I177" s="251">
        <f t="shared" si="22"/>
        <v>0</v>
      </c>
      <c r="J177" s="251">
        <f t="shared" si="23"/>
        <v>0</v>
      </c>
      <c r="K177" s="290">
        <f t="shared" si="24"/>
        <v>0</v>
      </c>
      <c r="L177" s="215"/>
    </row>
    <row r="178" spans="1:14" x14ac:dyDescent="0.25">
      <c r="A178" s="279">
        <v>11</v>
      </c>
      <c r="B178" s="61" t="s">
        <v>206</v>
      </c>
      <c r="C178" s="319">
        <v>2500</v>
      </c>
      <c r="D178" s="316">
        <v>1018.33</v>
      </c>
      <c r="E178" s="62">
        <v>0</v>
      </c>
      <c r="F178" s="61">
        <f>1800-1800</f>
        <v>0</v>
      </c>
      <c r="G178" s="289">
        <f t="shared" si="21"/>
        <v>0</v>
      </c>
      <c r="H178" s="61">
        <f>400-400</f>
        <v>0</v>
      </c>
      <c r="I178" s="251">
        <f t="shared" si="22"/>
        <v>0</v>
      </c>
      <c r="J178" s="251">
        <f t="shared" si="23"/>
        <v>0</v>
      </c>
      <c r="K178" s="290">
        <f t="shared" si="24"/>
        <v>0</v>
      </c>
      <c r="L178" s="194"/>
      <c r="M178" s="203" t="s">
        <v>932</v>
      </c>
    </row>
    <row r="179" spans="1:14" x14ac:dyDescent="0.25">
      <c r="A179" s="279">
        <v>12</v>
      </c>
      <c r="B179" s="61" t="s">
        <v>771</v>
      </c>
      <c r="C179" s="62">
        <v>5000</v>
      </c>
      <c r="D179" s="316">
        <v>1221.53</v>
      </c>
      <c r="E179" s="62">
        <v>0</v>
      </c>
      <c r="F179" s="61"/>
      <c r="G179" s="289">
        <f t="shared" si="21"/>
        <v>0</v>
      </c>
      <c r="H179" s="61">
        <f>800-800</f>
        <v>0</v>
      </c>
      <c r="I179" s="251">
        <f t="shared" si="22"/>
        <v>0</v>
      </c>
      <c r="J179" s="251">
        <f t="shared" si="23"/>
        <v>0</v>
      </c>
      <c r="K179" s="290">
        <f t="shared" si="24"/>
        <v>0</v>
      </c>
      <c r="L179" s="215"/>
    </row>
    <row r="180" spans="1:14" x14ac:dyDescent="0.25">
      <c r="A180" s="279">
        <v>13</v>
      </c>
      <c r="B180" s="61" t="s">
        <v>207</v>
      </c>
      <c r="C180" s="62">
        <v>5000</v>
      </c>
      <c r="D180" s="316">
        <v>2009.13</v>
      </c>
      <c r="E180" s="62">
        <v>0</v>
      </c>
      <c r="F180" s="61"/>
      <c r="G180" s="289">
        <f t="shared" si="21"/>
        <v>0</v>
      </c>
      <c r="H180" s="61">
        <f>995-995</f>
        <v>0</v>
      </c>
      <c r="I180" s="251">
        <f t="shared" si="22"/>
        <v>0</v>
      </c>
      <c r="J180" s="251">
        <f t="shared" si="23"/>
        <v>0</v>
      </c>
      <c r="K180" s="290">
        <f t="shared" si="24"/>
        <v>0</v>
      </c>
      <c r="L180" s="215"/>
    </row>
    <row r="181" spans="1:14" x14ac:dyDescent="0.25">
      <c r="A181" s="279">
        <v>14</v>
      </c>
      <c r="B181" s="61" t="s">
        <v>914</v>
      </c>
      <c r="C181" s="62">
        <v>10000</v>
      </c>
      <c r="D181" s="316">
        <v>956.88</v>
      </c>
      <c r="E181" s="62">
        <v>0</v>
      </c>
      <c r="F181" s="61"/>
      <c r="G181" s="289">
        <f t="shared" si="21"/>
        <v>0</v>
      </c>
      <c r="H181" s="61">
        <f>1200/2-600+200-200</f>
        <v>0</v>
      </c>
      <c r="I181" s="251">
        <f t="shared" si="22"/>
        <v>0</v>
      </c>
      <c r="J181" s="251">
        <f t="shared" si="23"/>
        <v>0</v>
      </c>
      <c r="K181" s="290">
        <f t="shared" si="24"/>
        <v>0</v>
      </c>
      <c r="L181" s="227" t="s">
        <v>1005</v>
      </c>
      <c r="M181" t="s">
        <v>933</v>
      </c>
    </row>
    <row r="182" spans="1:14" ht="15.75" thickBot="1" x14ac:dyDescent="0.3">
      <c r="A182" s="280">
        <v>15</v>
      </c>
      <c r="B182" s="281" t="s">
        <v>209</v>
      </c>
      <c r="C182" s="282">
        <f>+'[5]KEL B'!$FA$5</f>
        <v>5000</v>
      </c>
      <c r="D182" s="317">
        <v>1009.13</v>
      </c>
      <c r="E182" s="282">
        <v>0</v>
      </c>
      <c r="F182" s="281"/>
      <c r="G182" s="295">
        <f t="shared" si="21"/>
        <v>0</v>
      </c>
      <c r="H182" s="281">
        <f>1000-1000</f>
        <v>0</v>
      </c>
      <c r="I182" s="322">
        <f t="shared" si="22"/>
        <v>0</v>
      </c>
      <c r="J182" s="322">
        <f t="shared" si="23"/>
        <v>0</v>
      </c>
      <c r="K182" s="323">
        <f t="shared" si="24"/>
        <v>0</v>
      </c>
      <c r="L182" s="215"/>
    </row>
    <row r="183" spans="1:14" ht="15.75" thickBot="1" x14ac:dyDescent="0.3">
      <c r="A183" s="313"/>
      <c r="B183" s="96" t="s">
        <v>672</v>
      </c>
      <c r="C183" s="296"/>
      <c r="D183" s="97"/>
      <c r="E183" s="97">
        <f t="shared" ref="E183:K183" si="26">SUM(E168:E182)</f>
        <v>0</v>
      </c>
      <c r="F183" s="97">
        <f t="shared" si="26"/>
        <v>0</v>
      </c>
      <c r="G183" s="97">
        <f t="shared" si="26"/>
        <v>0</v>
      </c>
      <c r="H183" s="97">
        <f t="shared" si="26"/>
        <v>0</v>
      </c>
      <c r="I183" s="97">
        <f t="shared" si="26"/>
        <v>0</v>
      </c>
      <c r="J183" s="97">
        <f t="shared" si="26"/>
        <v>0</v>
      </c>
      <c r="K183" s="297">
        <f t="shared" si="26"/>
        <v>0</v>
      </c>
      <c r="L183" s="151"/>
    </row>
    <row r="184" spans="1:14" ht="15.75" thickBot="1" x14ac:dyDescent="0.3">
      <c r="A184" s="298"/>
      <c r="B184" s="80"/>
      <c r="C184" s="81"/>
      <c r="D184" s="82"/>
      <c r="E184" s="83"/>
      <c r="F184" s="80"/>
      <c r="G184" s="83"/>
      <c r="H184" s="83"/>
      <c r="I184" s="83"/>
      <c r="J184" s="83"/>
      <c r="K184" s="82"/>
      <c r="L184" s="140"/>
    </row>
    <row r="185" spans="1:14" ht="15.75" thickBot="1" x14ac:dyDescent="0.3">
      <c r="A185" s="418" t="s">
        <v>653</v>
      </c>
      <c r="B185" s="421" t="s">
        <v>704</v>
      </c>
      <c r="C185" s="421" t="s">
        <v>1</v>
      </c>
      <c r="D185" s="422" t="s">
        <v>645</v>
      </c>
      <c r="E185" s="423" t="s">
        <v>19</v>
      </c>
      <c r="F185" s="423"/>
      <c r="G185" s="423"/>
      <c r="H185" s="423"/>
      <c r="I185" s="423"/>
      <c r="J185" s="416" t="s">
        <v>20</v>
      </c>
      <c r="K185" s="418" t="s">
        <v>598</v>
      </c>
      <c r="L185" s="213"/>
    </row>
    <row r="186" spans="1:14" ht="15.75" thickBot="1" x14ac:dyDescent="0.3">
      <c r="A186" s="420"/>
      <c r="B186" s="421"/>
      <c r="C186" s="421"/>
      <c r="D186" s="422"/>
      <c r="E186" s="272" t="s">
        <v>21</v>
      </c>
      <c r="F186" s="272" t="s">
        <v>596</v>
      </c>
      <c r="G186" s="272" t="s">
        <v>597</v>
      </c>
      <c r="H186" s="272" t="s">
        <v>585</v>
      </c>
      <c r="I186" s="272" t="s">
        <v>597</v>
      </c>
      <c r="J186" s="417"/>
      <c r="K186" s="419"/>
      <c r="L186" s="213"/>
    </row>
    <row r="187" spans="1:14" ht="15.75" thickBot="1" x14ac:dyDescent="0.3">
      <c r="A187" s="419"/>
      <c r="B187" s="273">
        <v>1</v>
      </c>
      <c r="C187" s="273">
        <v>2</v>
      </c>
      <c r="D187" s="273">
        <v>3</v>
      </c>
      <c r="E187" s="274">
        <v>4</v>
      </c>
      <c r="F187" s="274">
        <f>+E187+1</f>
        <v>5</v>
      </c>
      <c r="G187" s="274" t="s">
        <v>648</v>
      </c>
      <c r="H187" s="274">
        <v>7</v>
      </c>
      <c r="I187" s="275" t="s">
        <v>647</v>
      </c>
      <c r="J187" s="287" t="s">
        <v>646</v>
      </c>
      <c r="K187" s="287" t="s">
        <v>649</v>
      </c>
      <c r="L187" s="214"/>
    </row>
    <row r="188" spans="1:14" x14ac:dyDescent="0.25">
      <c r="A188" s="288"/>
      <c r="B188" s="276" t="s">
        <v>707</v>
      </c>
      <c r="C188" s="288"/>
      <c r="D188" s="288"/>
      <c r="E188" s="288"/>
      <c r="F188" s="288"/>
      <c r="G188" s="288"/>
      <c r="H188" s="288"/>
      <c r="I188" s="288"/>
      <c r="J188" s="288"/>
      <c r="K188" s="288"/>
      <c r="L188" s="114"/>
    </row>
    <row r="189" spans="1:14" x14ac:dyDescent="0.25">
      <c r="A189" s="279">
        <v>1</v>
      </c>
      <c r="B189" s="61" t="s">
        <v>756</v>
      </c>
      <c r="C189" s="62">
        <v>10000</v>
      </c>
      <c r="D189" s="316">
        <v>896</v>
      </c>
      <c r="E189" s="62">
        <v>0</v>
      </c>
      <c r="F189" s="61"/>
      <c r="G189" s="289">
        <f t="shared" ref="G189:G195" si="27">+E189+F189</f>
        <v>0</v>
      </c>
      <c r="H189" s="61">
        <f>5000-5000+10798-10798</f>
        <v>0</v>
      </c>
      <c r="I189" s="251">
        <f t="shared" ref="I189:I195" si="28">+G189-H189</f>
        <v>0</v>
      </c>
      <c r="J189" s="251">
        <f t="shared" ref="J189:J195" si="29">I189*C189</f>
        <v>0</v>
      </c>
      <c r="K189" s="290">
        <f t="shared" ref="K189:K195" si="30">+D189*I189</f>
        <v>0</v>
      </c>
      <c r="L189" s="250" t="s">
        <v>1012</v>
      </c>
      <c r="N189" t="s">
        <v>1019</v>
      </c>
    </row>
    <row r="190" spans="1:14" x14ac:dyDescent="0.25">
      <c r="A190" s="279">
        <v>2</v>
      </c>
      <c r="B190" s="61" t="s">
        <v>757</v>
      </c>
      <c r="C190" s="62">
        <v>30000</v>
      </c>
      <c r="D190" s="316">
        <v>1344.75</v>
      </c>
      <c r="E190" s="62">
        <v>798</v>
      </c>
      <c r="F190" s="61"/>
      <c r="G190" s="289">
        <f t="shared" si="27"/>
        <v>798</v>
      </c>
      <c r="H190" s="61">
        <f>5000-5000</f>
        <v>0</v>
      </c>
      <c r="I190" s="251">
        <f t="shared" si="28"/>
        <v>798</v>
      </c>
      <c r="J190" s="251">
        <f t="shared" si="29"/>
        <v>23940000</v>
      </c>
      <c r="K190" s="290">
        <f t="shared" si="30"/>
        <v>1073110.5</v>
      </c>
      <c r="L190" s="227" t="s">
        <v>1082</v>
      </c>
    </row>
    <row r="191" spans="1:14" x14ac:dyDescent="0.25">
      <c r="A191" s="279">
        <v>3</v>
      </c>
      <c r="B191" s="61" t="s">
        <v>758</v>
      </c>
      <c r="C191" s="62">
        <f>+'[4]KEL B'!$FG$5</f>
        <v>10000</v>
      </c>
      <c r="D191" s="316">
        <v>962</v>
      </c>
      <c r="E191" s="62">
        <v>0</v>
      </c>
      <c r="F191" s="61"/>
      <c r="G191" s="289">
        <f t="shared" si="27"/>
        <v>0</v>
      </c>
      <c r="H191" s="61">
        <f>5000-5000+6600-6600</f>
        <v>0</v>
      </c>
      <c r="I191" s="251">
        <f t="shared" si="28"/>
        <v>0</v>
      </c>
      <c r="J191" s="251">
        <f t="shared" si="29"/>
        <v>0</v>
      </c>
      <c r="K191" s="290">
        <f t="shared" si="30"/>
        <v>0</v>
      </c>
      <c r="L191" s="250" t="s">
        <v>1011</v>
      </c>
      <c r="N191" t="s">
        <v>1020</v>
      </c>
    </row>
    <row r="192" spans="1:14" x14ac:dyDescent="0.25">
      <c r="A192" s="279">
        <v>4</v>
      </c>
      <c r="B192" s="61" t="s">
        <v>759</v>
      </c>
      <c r="C192" s="62">
        <f>+'[4]KEL B'!$FE$5</f>
        <v>5000</v>
      </c>
      <c r="D192" s="316">
        <v>896</v>
      </c>
      <c r="E192" s="62">
        <v>0</v>
      </c>
      <c r="F192" s="61"/>
      <c r="G192" s="289">
        <f t="shared" si="27"/>
        <v>0</v>
      </c>
      <c r="H192" s="61">
        <f>1000-1000</f>
        <v>0</v>
      </c>
      <c r="I192" s="251">
        <f t="shared" si="28"/>
        <v>0</v>
      </c>
      <c r="J192" s="251">
        <f t="shared" si="29"/>
        <v>0</v>
      </c>
      <c r="K192" s="290">
        <f t="shared" si="30"/>
        <v>0</v>
      </c>
      <c r="L192" s="215"/>
    </row>
    <row r="193" spans="1:14" x14ac:dyDescent="0.25">
      <c r="A193" s="279">
        <v>5</v>
      </c>
      <c r="B193" s="61" t="s">
        <v>760</v>
      </c>
      <c r="C193" s="62">
        <f>+'[4]KEL B'!$FF$5</f>
        <v>10000</v>
      </c>
      <c r="D193" s="316">
        <v>896</v>
      </c>
      <c r="E193" s="62">
        <v>300</v>
      </c>
      <c r="F193" s="61"/>
      <c r="G193" s="289">
        <f t="shared" si="27"/>
        <v>300</v>
      </c>
      <c r="H193" s="61">
        <f>500-500</f>
        <v>0</v>
      </c>
      <c r="I193" s="251">
        <f t="shared" si="28"/>
        <v>300</v>
      </c>
      <c r="J193" s="251">
        <f t="shared" si="29"/>
        <v>3000000</v>
      </c>
      <c r="K193" s="290">
        <f t="shared" si="30"/>
        <v>268800</v>
      </c>
      <c r="L193" s="227" t="s">
        <v>1083</v>
      </c>
    </row>
    <row r="194" spans="1:14" x14ac:dyDescent="0.25">
      <c r="A194" s="279">
        <v>6</v>
      </c>
      <c r="B194" s="61" t="s">
        <v>761</v>
      </c>
      <c r="C194" s="62">
        <f>+'[6]KEL B'!$FH$5</f>
        <v>10000</v>
      </c>
      <c r="D194" s="326">
        <v>670</v>
      </c>
      <c r="E194" s="62">
        <v>0</v>
      </c>
      <c r="F194" s="61"/>
      <c r="G194" s="289">
        <f t="shared" si="27"/>
        <v>0</v>
      </c>
      <c r="H194" s="61">
        <f>500-500+300-300</f>
        <v>0</v>
      </c>
      <c r="I194" s="251">
        <f t="shared" si="28"/>
        <v>0</v>
      </c>
      <c r="J194" s="251">
        <f t="shared" si="29"/>
        <v>0</v>
      </c>
      <c r="K194" s="290">
        <f t="shared" si="30"/>
        <v>0</v>
      </c>
      <c r="L194" s="250" t="s">
        <v>1007</v>
      </c>
      <c r="N194" t="s">
        <v>1021</v>
      </c>
    </row>
    <row r="195" spans="1:14" ht="15.75" thickBot="1" x14ac:dyDescent="0.3">
      <c r="A195" s="280">
        <v>7</v>
      </c>
      <c r="B195" s="281" t="s">
        <v>208</v>
      </c>
      <c r="C195" s="282">
        <f>+'[6]KEL B'!$FH$5</f>
        <v>10000</v>
      </c>
      <c r="D195" s="320">
        <v>970.67</v>
      </c>
      <c r="E195" s="282">
        <v>0</v>
      </c>
      <c r="F195" s="281">
        <f>100-100</f>
        <v>0</v>
      </c>
      <c r="G195" s="295">
        <f t="shared" si="27"/>
        <v>0</v>
      </c>
      <c r="H195" s="61">
        <f>500-500+300-300</f>
        <v>0</v>
      </c>
      <c r="I195" s="322">
        <f t="shared" si="28"/>
        <v>0</v>
      </c>
      <c r="J195" s="322">
        <f t="shared" si="29"/>
        <v>0</v>
      </c>
      <c r="K195" s="323">
        <f t="shared" si="30"/>
        <v>0</v>
      </c>
      <c r="L195" s="250" t="s">
        <v>1010</v>
      </c>
      <c r="N195" s="172">
        <v>100</v>
      </c>
    </row>
    <row r="196" spans="1:14" ht="15.75" thickBot="1" x14ac:dyDescent="0.3">
      <c r="A196" s="313"/>
      <c r="B196" s="96" t="s">
        <v>680</v>
      </c>
      <c r="C196" s="296"/>
      <c r="D196" s="97"/>
      <c r="E196" s="97">
        <f t="shared" ref="E196:K196" si="31">SUM(E189:E195)</f>
        <v>1098</v>
      </c>
      <c r="F196" s="97">
        <f t="shared" si="31"/>
        <v>0</v>
      </c>
      <c r="G196" s="97">
        <f t="shared" si="31"/>
        <v>1098</v>
      </c>
      <c r="H196" s="97">
        <f t="shared" si="31"/>
        <v>0</v>
      </c>
      <c r="I196" s="97">
        <f t="shared" si="31"/>
        <v>1098</v>
      </c>
      <c r="J196" s="97">
        <f t="shared" si="31"/>
        <v>26940000</v>
      </c>
      <c r="K196" s="297">
        <f t="shared" si="31"/>
        <v>1341910.5</v>
      </c>
      <c r="L196" s="151"/>
    </row>
    <row r="197" spans="1:14" ht="15.75" thickBot="1" x14ac:dyDescent="0.3">
      <c r="A197" s="298"/>
      <c r="B197" s="80"/>
      <c r="C197" s="81"/>
      <c r="D197" s="82"/>
      <c r="E197" s="83"/>
      <c r="F197" s="80"/>
      <c r="G197" s="83"/>
      <c r="H197" s="83"/>
      <c r="I197" s="83"/>
      <c r="J197" s="83"/>
      <c r="K197" s="82"/>
      <c r="L197" s="140"/>
    </row>
    <row r="198" spans="1:14" ht="15.75" thickBot="1" x14ac:dyDescent="0.3">
      <c r="A198" s="418" t="s">
        <v>653</v>
      </c>
      <c r="B198" s="421" t="s">
        <v>704</v>
      </c>
      <c r="C198" s="421" t="s">
        <v>1</v>
      </c>
      <c r="D198" s="422" t="s">
        <v>645</v>
      </c>
      <c r="E198" s="423" t="s">
        <v>19</v>
      </c>
      <c r="F198" s="423"/>
      <c r="G198" s="423"/>
      <c r="H198" s="423"/>
      <c r="I198" s="423"/>
      <c r="J198" s="416" t="s">
        <v>20</v>
      </c>
      <c r="K198" s="418" t="s">
        <v>598</v>
      </c>
      <c r="L198" s="213"/>
    </row>
    <row r="199" spans="1:14" ht="15.75" thickBot="1" x14ac:dyDescent="0.3">
      <c r="A199" s="420"/>
      <c r="B199" s="421"/>
      <c r="C199" s="421"/>
      <c r="D199" s="422"/>
      <c r="E199" s="272" t="s">
        <v>21</v>
      </c>
      <c r="F199" s="272" t="s">
        <v>596</v>
      </c>
      <c r="G199" s="272" t="s">
        <v>597</v>
      </c>
      <c r="H199" s="272" t="s">
        <v>585</v>
      </c>
      <c r="I199" s="272" t="s">
        <v>597</v>
      </c>
      <c r="J199" s="417"/>
      <c r="K199" s="419"/>
      <c r="L199" s="213"/>
    </row>
    <row r="200" spans="1:14" ht="15.75" thickBot="1" x14ac:dyDescent="0.3">
      <c r="A200" s="419"/>
      <c r="B200" s="273">
        <v>1</v>
      </c>
      <c r="C200" s="273">
        <v>2</v>
      </c>
      <c r="D200" s="273">
        <v>3</v>
      </c>
      <c r="E200" s="274">
        <v>4</v>
      </c>
      <c r="F200" s="274">
        <f>+E200+1</f>
        <v>5</v>
      </c>
      <c r="G200" s="274" t="s">
        <v>648</v>
      </c>
      <c r="H200" s="274">
        <v>7</v>
      </c>
      <c r="I200" s="275" t="s">
        <v>647</v>
      </c>
      <c r="J200" s="287" t="s">
        <v>646</v>
      </c>
      <c r="K200" s="287" t="s">
        <v>649</v>
      </c>
      <c r="L200" s="214"/>
    </row>
    <row r="201" spans="1:14" x14ac:dyDescent="0.25">
      <c r="A201" s="288"/>
      <c r="B201" s="276" t="s">
        <v>708</v>
      </c>
      <c r="C201" s="288"/>
      <c r="D201" s="288"/>
      <c r="E201" s="288"/>
      <c r="F201" s="288"/>
      <c r="G201" s="288"/>
      <c r="H201" s="288"/>
      <c r="I201" s="288"/>
      <c r="J201" s="288"/>
      <c r="K201" s="288"/>
      <c r="L201" s="114"/>
    </row>
    <row r="202" spans="1:14" x14ac:dyDescent="0.25">
      <c r="A202" s="279">
        <v>1</v>
      </c>
      <c r="B202" s="61" t="s">
        <v>210</v>
      </c>
      <c r="C202" s="291">
        <v>15000</v>
      </c>
      <c r="D202" s="321">
        <v>1457</v>
      </c>
      <c r="E202" s="62">
        <v>400</v>
      </c>
      <c r="F202" s="61"/>
      <c r="G202" s="289">
        <f>+E202+F202</f>
        <v>400</v>
      </c>
      <c r="H202" s="61"/>
      <c r="I202" s="251">
        <f>+G202-H202</f>
        <v>400</v>
      </c>
      <c r="J202" s="251">
        <f>I202*C202</f>
        <v>6000000</v>
      </c>
      <c r="K202" s="290">
        <f>+D202*I202</f>
        <v>582800</v>
      </c>
      <c r="L202" s="227" t="s">
        <v>1084</v>
      </c>
    </row>
    <row r="203" spans="1:14" x14ac:dyDescent="0.25">
      <c r="A203" s="279">
        <v>2</v>
      </c>
      <c r="B203" s="61" t="s">
        <v>211</v>
      </c>
      <c r="C203" s="291">
        <v>10000</v>
      </c>
      <c r="D203" s="321">
        <v>1107.1099999999999</v>
      </c>
      <c r="E203" s="62">
        <v>195</v>
      </c>
      <c r="F203" s="61"/>
      <c r="G203" s="289">
        <f t="shared" ref="G203:G210" si="32">+E203+F203</f>
        <v>195</v>
      </c>
      <c r="H203" s="61"/>
      <c r="I203" s="251">
        <f t="shared" ref="I203:I210" si="33">+G203-H203</f>
        <v>195</v>
      </c>
      <c r="J203" s="251">
        <f t="shared" ref="J203:J210" si="34">I203*C203</f>
        <v>1950000</v>
      </c>
      <c r="K203" s="290">
        <f t="shared" ref="K203:K210" si="35">+D203*I203</f>
        <v>215886.44999999998</v>
      </c>
      <c r="L203" s="227" t="s">
        <v>1085</v>
      </c>
    </row>
    <row r="204" spans="1:14" x14ac:dyDescent="0.25">
      <c r="A204" s="279">
        <v>3</v>
      </c>
      <c r="B204" s="61" t="str">
        <f>+'[4]KEL B'!$FE$3</f>
        <v>SS PEDULI LINGK</v>
      </c>
      <c r="C204" s="291">
        <v>10000</v>
      </c>
      <c r="D204" s="321">
        <v>1146</v>
      </c>
      <c r="E204" s="62">
        <v>0</v>
      </c>
      <c r="F204" s="61"/>
      <c r="G204" s="289">
        <f t="shared" si="32"/>
        <v>0</v>
      </c>
      <c r="H204" s="61">
        <f>5000-5000</f>
        <v>0</v>
      </c>
      <c r="I204" s="251">
        <f t="shared" si="33"/>
        <v>0</v>
      </c>
      <c r="J204" s="251">
        <f t="shared" si="34"/>
        <v>0</v>
      </c>
      <c r="K204" s="290">
        <f t="shared" si="35"/>
        <v>0</v>
      </c>
      <c r="L204" s="215"/>
    </row>
    <row r="205" spans="1:14" x14ac:dyDescent="0.25">
      <c r="A205" s="279">
        <v>4</v>
      </c>
      <c r="B205" s="61" t="s">
        <v>212</v>
      </c>
      <c r="C205" s="291">
        <v>20000</v>
      </c>
      <c r="D205" s="316">
        <v>1586.85</v>
      </c>
      <c r="E205" s="62">
        <v>1000</v>
      </c>
      <c r="F205" s="61"/>
      <c r="G205" s="289">
        <f t="shared" si="32"/>
        <v>1000</v>
      </c>
      <c r="H205" s="61">
        <f>5000-5000</f>
        <v>0</v>
      </c>
      <c r="I205" s="251">
        <f t="shared" si="33"/>
        <v>1000</v>
      </c>
      <c r="J205" s="251">
        <f t="shared" si="34"/>
        <v>20000000</v>
      </c>
      <c r="K205" s="290">
        <f t="shared" si="35"/>
        <v>1586850</v>
      </c>
      <c r="L205" s="227" t="s">
        <v>1086</v>
      </c>
    </row>
    <row r="206" spans="1:14" x14ac:dyDescent="0.25">
      <c r="A206" s="279">
        <v>5</v>
      </c>
      <c r="B206" s="61" t="s">
        <v>213</v>
      </c>
      <c r="C206" s="291">
        <v>60000</v>
      </c>
      <c r="D206" s="327">
        <v>3173.7</v>
      </c>
      <c r="E206" s="62">
        <v>0</v>
      </c>
      <c r="F206" s="61"/>
      <c r="G206" s="289">
        <f t="shared" si="32"/>
        <v>0</v>
      </c>
      <c r="H206" s="61">
        <f>30-30</f>
        <v>0</v>
      </c>
      <c r="I206" s="251">
        <f t="shared" si="33"/>
        <v>0</v>
      </c>
      <c r="J206" s="251">
        <f t="shared" si="34"/>
        <v>0</v>
      </c>
      <c r="K206" s="290">
        <f t="shared" si="35"/>
        <v>0</v>
      </c>
      <c r="L206" s="215"/>
    </row>
    <row r="207" spans="1:14" x14ac:dyDescent="0.25">
      <c r="A207" s="279">
        <v>6</v>
      </c>
      <c r="B207" s="61" t="s">
        <v>536</v>
      </c>
      <c r="C207" s="291">
        <v>50000</v>
      </c>
      <c r="D207" s="316">
        <v>22904.74</v>
      </c>
      <c r="E207" s="62">
        <v>5750</v>
      </c>
      <c r="F207" s="61"/>
      <c r="G207" s="289">
        <f t="shared" si="32"/>
        <v>5750</v>
      </c>
      <c r="H207" s="62">
        <f>(400-400+1000-1000)+100-100</f>
        <v>0</v>
      </c>
      <c r="I207" s="251">
        <f t="shared" si="33"/>
        <v>5750</v>
      </c>
      <c r="J207" s="251">
        <f t="shared" si="34"/>
        <v>287500000</v>
      </c>
      <c r="K207" s="290">
        <f t="shared" si="35"/>
        <v>131702255.00000001</v>
      </c>
      <c r="L207" s="194"/>
      <c r="M207" s="176">
        <f>+I207-7250</f>
        <v>-1500</v>
      </c>
    </row>
    <row r="208" spans="1:14" x14ac:dyDescent="0.25">
      <c r="A208" s="279">
        <v>7</v>
      </c>
      <c r="B208" s="61" t="s">
        <v>552</v>
      </c>
      <c r="C208" s="291">
        <v>20000</v>
      </c>
      <c r="D208" s="62">
        <v>1287</v>
      </c>
      <c r="E208" s="62">
        <v>0</v>
      </c>
      <c r="F208" s="61"/>
      <c r="G208" s="289">
        <f t="shared" si="32"/>
        <v>0</v>
      </c>
      <c r="H208" s="61">
        <f>6000/4-1500+200-200</f>
        <v>0</v>
      </c>
      <c r="I208" s="251">
        <f t="shared" si="33"/>
        <v>0</v>
      </c>
      <c r="J208" s="251">
        <f t="shared" si="34"/>
        <v>0</v>
      </c>
      <c r="K208" s="290">
        <f t="shared" si="35"/>
        <v>0</v>
      </c>
      <c r="L208" s="227" t="s">
        <v>1005</v>
      </c>
      <c r="M208" t="s">
        <v>934</v>
      </c>
    </row>
    <row r="209" spans="1:14" x14ac:dyDescent="0.25">
      <c r="A209" s="279">
        <v>8</v>
      </c>
      <c r="B209" s="61" t="s">
        <v>569</v>
      </c>
      <c r="C209" s="62">
        <v>10000</v>
      </c>
      <c r="D209" s="327">
        <v>931.5</v>
      </c>
      <c r="E209" s="62">
        <v>0</v>
      </c>
      <c r="F209" s="61"/>
      <c r="G209" s="289">
        <f t="shared" si="32"/>
        <v>0</v>
      </c>
      <c r="H209" s="61">
        <f>4000-4000</f>
        <v>0</v>
      </c>
      <c r="I209" s="251">
        <f t="shared" si="33"/>
        <v>0</v>
      </c>
      <c r="J209" s="251">
        <f t="shared" si="34"/>
        <v>0</v>
      </c>
      <c r="K209" s="290">
        <f t="shared" si="35"/>
        <v>0</v>
      </c>
      <c r="L209" s="215"/>
    </row>
    <row r="210" spans="1:14" ht="15.75" thickBot="1" x14ac:dyDescent="0.3">
      <c r="A210" s="280">
        <v>9</v>
      </c>
      <c r="B210" s="281" t="s">
        <v>772</v>
      </c>
      <c r="C210" s="282">
        <v>10000</v>
      </c>
      <c r="D210" s="282">
        <v>1871</v>
      </c>
      <c r="E210" s="282">
        <v>0</v>
      </c>
      <c r="F210" s="281"/>
      <c r="G210" s="295">
        <f t="shared" si="32"/>
        <v>0</v>
      </c>
      <c r="H210" s="281">
        <f>4000-4000</f>
        <v>0</v>
      </c>
      <c r="I210" s="322">
        <f t="shared" si="33"/>
        <v>0</v>
      </c>
      <c r="J210" s="322">
        <f t="shared" si="34"/>
        <v>0</v>
      </c>
      <c r="K210" s="323">
        <f t="shared" si="35"/>
        <v>0</v>
      </c>
      <c r="L210" s="215"/>
    </row>
    <row r="211" spans="1:14" ht="15.75" thickBot="1" x14ac:dyDescent="0.3">
      <c r="A211" s="313"/>
      <c r="B211" s="96" t="s">
        <v>682</v>
      </c>
      <c r="C211" s="296"/>
      <c r="D211" s="296"/>
      <c r="E211" s="97">
        <f>SUM(E202:E210)</f>
        <v>7345</v>
      </c>
      <c r="F211" s="97">
        <f t="shared" ref="F211:K211" si="36">SUM(F202:F210)</f>
        <v>0</v>
      </c>
      <c r="G211" s="97">
        <f t="shared" si="36"/>
        <v>7345</v>
      </c>
      <c r="H211" s="97">
        <f t="shared" si="36"/>
        <v>0</v>
      </c>
      <c r="I211" s="97">
        <f t="shared" si="36"/>
        <v>7345</v>
      </c>
      <c r="J211" s="97">
        <f t="shared" si="36"/>
        <v>315450000</v>
      </c>
      <c r="K211" s="328">
        <f t="shared" si="36"/>
        <v>134087791.45000002</v>
      </c>
      <c r="L211" s="151"/>
    </row>
    <row r="212" spans="1:14" ht="15.75" thickBot="1" x14ac:dyDescent="0.3">
      <c r="A212" s="298"/>
      <c r="B212" s="80"/>
      <c r="C212" s="81"/>
      <c r="D212" s="82"/>
      <c r="E212" s="83"/>
      <c r="F212" s="80"/>
      <c r="G212" s="83"/>
      <c r="H212" s="83"/>
      <c r="I212" s="83"/>
      <c r="J212" s="83"/>
      <c r="K212" s="82"/>
      <c r="L212" s="140"/>
    </row>
    <row r="213" spans="1:14" ht="15.75" thickBot="1" x14ac:dyDescent="0.3">
      <c r="A213" s="418" t="s">
        <v>653</v>
      </c>
      <c r="B213" s="421" t="s">
        <v>704</v>
      </c>
      <c r="C213" s="421" t="s">
        <v>1</v>
      </c>
      <c r="D213" s="422" t="s">
        <v>645</v>
      </c>
      <c r="E213" s="423" t="s">
        <v>19</v>
      </c>
      <c r="F213" s="423"/>
      <c r="G213" s="423"/>
      <c r="H213" s="423"/>
      <c r="I213" s="423"/>
      <c r="J213" s="416" t="s">
        <v>20</v>
      </c>
      <c r="K213" s="418" t="s">
        <v>598</v>
      </c>
      <c r="L213" s="213"/>
    </row>
    <row r="214" spans="1:14" ht="15.75" thickBot="1" x14ac:dyDescent="0.3">
      <c r="A214" s="420"/>
      <c r="B214" s="421"/>
      <c r="C214" s="421"/>
      <c r="D214" s="422"/>
      <c r="E214" s="272" t="s">
        <v>21</v>
      </c>
      <c r="F214" s="272" t="s">
        <v>596</v>
      </c>
      <c r="G214" s="272" t="s">
        <v>597</v>
      </c>
      <c r="H214" s="272" t="s">
        <v>585</v>
      </c>
      <c r="I214" s="272" t="s">
        <v>597</v>
      </c>
      <c r="J214" s="417"/>
      <c r="K214" s="419"/>
      <c r="L214" s="213"/>
    </row>
    <row r="215" spans="1:14" ht="15.75" thickBot="1" x14ac:dyDescent="0.3">
      <c r="A215" s="419"/>
      <c r="B215" s="273">
        <v>1</v>
      </c>
      <c r="C215" s="273">
        <v>2</v>
      </c>
      <c r="D215" s="273">
        <v>3</v>
      </c>
      <c r="E215" s="274">
        <v>4</v>
      </c>
      <c r="F215" s="274">
        <f>+E215+1</f>
        <v>5</v>
      </c>
      <c r="G215" s="274" t="s">
        <v>648</v>
      </c>
      <c r="H215" s="274">
        <v>7</v>
      </c>
      <c r="I215" s="275" t="s">
        <v>647</v>
      </c>
      <c r="J215" s="287" t="s">
        <v>646</v>
      </c>
      <c r="K215" s="287" t="s">
        <v>649</v>
      </c>
      <c r="L215" s="214"/>
    </row>
    <row r="216" spans="1:14" x14ac:dyDescent="0.25">
      <c r="A216" s="288"/>
      <c r="B216" s="276" t="s">
        <v>709</v>
      </c>
      <c r="C216" s="288"/>
      <c r="D216" s="288"/>
      <c r="E216" s="288"/>
      <c r="F216" s="288"/>
      <c r="G216" s="329">
        <f>+E216+F216</f>
        <v>0</v>
      </c>
      <c r="H216" s="288"/>
      <c r="I216" s="330">
        <f>+G216-H216</f>
        <v>0</v>
      </c>
      <c r="J216" s="330">
        <f>I216*C216</f>
        <v>0</v>
      </c>
      <c r="K216" s="331">
        <f>+D216*I216</f>
        <v>0</v>
      </c>
      <c r="L216" s="215"/>
    </row>
    <row r="217" spans="1:14" x14ac:dyDescent="0.25">
      <c r="A217" s="279">
        <v>1</v>
      </c>
      <c r="B217" s="61" t="s">
        <v>171</v>
      </c>
      <c r="C217" s="62">
        <v>5000</v>
      </c>
      <c r="D217" s="316">
        <v>1064.25</v>
      </c>
      <c r="E217" s="62">
        <v>0</v>
      </c>
      <c r="F217" s="61"/>
      <c r="G217" s="289">
        <f t="shared" ref="G217:G225" si="37">+E217+F217</f>
        <v>0</v>
      </c>
      <c r="H217" s="61">
        <f>2000-2000</f>
        <v>0</v>
      </c>
      <c r="I217" s="251">
        <f t="shared" ref="I217:I225" si="38">+G217-H217</f>
        <v>0</v>
      </c>
      <c r="J217" s="251">
        <f t="shared" ref="J217:J225" si="39">I217*C217</f>
        <v>0</v>
      </c>
      <c r="K217" s="290">
        <f t="shared" ref="K217:K225" si="40">+D217*I217</f>
        <v>0</v>
      </c>
      <c r="L217" s="215"/>
    </row>
    <row r="218" spans="1:14" x14ac:dyDescent="0.25">
      <c r="A218" s="279">
        <v>2</v>
      </c>
      <c r="B218" s="61" t="s">
        <v>731</v>
      </c>
      <c r="C218" s="62">
        <v>22000</v>
      </c>
      <c r="D218" s="62">
        <v>1620</v>
      </c>
      <c r="E218" s="251">
        <v>0</v>
      </c>
      <c r="F218" s="61"/>
      <c r="G218" s="289">
        <f t="shared" si="37"/>
        <v>0</v>
      </c>
      <c r="H218" s="61">
        <f>5000-5000</f>
        <v>0</v>
      </c>
      <c r="I218" s="251">
        <f t="shared" si="38"/>
        <v>0</v>
      </c>
      <c r="J218" s="251">
        <f t="shared" si="39"/>
        <v>0</v>
      </c>
      <c r="K218" s="290">
        <f t="shared" si="40"/>
        <v>0</v>
      </c>
      <c r="L218" s="215"/>
    </row>
    <row r="219" spans="1:14" x14ac:dyDescent="0.25">
      <c r="A219" s="279">
        <v>3</v>
      </c>
      <c r="B219" s="61" t="s">
        <v>590</v>
      </c>
      <c r="C219" s="62">
        <v>18000</v>
      </c>
      <c r="D219" s="62">
        <v>1620</v>
      </c>
      <c r="E219" s="62">
        <v>1000</v>
      </c>
      <c r="F219" s="61"/>
      <c r="G219" s="289">
        <f t="shared" si="37"/>
        <v>1000</v>
      </c>
      <c r="H219" s="61">
        <f>5000-5000</f>
        <v>0</v>
      </c>
      <c r="I219" s="251">
        <f t="shared" si="38"/>
        <v>1000</v>
      </c>
      <c r="J219" s="251">
        <f t="shared" si="39"/>
        <v>18000000</v>
      </c>
      <c r="K219" s="290">
        <f t="shared" si="40"/>
        <v>1620000</v>
      </c>
      <c r="L219" s="227" t="s">
        <v>1086</v>
      </c>
      <c r="N219" t="s">
        <v>961</v>
      </c>
    </row>
    <row r="220" spans="1:14" x14ac:dyDescent="0.25">
      <c r="A220" s="279">
        <v>4</v>
      </c>
      <c r="B220" s="61" t="s">
        <v>591</v>
      </c>
      <c r="C220" s="62">
        <v>10000</v>
      </c>
      <c r="D220" s="62">
        <v>1410</v>
      </c>
      <c r="E220" s="251">
        <v>0</v>
      </c>
      <c r="F220" s="61"/>
      <c r="G220" s="289">
        <f t="shared" si="37"/>
        <v>0</v>
      </c>
      <c r="H220" s="61">
        <f>2000-2000</f>
        <v>0</v>
      </c>
      <c r="I220" s="251">
        <f t="shared" si="38"/>
        <v>0</v>
      </c>
      <c r="J220" s="251">
        <f t="shared" si="39"/>
        <v>0</v>
      </c>
      <c r="K220" s="290">
        <f t="shared" si="40"/>
        <v>0</v>
      </c>
      <c r="L220" s="215"/>
    </row>
    <row r="221" spans="1:14" x14ac:dyDescent="0.25">
      <c r="A221" s="279">
        <v>5</v>
      </c>
      <c r="B221" s="61" t="s">
        <v>729</v>
      </c>
      <c r="C221" s="62">
        <v>5000</v>
      </c>
      <c r="D221" s="327">
        <v>1272.5</v>
      </c>
      <c r="E221" s="251">
        <v>0</v>
      </c>
      <c r="F221" s="61"/>
      <c r="G221" s="289">
        <f t="shared" si="37"/>
        <v>0</v>
      </c>
      <c r="H221" s="61">
        <f>4300-4300</f>
        <v>0</v>
      </c>
      <c r="I221" s="251">
        <f t="shared" si="38"/>
        <v>0</v>
      </c>
      <c r="J221" s="251">
        <f t="shared" si="39"/>
        <v>0</v>
      </c>
      <c r="K221" s="290">
        <f t="shared" si="40"/>
        <v>0</v>
      </c>
      <c r="L221" s="215"/>
      <c r="M221" s="40" t="s">
        <v>904</v>
      </c>
    </row>
    <row r="222" spans="1:14" x14ac:dyDescent="0.25">
      <c r="A222" s="279">
        <v>6</v>
      </c>
      <c r="B222" s="61" t="s">
        <v>616</v>
      </c>
      <c r="C222" s="62">
        <v>5000</v>
      </c>
      <c r="D222" s="316">
        <v>1270.9100000000001</v>
      </c>
      <c r="E222" s="251">
        <v>0</v>
      </c>
      <c r="F222" s="332"/>
      <c r="G222" s="289">
        <f t="shared" si="37"/>
        <v>0</v>
      </c>
      <c r="H222" s="61">
        <f>4000-4000</f>
        <v>0</v>
      </c>
      <c r="I222" s="251">
        <f t="shared" si="38"/>
        <v>0</v>
      </c>
      <c r="J222" s="251">
        <f t="shared" si="39"/>
        <v>0</v>
      </c>
      <c r="K222" s="290">
        <f t="shared" si="40"/>
        <v>0</v>
      </c>
      <c r="L222" s="215"/>
    </row>
    <row r="223" spans="1:14" x14ac:dyDescent="0.25">
      <c r="A223" s="279">
        <v>7</v>
      </c>
      <c r="B223" s="61" t="s">
        <v>1013</v>
      </c>
      <c r="C223" s="62">
        <v>16000</v>
      </c>
      <c r="D223" s="316">
        <v>1270.9100000000001</v>
      </c>
      <c r="E223" s="62">
        <v>2699</v>
      </c>
      <c r="F223" s="61"/>
      <c r="G223" s="289">
        <f t="shared" si="37"/>
        <v>2699</v>
      </c>
      <c r="H223" s="61">
        <f>5000-5000+1-1</f>
        <v>0</v>
      </c>
      <c r="I223" s="251">
        <f t="shared" si="38"/>
        <v>2699</v>
      </c>
      <c r="J223" s="251">
        <f t="shared" si="39"/>
        <v>43184000</v>
      </c>
      <c r="K223" s="290">
        <f t="shared" si="40"/>
        <v>3430186.0900000003</v>
      </c>
      <c r="L223" s="227" t="s">
        <v>1167</v>
      </c>
      <c r="M223" s="170"/>
    </row>
    <row r="224" spans="1:14" x14ac:dyDescent="0.25">
      <c r="A224" s="279">
        <v>8</v>
      </c>
      <c r="B224" s="61" t="s">
        <v>208</v>
      </c>
      <c r="C224" s="62">
        <v>5000</v>
      </c>
      <c r="D224" s="284">
        <v>1186.92</v>
      </c>
      <c r="E224" s="62">
        <v>0</v>
      </c>
      <c r="F224" s="332"/>
      <c r="G224" s="289">
        <f t="shared" si="37"/>
        <v>0</v>
      </c>
      <c r="H224" s="61">
        <f>5000-5000+1920-1920+2880-2880</f>
        <v>0</v>
      </c>
      <c r="I224" s="251">
        <f t="shared" si="38"/>
        <v>0</v>
      </c>
      <c r="J224" s="251">
        <f t="shared" si="39"/>
        <v>0</v>
      </c>
      <c r="K224" s="290">
        <f t="shared" si="40"/>
        <v>0</v>
      </c>
      <c r="L224" s="227" t="s">
        <v>1014</v>
      </c>
      <c r="M224" t="s">
        <v>976</v>
      </c>
      <c r="N224" s="40">
        <v>1920</v>
      </c>
    </row>
    <row r="225" spans="1:23" ht="15.75" thickBot="1" x14ac:dyDescent="0.3">
      <c r="A225" s="280">
        <v>9</v>
      </c>
      <c r="B225" s="281" t="s">
        <v>730</v>
      </c>
      <c r="C225" s="282">
        <v>20000</v>
      </c>
      <c r="D225" s="333">
        <v>2134.42</v>
      </c>
      <c r="E225" s="282">
        <v>0</v>
      </c>
      <c r="F225" s="281"/>
      <c r="G225" s="295">
        <f t="shared" si="37"/>
        <v>0</v>
      </c>
      <c r="H225" s="281">
        <f>3000-3000</f>
        <v>0</v>
      </c>
      <c r="I225" s="322">
        <f t="shared" si="38"/>
        <v>0</v>
      </c>
      <c r="J225" s="322">
        <f t="shared" si="39"/>
        <v>0</v>
      </c>
      <c r="K225" s="323">
        <f t="shared" si="40"/>
        <v>0</v>
      </c>
      <c r="L225" s="215"/>
      <c r="M225" s="170"/>
    </row>
    <row r="226" spans="1:23" ht="15.75" thickBot="1" x14ac:dyDescent="0.3">
      <c r="A226" s="313"/>
      <c r="B226" s="96" t="s">
        <v>684</v>
      </c>
      <c r="C226" s="296"/>
      <c r="D226" s="296"/>
      <c r="E226" s="97">
        <f t="shared" ref="E226:K226" si="41">SUM(E217:E225)</f>
        <v>3699</v>
      </c>
      <c r="F226" s="97">
        <f t="shared" si="41"/>
        <v>0</v>
      </c>
      <c r="G226" s="97">
        <f t="shared" si="41"/>
        <v>3699</v>
      </c>
      <c r="H226" s="97">
        <f t="shared" si="41"/>
        <v>0</v>
      </c>
      <c r="I226" s="97">
        <f t="shared" si="41"/>
        <v>3699</v>
      </c>
      <c r="J226" s="97">
        <f t="shared" si="41"/>
        <v>61184000</v>
      </c>
      <c r="K226" s="297">
        <f t="shared" si="41"/>
        <v>5050186.09</v>
      </c>
      <c r="L226" s="151"/>
    </row>
    <row r="227" spans="1:23" ht="15.75" thickBot="1" x14ac:dyDescent="0.3">
      <c r="A227" s="138"/>
      <c r="B227" s="318"/>
      <c r="C227" s="138"/>
      <c r="D227" s="138"/>
      <c r="E227" s="139"/>
      <c r="F227" s="139"/>
      <c r="G227" s="139"/>
      <c r="H227" s="139"/>
      <c r="I227" s="139"/>
      <c r="J227" s="139"/>
      <c r="K227" s="334"/>
      <c r="L227" s="151"/>
    </row>
    <row r="228" spans="1:23" ht="15.75" thickBot="1" x14ac:dyDescent="0.3">
      <c r="A228" s="418" t="s">
        <v>653</v>
      </c>
      <c r="B228" s="421" t="s">
        <v>704</v>
      </c>
      <c r="C228" s="421" t="s">
        <v>1</v>
      </c>
      <c r="D228" s="422" t="s">
        <v>645</v>
      </c>
      <c r="E228" s="423" t="s">
        <v>19</v>
      </c>
      <c r="F228" s="423"/>
      <c r="G228" s="423"/>
      <c r="H228" s="423"/>
      <c r="I228" s="423"/>
      <c r="J228" s="416" t="s">
        <v>20</v>
      </c>
      <c r="K228" s="418" t="s">
        <v>598</v>
      </c>
      <c r="L228" s="213"/>
    </row>
    <row r="229" spans="1:23" ht="15.75" thickBot="1" x14ac:dyDescent="0.3">
      <c r="A229" s="420"/>
      <c r="B229" s="421"/>
      <c r="C229" s="421"/>
      <c r="D229" s="422"/>
      <c r="E229" s="272" t="s">
        <v>21</v>
      </c>
      <c r="F229" s="272" t="s">
        <v>596</v>
      </c>
      <c r="G229" s="272" t="s">
        <v>597</v>
      </c>
      <c r="H229" s="272" t="s">
        <v>585</v>
      </c>
      <c r="I229" s="272" t="s">
        <v>597</v>
      </c>
      <c r="J229" s="417"/>
      <c r="K229" s="419"/>
      <c r="L229" s="213"/>
    </row>
    <row r="230" spans="1:23" ht="15.75" thickBot="1" x14ac:dyDescent="0.3">
      <c r="A230" s="419"/>
      <c r="B230" s="273">
        <v>1</v>
      </c>
      <c r="C230" s="273">
        <v>2</v>
      </c>
      <c r="D230" s="273">
        <v>3</v>
      </c>
      <c r="E230" s="274">
        <v>4</v>
      </c>
      <c r="F230" s="274">
        <f>+E230+1</f>
        <v>5</v>
      </c>
      <c r="G230" s="274" t="s">
        <v>648</v>
      </c>
      <c r="H230" s="274">
        <v>7</v>
      </c>
      <c r="I230" s="275" t="s">
        <v>647</v>
      </c>
      <c r="J230" s="287" t="s">
        <v>646</v>
      </c>
      <c r="K230" s="287" t="s">
        <v>649</v>
      </c>
      <c r="L230" s="214"/>
    </row>
    <row r="231" spans="1:23" x14ac:dyDescent="0.25">
      <c r="A231" s="288"/>
      <c r="B231" s="276" t="s">
        <v>732</v>
      </c>
      <c r="C231" s="288"/>
      <c r="D231" s="288"/>
      <c r="E231" s="288"/>
      <c r="F231" s="288"/>
      <c r="G231" s="329">
        <f t="shared" ref="G231:G239" si="42">+E231+F231</f>
        <v>0</v>
      </c>
      <c r="H231" s="288"/>
      <c r="I231" s="330">
        <f t="shared" ref="I231:I239" si="43">+G231-H231</f>
        <v>0</v>
      </c>
      <c r="J231" s="330">
        <f t="shared" ref="J231:J239" si="44">I231*C231</f>
        <v>0</v>
      </c>
      <c r="K231" s="331">
        <f t="shared" ref="K231:K239" si="45">+D231*I231</f>
        <v>0</v>
      </c>
      <c r="L231" s="215"/>
    </row>
    <row r="232" spans="1:23" x14ac:dyDescent="0.25">
      <c r="A232" s="279">
        <v>1</v>
      </c>
      <c r="B232" s="61" t="s">
        <v>780</v>
      </c>
      <c r="C232" s="62">
        <v>5000</v>
      </c>
      <c r="D232" s="316">
        <v>1265.25</v>
      </c>
      <c r="E232" s="62">
        <v>0</v>
      </c>
      <c r="F232" s="289"/>
      <c r="G232" s="289">
        <f t="shared" si="42"/>
        <v>0</v>
      </c>
      <c r="H232" s="289">
        <f>4000-4000+2496-2496+2000-2000</f>
        <v>0</v>
      </c>
      <c r="I232" s="251">
        <f t="shared" si="43"/>
        <v>0</v>
      </c>
      <c r="J232" s="251">
        <f t="shared" si="44"/>
        <v>0</v>
      </c>
      <c r="K232" s="290">
        <f t="shared" si="45"/>
        <v>0</v>
      </c>
      <c r="L232" s="194"/>
      <c r="M232" s="183"/>
      <c r="N232" s="40" t="s">
        <v>943</v>
      </c>
    </row>
    <row r="233" spans="1:23" x14ac:dyDescent="0.25">
      <c r="A233" s="279">
        <v>2</v>
      </c>
      <c r="B233" s="61" t="s">
        <v>784</v>
      </c>
      <c r="C233" s="62">
        <v>10000</v>
      </c>
      <c r="D233" s="284">
        <v>5304</v>
      </c>
      <c r="E233" s="251">
        <v>0</v>
      </c>
      <c r="F233" s="289">
        <f>14-14</f>
        <v>0</v>
      </c>
      <c r="G233" s="289">
        <f t="shared" si="42"/>
        <v>0</v>
      </c>
      <c r="H233" s="289">
        <f>1800+2700-4500</f>
        <v>0</v>
      </c>
      <c r="I233" s="251">
        <f t="shared" si="43"/>
        <v>0</v>
      </c>
      <c r="J233" s="251">
        <f t="shared" si="44"/>
        <v>0</v>
      </c>
      <c r="K233" s="290">
        <f t="shared" si="45"/>
        <v>0</v>
      </c>
      <c r="L233" s="215"/>
    </row>
    <row r="234" spans="1:23" x14ac:dyDescent="0.25">
      <c r="A234" s="279">
        <v>3</v>
      </c>
      <c r="B234" s="61" t="s">
        <v>785</v>
      </c>
      <c r="C234" s="62">
        <v>18000</v>
      </c>
      <c r="D234" s="284">
        <v>5456.36</v>
      </c>
      <c r="E234" s="62">
        <v>32</v>
      </c>
      <c r="F234" s="289"/>
      <c r="G234" s="289">
        <f t="shared" si="42"/>
        <v>32</v>
      </c>
      <c r="H234" s="289">
        <f>500+2400-2900</f>
        <v>0</v>
      </c>
      <c r="I234" s="251">
        <f t="shared" si="43"/>
        <v>32</v>
      </c>
      <c r="J234" s="251">
        <f t="shared" si="44"/>
        <v>576000</v>
      </c>
      <c r="K234" s="290">
        <f t="shared" si="45"/>
        <v>174603.51999999999</v>
      </c>
      <c r="L234" s="222" t="s">
        <v>1087</v>
      </c>
      <c r="M234" s="183" t="s">
        <v>839</v>
      </c>
    </row>
    <row r="235" spans="1:23" x14ac:dyDescent="0.25">
      <c r="A235" s="279">
        <v>4</v>
      </c>
      <c r="B235" s="61" t="s">
        <v>791</v>
      </c>
      <c r="C235" s="62">
        <v>15000</v>
      </c>
      <c r="D235" s="284">
        <v>3594.5</v>
      </c>
      <c r="E235" s="251">
        <v>0</v>
      </c>
      <c r="F235" s="289">
        <f>5000-200-4800</f>
        <v>0</v>
      </c>
      <c r="G235" s="289">
        <f t="shared" si="42"/>
        <v>0</v>
      </c>
      <c r="H235" s="289">
        <f>100-100+69-69</f>
        <v>0</v>
      </c>
      <c r="I235" s="251">
        <f t="shared" si="43"/>
        <v>0</v>
      </c>
      <c r="J235" s="251">
        <f t="shared" si="44"/>
        <v>0</v>
      </c>
      <c r="K235" s="290">
        <f t="shared" si="45"/>
        <v>0</v>
      </c>
      <c r="L235" s="194"/>
      <c r="M235" s="177">
        <f>+I235-24-15-25-2</f>
        <v>-66</v>
      </c>
      <c r="N235" s="170">
        <v>24</v>
      </c>
      <c r="O235" s="170">
        <v>25</v>
      </c>
      <c r="P235" s="170">
        <v>15</v>
      </c>
      <c r="Q235" s="184">
        <v>2</v>
      </c>
      <c r="R235" s="40">
        <f>+N235+O235+P235+Q235</f>
        <v>66</v>
      </c>
    </row>
    <row r="236" spans="1:23" x14ac:dyDescent="0.25">
      <c r="A236" s="279">
        <v>5</v>
      </c>
      <c r="B236" s="61" t="s">
        <v>803</v>
      </c>
      <c r="C236" s="62">
        <v>40000</v>
      </c>
      <c r="D236" s="284">
        <v>28594.5</v>
      </c>
      <c r="E236" s="251">
        <v>0</v>
      </c>
      <c r="F236" s="289">
        <f>200-200</f>
        <v>0</v>
      </c>
      <c r="G236" s="289">
        <f t="shared" si="42"/>
        <v>0</v>
      </c>
      <c r="H236" s="289">
        <f>39+160-199+1-1</f>
        <v>0</v>
      </c>
      <c r="I236" s="251">
        <f t="shared" si="43"/>
        <v>0</v>
      </c>
      <c r="J236" s="251">
        <f t="shared" si="44"/>
        <v>0</v>
      </c>
      <c r="K236" s="290">
        <f t="shared" si="45"/>
        <v>0</v>
      </c>
      <c r="L236" s="215"/>
      <c r="S236" s="161">
        <v>42492</v>
      </c>
      <c r="T236" s="161">
        <v>42512</v>
      </c>
      <c r="U236" s="161">
        <v>42503</v>
      </c>
      <c r="V236" s="161">
        <v>42494</v>
      </c>
      <c r="W236" t="s">
        <v>820</v>
      </c>
    </row>
    <row r="237" spans="1:23" x14ac:dyDescent="0.25">
      <c r="A237" s="279">
        <v>6</v>
      </c>
      <c r="B237" s="61" t="s">
        <v>806</v>
      </c>
      <c r="C237" s="62">
        <v>64000</v>
      </c>
      <c r="D237" s="335">
        <v>9200</v>
      </c>
      <c r="E237" s="251">
        <v>2896</v>
      </c>
      <c r="F237" s="336">
        <f>20000-20000</f>
        <v>0</v>
      </c>
      <c r="G237" s="289">
        <f t="shared" si="42"/>
        <v>2896</v>
      </c>
      <c r="H237" s="289">
        <f>(700+250+4150+6900)+750+600+750+4+500-14604+2500-2500</f>
        <v>0</v>
      </c>
      <c r="I237" s="251">
        <f t="shared" si="43"/>
        <v>2896</v>
      </c>
      <c r="J237" s="251">
        <f t="shared" si="44"/>
        <v>185344000</v>
      </c>
      <c r="K237" s="290">
        <f t="shared" si="45"/>
        <v>26643200</v>
      </c>
      <c r="L237" s="222" t="s">
        <v>1088</v>
      </c>
      <c r="M237" s="183" t="s">
        <v>839</v>
      </c>
      <c r="R237" s="156"/>
      <c r="S237" s="163">
        <v>750</v>
      </c>
      <c r="T237" s="163">
        <v>600</v>
      </c>
      <c r="U237" s="164">
        <v>750</v>
      </c>
      <c r="V237" s="165">
        <v>4</v>
      </c>
      <c r="W237" s="163">
        <v>500</v>
      </c>
    </row>
    <row r="238" spans="1:23" x14ac:dyDescent="0.25">
      <c r="A238" s="279">
        <v>7</v>
      </c>
      <c r="B238" s="61" t="s">
        <v>807</v>
      </c>
      <c r="C238" s="62">
        <v>36000</v>
      </c>
      <c r="D238" s="337">
        <v>34323</v>
      </c>
      <c r="E238" s="62">
        <v>240</v>
      </c>
      <c r="F238" s="289">
        <f>9500-9500+500-500</f>
        <v>0</v>
      </c>
      <c r="G238" s="289">
        <f t="shared" si="42"/>
        <v>240</v>
      </c>
      <c r="H238" s="289">
        <f>50+50-100+500+5-505+1-1</f>
        <v>0</v>
      </c>
      <c r="I238" s="251">
        <f t="shared" si="43"/>
        <v>240</v>
      </c>
      <c r="J238" s="251">
        <f t="shared" si="44"/>
        <v>8640000</v>
      </c>
      <c r="K238" s="290">
        <f t="shared" si="45"/>
        <v>8237520</v>
      </c>
      <c r="L238" s="222" t="s">
        <v>1089</v>
      </c>
      <c r="M238" s="176"/>
      <c r="N238" s="172"/>
      <c r="O238" s="172"/>
      <c r="P238" s="170">
        <f>500+5</f>
        <v>505</v>
      </c>
      <c r="Q238" s="156"/>
      <c r="R238" s="156"/>
      <c r="V238" s="166">
        <v>4</v>
      </c>
      <c r="W238" s="167">
        <v>500</v>
      </c>
    </row>
    <row r="239" spans="1:23" x14ac:dyDescent="0.25">
      <c r="A239" s="279">
        <v>8</v>
      </c>
      <c r="B239" s="61" t="s">
        <v>808</v>
      </c>
      <c r="C239" s="62">
        <v>18000</v>
      </c>
      <c r="D239" s="284">
        <v>7603</v>
      </c>
      <c r="E239" s="62">
        <v>0</v>
      </c>
      <c r="F239" s="336">
        <f>2566-2566</f>
        <v>0</v>
      </c>
      <c r="G239" s="289">
        <f t="shared" si="42"/>
        <v>0</v>
      </c>
      <c r="H239" s="61">
        <f>2566-2566</f>
        <v>0</v>
      </c>
      <c r="I239" s="251">
        <f t="shared" si="43"/>
        <v>0</v>
      </c>
      <c r="J239" s="251">
        <f t="shared" si="44"/>
        <v>0</v>
      </c>
      <c r="K239" s="290">
        <f t="shared" si="45"/>
        <v>0</v>
      </c>
      <c r="L239" s="215"/>
    </row>
    <row r="240" spans="1:23" x14ac:dyDescent="0.25">
      <c r="A240" s="338">
        <v>9</v>
      </c>
      <c r="B240" s="90" t="s">
        <v>829</v>
      </c>
      <c r="C240" s="91">
        <v>36000</v>
      </c>
      <c r="D240" s="337">
        <v>4109</v>
      </c>
      <c r="E240" s="251">
        <v>0</v>
      </c>
      <c r="F240" s="289">
        <f>50000-50000</f>
        <v>0</v>
      </c>
      <c r="G240" s="289">
        <f t="shared" ref="G240:G248" si="46">+E240+F240</f>
        <v>0</v>
      </c>
      <c r="H240" s="289">
        <f>3000+2794-5794+2000-2000</f>
        <v>0</v>
      </c>
      <c r="I240" s="251">
        <f t="shared" ref="I240:I248" si="47">+G240-H240</f>
        <v>0</v>
      </c>
      <c r="J240" s="251">
        <f t="shared" ref="J240:J248" si="48">I240*C240</f>
        <v>0</v>
      </c>
      <c r="K240" s="290">
        <f t="shared" ref="K240:K248" si="49">+D240*I240</f>
        <v>0</v>
      </c>
      <c r="L240" s="215"/>
      <c r="M240" t="s">
        <v>935</v>
      </c>
      <c r="N240" s="40" t="s">
        <v>942</v>
      </c>
      <c r="P240" s="181"/>
      <c r="Q240" s="167"/>
    </row>
    <row r="241" spans="1:24" x14ac:dyDescent="0.25">
      <c r="A241" s="338">
        <v>10</v>
      </c>
      <c r="B241" s="90" t="s">
        <v>830</v>
      </c>
      <c r="C241" s="91">
        <v>10000</v>
      </c>
      <c r="D241" s="337">
        <v>3456.25</v>
      </c>
      <c r="E241" s="251">
        <v>0</v>
      </c>
      <c r="F241" s="289">
        <f>12000-12000</f>
        <v>0</v>
      </c>
      <c r="G241" s="289">
        <f t="shared" si="46"/>
        <v>0</v>
      </c>
      <c r="H241" s="289">
        <f>2150-2150</f>
        <v>0</v>
      </c>
      <c r="I241" s="251">
        <f t="shared" si="47"/>
        <v>0</v>
      </c>
      <c r="J241" s="251">
        <f t="shared" si="48"/>
        <v>0</v>
      </c>
      <c r="K241" s="290">
        <f t="shared" si="49"/>
        <v>0</v>
      </c>
      <c r="L241" s="215"/>
      <c r="P241" s="181"/>
    </row>
    <row r="242" spans="1:24" x14ac:dyDescent="0.25">
      <c r="A242" s="279">
        <v>11</v>
      </c>
      <c r="B242" s="61" t="s">
        <v>836</v>
      </c>
      <c r="C242" s="62">
        <v>10000</v>
      </c>
      <c r="D242" s="284">
        <v>2120.48</v>
      </c>
      <c r="E242" s="62">
        <v>800</v>
      </c>
      <c r="F242" s="289">
        <f>12000-12000</f>
        <v>0</v>
      </c>
      <c r="G242" s="289">
        <f t="shared" si="46"/>
        <v>800</v>
      </c>
      <c r="H242" s="289">
        <f>300-300+4000-4000</f>
        <v>0</v>
      </c>
      <c r="I242" s="251">
        <f t="shared" si="47"/>
        <v>800</v>
      </c>
      <c r="J242" s="251">
        <f t="shared" si="48"/>
        <v>8000000</v>
      </c>
      <c r="K242" s="290">
        <f t="shared" si="49"/>
        <v>1696384</v>
      </c>
      <c r="L242" s="227" t="s">
        <v>1090</v>
      </c>
      <c r="P242" s="181"/>
    </row>
    <row r="243" spans="1:24" x14ac:dyDescent="0.25">
      <c r="A243" s="279">
        <v>12</v>
      </c>
      <c r="B243" s="61" t="s">
        <v>861</v>
      </c>
      <c r="C243" s="62">
        <v>10000</v>
      </c>
      <c r="D243" s="339">
        <v>2120.25</v>
      </c>
      <c r="E243" s="62">
        <v>0</v>
      </c>
      <c r="F243" s="289">
        <f>15000-15000</f>
        <v>0</v>
      </c>
      <c r="G243" s="289">
        <f t="shared" si="46"/>
        <v>0</v>
      </c>
      <c r="H243" s="289">
        <f>7000+4000-11000+1000-1000+2000-2000+1000-1000</f>
        <v>0</v>
      </c>
      <c r="I243" s="251">
        <f t="shared" si="47"/>
        <v>0</v>
      </c>
      <c r="J243" s="251">
        <f t="shared" si="48"/>
        <v>0</v>
      </c>
      <c r="K243" s="290">
        <f t="shared" si="49"/>
        <v>0</v>
      </c>
      <c r="L243" s="215"/>
      <c r="N243" s="156"/>
      <c r="P243" s="181"/>
    </row>
    <row r="244" spans="1:24" x14ac:dyDescent="0.25">
      <c r="A244" s="279">
        <v>13</v>
      </c>
      <c r="B244" s="61" t="s">
        <v>953</v>
      </c>
      <c r="C244" s="62">
        <v>18000</v>
      </c>
      <c r="D244" s="340">
        <v>3322</v>
      </c>
      <c r="E244" s="251">
        <v>0</v>
      </c>
      <c r="F244" s="289">
        <f>100000-100000</f>
        <v>0</v>
      </c>
      <c r="G244" s="289">
        <f t="shared" si="46"/>
        <v>0</v>
      </c>
      <c r="H244" s="289">
        <f>3000+9000+9000-21000+5200+12400+1700+6300-25600+1300-1300</f>
        <v>0</v>
      </c>
      <c r="I244" s="251">
        <f t="shared" si="47"/>
        <v>0</v>
      </c>
      <c r="J244" s="251">
        <f t="shared" si="48"/>
        <v>0</v>
      </c>
      <c r="K244" s="290">
        <f t="shared" si="49"/>
        <v>0</v>
      </c>
      <c r="L244" s="215"/>
      <c r="M244" t="s">
        <v>936</v>
      </c>
      <c r="N244" t="s">
        <v>957</v>
      </c>
      <c r="O244" t="s">
        <v>958</v>
      </c>
      <c r="P244" s="181"/>
    </row>
    <row r="245" spans="1:24" x14ac:dyDescent="0.25">
      <c r="A245" s="338">
        <v>14</v>
      </c>
      <c r="B245" s="90" t="s">
        <v>871</v>
      </c>
      <c r="C245" s="91">
        <v>10000</v>
      </c>
      <c r="D245" s="341">
        <v>1400.48</v>
      </c>
      <c r="E245" s="292">
        <v>0</v>
      </c>
      <c r="F245" s="289">
        <f>30000-30000</f>
        <v>0</v>
      </c>
      <c r="G245" s="289">
        <f t="shared" si="46"/>
        <v>0</v>
      </c>
      <c r="H245" s="289">
        <f>+(20350+100+50-20500+500-500+1000-1000+2000-2000)+6000-6000</f>
        <v>0</v>
      </c>
      <c r="I245" s="251">
        <f t="shared" si="47"/>
        <v>0</v>
      </c>
      <c r="J245" s="251">
        <f t="shared" si="48"/>
        <v>0</v>
      </c>
      <c r="K245" s="290">
        <f t="shared" si="49"/>
        <v>0</v>
      </c>
      <c r="L245" s="227" t="s">
        <v>1091</v>
      </c>
      <c r="M245" t="s">
        <v>1025</v>
      </c>
      <c r="N245" t="s">
        <v>1175</v>
      </c>
      <c r="P245" s="181"/>
    </row>
    <row r="246" spans="1:24" x14ac:dyDescent="0.25">
      <c r="A246" s="338">
        <v>15</v>
      </c>
      <c r="B246" s="90" t="s">
        <v>880</v>
      </c>
      <c r="C246" s="91">
        <v>10000</v>
      </c>
      <c r="D246" s="342">
        <v>4905.25</v>
      </c>
      <c r="E246" s="292">
        <v>0</v>
      </c>
      <c r="F246" s="289">
        <f>8000-8000</f>
        <v>0</v>
      </c>
      <c r="G246" s="289">
        <f t="shared" si="46"/>
        <v>0</v>
      </c>
      <c r="H246" s="289">
        <f>1000+2000+2000+1000-6000+2000-2000</f>
        <v>0</v>
      </c>
      <c r="I246" s="251">
        <f t="shared" si="47"/>
        <v>0</v>
      </c>
      <c r="J246" s="251">
        <f t="shared" si="48"/>
        <v>0</v>
      </c>
      <c r="K246" s="290">
        <f t="shared" si="49"/>
        <v>0</v>
      </c>
      <c r="L246" s="215"/>
      <c r="P246" s="181"/>
      <c r="Q246" s="156"/>
    </row>
    <row r="247" spans="1:24" x14ac:dyDescent="0.25">
      <c r="A247" s="338">
        <v>16</v>
      </c>
      <c r="B247" s="90" t="s">
        <v>882</v>
      </c>
      <c r="C247" s="91">
        <v>160000</v>
      </c>
      <c r="D247" s="342">
        <v>20160.16</v>
      </c>
      <c r="E247" s="292">
        <v>0</v>
      </c>
      <c r="F247" s="289">
        <f>888-888</f>
        <v>0</v>
      </c>
      <c r="G247" s="289">
        <f t="shared" si="46"/>
        <v>0</v>
      </c>
      <c r="H247" s="289">
        <f>888-888</f>
        <v>0</v>
      </c>
      <c r="I247" s="251">
        <f t="shared" si="47"/>
        <v>0</v>
      </c>
      <c r="J247" s="251">
        <f t="shared" si="48"/>
        <v>0</v>
      </c>
      <c r="K247" s="290">
        <f t="shared" si="49"/>
        <v>0</v>
      </c>
      <c r="L247" s="215"/>
      <c r="P247" s="181"/>
    </row>
    <row r="248" spans="1:24" ht="15.75" thickBot="1" x14ac:dyDescent="0.3">
      <c r="A248" s="280">
        <v>17</v>
      </c>
      <c r="B248" s="281" t="s">
        <v>883</v>
      </c>
      <c r="C248" s="282">
        <v>36000</v>
      </c>
      <c r="D248" s="333">
        <v>34323</v>
      </c>
      <c r="E248" s="282">
        <v>0</v>
      </c>
      <c r="F248" s="289">
        <f>2000-2000</f>
        <v>0</v>
      </c>
      <c r="G248" s="289">
        <f t="shared" si="46"/>
        <v>0</v>
      </c>
      <c r="H248" s="289">
        <f>2000-2000</f>
        <v>0</v>
      </c>
      <c r="I248" s="251">
        <f t="shared" si="47"/>
        <v>0</v>
      </c>
      <c r="J248" s="251">
        <f t="shared" si="48"/>
        <v>0</v>
      </c>
      <c r="K248" s="290">
        <f t="shared" si="49"/>
        <v>0</v>
      </c>
      <c r="L248" s="215"/>
    </row>
    <row r="249" spans="1:24" ht="15.75" thickBot="1" x14ac:dyDescent="0.3">
      <c r="A249" s="313"/>
      <c r="B249" s="96" t="s">
        <v>726</v>
      </c>
      <c r="C249" s="296"/>
      <c r="D249" s="296"/>
      <c r="E249" s="97">
        <f>SUM(E232:E248)</f>
        <v>3968</v>
      </c>
      <c r="F249" s="97">
        <f t="shared" ref="F249:K249" si="50">SUM(F232:F248)</f>
        <v>0</v>
      </c>
      <c r="G249" s="97">
        <f t="shared" si="50"/>
        <v>3968</v>
      </c>
      <c r="H249" s="97">
        <f t="shared" si="50"/>
        <v>0</v>
      </c>
      <c r="I249" s="97">
        <f t="shared" si="50"/>
        <v>3968</v>
      </c>
      <c r="J249" s="97">
        <f t="shared" si="50"/>
        <v>202560000</v>
      </c>
      <c r="K249" s="297">
        <f t="shared" si="50"/>
        <v>36751707.519999996</v>
      </c>
      <c r="L249" s="151"/>
    </row>
    <row r="250" spans="1:24" ht="15.75" thickBot="1" x14ac:dyDescent="0.3">
      <c r="A250" s="138"/>
      <c r="B250" s="318"/>
      <c r="C250" s="138"/>
      <c r="D250" s="138"/>
      <c r="E250" s="139"/>
      <c r="F250" s="139"/>
      <c r="G250" s="139"/>
      <c r="H250" s="139"/>
      <c r="I250" s="139"/>
      <c r="J250" s="139"/>
      <c r="K250" s="334"/>
      <c r="L250" s="151"/>
    </row>
    <row r="251" spans="1:24" ht="15.75" thickBot="1" x14ac:dyDescent="0.3">
      <c r="A251" s="418" t="s">
        <v>653</v>
      </c>
      <c r="B251" s="421" t="s">
        <v>704</v>
      </c>
      <c r="C251" s="421" t="s">
        <v>1</v>
      </c>
      <c r="D251" s="422" t="s">
        <v>645</v>
      </c>
      <c r="E251" s="423" t="s">
        <v>19</v>
      </c>
      <c r="F251" s="423"/>
      <c r="G251" s="423"/>
      <c r="H251" s="423"/>
      <c r="I251" s="423"/>
      <c r="J251" s="416" t="s">
        <v>20</v>
      </c>
      <c r="K251" s="418" t="s">
        <v>598</v>
      </c>
      <c r="L251" s="213"/>
    </row>
    <row r="252" spans="1:24" ht="15.75" thickBot="1" x14ac:dyDescent="0.3">
      <c r="A252" s="420"/>
      <c r="B252" s="421"/>
      <c r="C252" s="421"/>
      <c r="D252" s="422"/>
      <c r="E252" s="272" t="s">
        <v>21</v>
      </c>
      <c r="F252" s="272" t="s">
        <v>596</v>
      </c>
      <c r="G252" s="272" t="s">
        <v>597</v>
      </c>
      <c r="H252" s="272" t="s">
        <v>585</v>
      </c>
      <c r="I252" s="272" t="s">
        <v>597</v>
      </c>
      <c r="J252" s="417"/>
      <c r="K252" s="419"/>
      <c r="L252" s="213"/>
    </row>
    <row r="253" spans="1:24" ht="15.75" thickBot="1" x14ac:dyDescent="0.3">
      <c r="A253" s="419"/>
      <c r="B253" s="273">
        <v>1</v>
      </c>
      <c r="C253" s="273">
        <v>2</v>
      </c>
      <c r="D253" s="273">
        <v>3</v>
      </c>
      <c r="E253" s="274">
        <v>4</v>
      </c>
      <c r="F253" s="274">
        <f>+E253+1</f>
        <v>5</v>
      </c>
      <c r="G253" s="274" t="s">
        <v>648</v>
      </c>
      <c r="H253" s="274">
        <v>7</v>
      </c>
      <c r="I253" s="275" t="s">
        <v>647</v>
      </c>
      <c r="J253" s="287" t="s">
        <v>646</v>
      </c>
      <c r="K253" s="343" t="s">
        <v>649</v>
      </c>
      <c r="L253" s="214"/>
      <c r="M253" s="53"/>
      <c r="N253" s="53"/>
      <c r="O253" s="53"/>
      <c r="P253" s="53"/>
      <c r="Q253" s="53"/>
      <c r="R253" s="53"/>
      <c r="S253" s="53"/>
      <c r="T253" s="53"/>
      <c r="U253" s="53"/>
      <c r="V253" s="53"/>
      <c r="W253" s="53"/>
      <c r="X253" s="53"/>
    </row>
    <row r="254" spans="1:24" x14ac:dyDescent="0.25">
      <c r="A254" s="288"/>
      <c r="B254" s="276" t="s">
        <v>908</v>
      </c>
      <c r="C254" s="288"/>
      <c r="D254" s="288"/>
      <c r="E254" s="288"/>
      <c r="F254" s="288"/>
      <c r="G254" s="329">
        <f t="shared" ref="G254:G272" si="51">+E254+F254</f>
        <v>0</v>
      </c>
      <c r="H254" s="288"/>
      <c r="I254" s="330">
        <f t="shared" ref="I254:I272" si="52">+G254-H254</f>
        <v>0</v>
      </c>
      <c r="J254" s="330">
        <f t="shared" ref="J254:J272" si="53">I254*C254</f>
        <v>0</v>
      </c>
      <c r="K254" s="344">
        <f t="shared" ref="K254:K272" si="54">+D254*I254</f>
        <v>0</v>
      </c>
      <c r="L254" s="220"/>
      <c r="M254" s="200"/>
      <c r="N254" s="53"/>
      <c r="O254" s="53"/>
      <c r="P254" s="53"/>
      <c r="Q254" s="53"/>
      <c r="R254" s="53"/>
      <c r="S254" s="53"/>
      <c r="T254" s="53"/>
      <c r="U254" s="53"/>
      <c r="V254" s="53"/>
      <c r="W254" s="53"/>
      <c r="X254" s="53"/>
    </row>
    <row r="255" spans="1:24" x14ac:dyDescent="0.25">
      <c r="A255" s="279">
        <v>1</v>
      </c>
      <c r="B255" s="61" t="s">
        <v>916</v>
      </c>
      <c r="C255" s="62">
        <v>18000</v>
      </c>
      <c r="D255" s="345">
        <v>1785</v>
      </c>
      <c r="E255" s="62">
        <v>0</v>
      </c>
      <c r="F255" s="289">
        <f>40000-40000</f>
        <v>0</v>
      </c>
      <c r="G255" s="289">
        <f t="shared" si="51"/>
        <v>0</v>
      </c>
      <c r="H255" s="289">
        <f>25000+100-25100+50-50+13800+1000-14800+50-50</f>
        <v>0</v>
      </c>
      <c r="I255" s="251">
        <f t="shared" si="52"/>
        <v>0</v>
      </c>
      <c r="J255" s="251">
        <f t="shared" si="53"/>
        <v>0</v>
      </c>
      <c r="K255" s="346">
        <f t="shared" si="54"/>
        <v>0</v>
      </c>
      <c r="L255" s="220"/>
      <c r="M255" s="211" t="s">
        <v>975</v>
      </c>
      <c r="N255" s="53"/>
      <c r="O255" s="197" t="s">
        <v>979</v>
      </c>
      <c r="P255" s="53"/>
      <c r="Q255" s="53"/>
      <c r="R255" s="53"/>
      <c r="S255" s="53"/>
      <c r="T255" s="53"/>
      <c r="U255" s="53"/>
      <c r="V255" s="53"/>
      <c r="W255" s="53"/>
      <c r="X255" s="53"/>
    </row>
    <row r="256" spans="1:24" x14ac:dyDescent="0.25">
      <c r="A256" s="279">
        <v>2</v>
      </c>
      <c r="B256" s="61" t="s">
        <v>917</v>
      </c>
      <c r="C256" s="62">
        <v>10000</v>
      </c>
      <c r="D256" s="347">
        <v>1561</v>
      </c>
      <c r="E256" s="251">
        <v>298</v>
      </c>
      <c r="F256" s="289">
        <f>24000-24000</f>
        <v>0</v>
      </c>
      <c r="G256" s="289">
        <f t="shared" si="51"/>
        <v>298</v>
      </c>
      <c r="H256" s="289">
        <f>17000+100+4000-21100+100-100+2500-2500+2-2</f>
        <v>0</v>
      </c>
      <c r="I256" s="251">
        <f t="shared" si="52"/>
        <v>298</v>
      </c>
      <c r="J256" s="251">
        <f t="shared" si="53"/>
        <v>2980000</v>
      </c>
      <c r="K256" s="346">
        <f t="shared" si="54"/>
        <v>465178</v>
      </c>
      <c r="L256" s="226" t="s">
        <v>1083</v>
      </c>
      <c r="M256" s="200"/>
      <c r="N256" s="53"/>
      <c r="O256" s="53"/>
      <c r="P256" s="197"/>
      <c r="Q256" s="197" t="s">
        <v>971</v>
      </c>
      <c r="R256" s="53"/>
      <c r="S256" s="53"/>
      <c r="T256" s="53"/>
      <c r="U256" s="53" t="s">
        <v>955</v>
      </c>
      <c r="V256" s="53"/>
      <c r="W256" s="53"/>
      <c r="X256" s="53"/>
    </row>
    <row r="257" spans="1:24" x14ac:dyDescent="0.25">
      <c r="A257" s="279">
        <v>3</v>
      </c>
      <c r="B257" s="61" t="s">
        <v>937</v>
      </c>
      <c r="C257" s="62">
        <v>40000</v>
      </c>
      <c r="D257" s="310">
        <v>3335</v>
      </c>
      <c r="E257" s="62">
        <v>0</v>
      </c>
      <c r="F257" s="289">
        <f>100000-100000</f>
        <v>0</v>
      </c>
      <c r="G257" s="289">
        <f t="shared" si="51"/>
        <v>0</v>
      </c>
      <c r="H257" s="289">
        <f>7200+14800+10+1500-23510+3800+3600-7400+5500+2200+2060+2000+370-12130+240-240+1120-1120</f>
        <v>0</v>
      </c>
      <c r="I257" s="251">
        <f t="shared" si="52"/>
        <v>0</v>
      </c>
      <c r="J257" s="251">
        <f t="shared" si="53"/>
        <v>0</v>
      </c>
      <c r="K257" s="346">
        <f t="shared" si="54"/>
        <v>0</v>
      </c>
      <c r="L257" s="220"/>
      <c r="M257" s="211" t="s">
        <v>975</v>
      </c>
      <c r="N257" s="212" t="s">
        <v>976</v>
      </c>
      <c r="O257" s="53">
        <v>240</v>
      </c>
      <c r="P257" s="248" t="s">
        <v>1078</v>
      </c>
      <c r="Q257" s="156"/>
      <c r="R257" s="156"/>
      <c r="S257" s="156"/>
      <c r="T257" s="156"/>
      <c r="U257" s="156"/>
      <c r="V257" s="53"/>
      <c r="W257" s="53"/>
      <c r="X257" s="53"/>
    </row>
    <row r="258" spans="1:24" x14ac:dyDescent="0.25">
      <c r="A258" s="279">
        <v>4</v>
      </c>
      <c r="B258" s="61" t="s">
        <v>938</v>
      </c>
      <c r="C258" s="62">
        <v>8000</v>
      </c>
      <c r="D258" s="310">
        <v>1354.83</v>
      </c>
      <c r="E258" s="251">
        <v>4399</v>
      </c>
      <c r="F258" s="289">
        <f>24000-24000</f>
        <v>0</v>
      </c>
      <c r="G258" s="289">
        <f t="shared" si="51"/>
        <v>4399</v>
      </c>
      <c r="H258" s="289">
        <f>17000+101-17101+2500-2500</f>
        <v>0</v>
      </c>
      <c r="I258" s="251">
        <f t="shared" si="52"/>
        <v>4399</v>
      </c>
      <c r="J258" s="251">
        <f t="shared" si="53"/>
        <v>35192000</v>
      </c>
      <c r="K258" s="346">
        <f t="shared" si="54"/>
        <v>5959897.1699999999</v>
      </c>
      <c r="L258" s="226" t="s">
        <v>1092</v>
      </c>
      <c r="M258" s="202"/>
      <c r="N258" s="195"/>
      <c r="O258" s="195"/>
      <c r="P258" s="195"/>
      <c r="Q258" s="184"/>
      <c r="R258" s="53"/>
      <c r="S258" s="53"/>
      <c r="T258" s="53"/>
      <c r="U258" s="53"/>
      <c r="V258" s="53"/>
      <c r="W258" s="53"/>
      <c r="X258" s="53"/>
    </row>
    <row r="259" spans="1:24" x14ac:dyDescent="0.25">
      <c r="A259" s="279">
        <v>5</v>
      </c>
      <c r="B259" s="61" t="s">
        <v>962</v>
      </c>
      <c r="C259" s="62">
        <v>18000</v>
      </c>
      <c r="D259" s="348">
        <v>3820</v>
      </c>
      <c r="E259" s="251">
        <v>0</v>
      </c>
      <c r="F259" s="289">
        <f>1000-1000</f>
        <v>0</v>
      </c>
      <c r="G259" s="289">
        <f t="shared" si="51"/>
        <v>0</v>
      </c>
      <c r="H259" s="289">
        <f>1000-1000</f>
        <v>0</v>
      </c>
      <c r="I259" s="251">
        <f t="shared" si="52"/>
        <v>0</v>
      </c>
      <c r="J259" s="251">
        <f t="shared" si="53"/>
        <v>0</v>
      </c>
      <c r="K259" s="346">
        <f t="shared" si="54"/>
        <v>0</v>
      </c>
      <c r="L259" s="220"/>
      <c r="M259" s="200"/>
      <c r="N259" s="53"/>
      <c r="O259" s="53"/>
      <c r="P259" s="53"/>
      <c r="Q259" s="53"/>
      <c r="R259" s="53"/>
      <c r="S259" s="196"/>
      <c r="T259" s="196"/>
      <c r="U259" s="196"/>
      <c r="V259" s="196"/>
      <c r="W259" s="197"/>
      <c r="X259" s="53"/>
    </row>
    <row r="260" spans="1:24" x14ac:dyDescent="0.25">
      <c r="A260" s="279">
        <v>6</v>
      </c>
      <c r="B260" s="61" t="s">
        <v>963</v>
      </c>
      <c r="C260" s="62">
        <v>32000</v>
      </c>
      <c r="D260" s="310">
        <v>3729</v>
      </c>
      <c r="E260" s="251">
        <v>0</v>
      </c>
      <c r="F260" s="289">
        <f>10000-10000</f>
        <v>0</v>
      </c>
      <c r="G260" s="289">
        <f t="shared" si="51"/>
        <v>0</v>
      </c>
      <c r="H260" s="289">
        <f>9000-9000+500-500+50-50+450-450</f>
        <v>0</v>
      </c>
      <c r="I260" s="251">
        <f t="shared" si="52"/>
        <v>0</v>
      </c>
      <c r="J260" s="251">
        <f t="shared" si="53"/>
        <v>0</v>
      </c>
      <c r="K260" s="346">
        <f t="shared" si="54"/>
        <v>0</v>
      </c>
      <c r="L260" s="226" t="s">
        <v>1093</v>
      </c>
      <c r="M260" s="201"/>
      <c r="N260" s="53"/>
      <c r="O260" s="53"/>
      <c r="P260" s="53"/>
      <c r="Q260" s="53"/>
      <c r="R260" s="156"/>
      <c r="S260" s="198"/>
      <c r="T260" s="198" t="s">
        <v>1040</v>
      </c>
      <c r="U260" s="198" t="s">
        <v>1041</v>
      </c>
      <c r="V260" s="198"/>
      <c r="W260" s="198"/>
      <c r="X260" s="53"/>
    </row>
    <row r="261" spans="1:24" x14ac:dyDescent="0.25">
      <c r="A261" s="279">
        <v>7</v>
      </c>
      <c r="B261" s="61" t="s">
        <v>969</v>
      </c>
      <c r="C261" s="62">
        <v>102000</v>
      </c>
      <c r="D261" s="310">
        <v>7618</v>
      </c>
      <c r="E261" s="62">
        <v>0</v>
      </c>
      <c r="F261" s="289">
        <f>1000+2000+3000+14000+6000+14000+500+39000-79500+20500-20500</f>
        <v>0</v>
      </c>
      <c r="G261" s="289">
        <f t="shared" si="51"/>
        <v>0</v>
      </c>
      <c r="H261" s="289">
        <f>(3000+10+41800+4640-49450+11520+1000+1800+1000-15320+3490+410+4000-7900+250+2000+2630+5740+1000+1700+500+1-13821)+(110+2093+4376+58+1988-8625)+4411+423+50-4884</f>
        <v>0</v>
      </c>
      <c r="I261" s="251">
        <f t="shared" si="52"/>
        <v>0</v>
      </c>
      <c r="J261" s="251">
        <f t="shared" si="53"/>
        <v>0</v>
      </c>
      <c r="K261" s="346">
        <f t="shared" si="54"/>
        <v>0</v>
      </c>
      <c r="L261" s="236" t="s">
        <v>1168</v>
      </c>
      <c r="M261" s="212" t="s">
        <v>1153</v>
      </c>
      <c r="N261" s="174">
        <v>110</v>
      </c>
      <c r="O261" s="174">
        <v>2093</v>
      </c>
      <c r="P261" s="195">
        <v>4376</v>
      </c>
      <c r="Q261" s="156">
        <v>58</v>
      </c>
      <c r="R261" s="156">
        <v>1988</v>
      </c>
      <c r="S261" s="197" t="s">
        <v>1200</v>
      </c>
      <c r="T261" s="156"/>
      <c r="U261" s="156"/>
      <c r="V261" s="171"/>
      <c r="W261" s="171"/>
      <c r="X261" s="53"/>
    </row>
    <row r="262" spans="1:24" x14ac:dyDescent="0.25">
      <c r="A262" s="279">
        <v>8</v>
      </c>
      <c r="B262" s="61" t="s">
        <v>968</v>
      </c>
      <c r="C262" s="62">
        <v>20000</v>
      </c>
      <c r="D262" s="310">
        <v>5511.62</v>
      </c>
      <c r="E262" s="62">
        <v>1940</v>
      </c>
      <c r="F262" s="289">
        <f>2000+3000+3000+3000+6000+3000-20000</f>
        <v>0</v>
      </c>
      <c r="G262" s="289">
        <f t="shared" si="51"/>
        <v>1940</v>
      </c>
      <c r="H262" s="289">
        <f>(10+18000-18010)+50-50</f>
        <v>0</v>
      </c>
      <c r="I262" s="251">
        <f t="shared" si="52"/>
        <v>1940</v>
      </c>
      <c r="J262" s="251">
        <f t="shared" si="53"/>
        <v>38800000</v>
      </c>
      <c r="K262" s="346">
        <f t="shared" si="54"/>
        <v>10692542.799999999</v>
      </c>
      <c r="L262" s="220"/>
      <c r="M262" s="200"/>
      <c r="N262" s="53"/>
      <c r="O262" s="53"/>
      <c r="P262" s="53"/>
      <c r="Q262" s="53"/>
      <c r="R262" s="53"/>
      <c r="S262" s="53"/>
      <c r="T262" s="53"/>
      <c r="U262" s="53"/>
      <c r="V262" s="53"/>
      <c r="W262" s="53"/>
      <c r="X262" s="53"/>
    </row>
    <row r="263" spans="1:24" x14ac:dyDescent="0.25">
      <c r="A263" s="279">
        <v>9</v>
      </c>
      <c r="B263" s="61" t="s">
        <v>1239</v>
      </c>
      <c r="C263" s="62">
        <v>40000</v>
      </c>
      <c r="D263" s="310">
        <v>3935</v>
      </c>
      <c r="E263" s="251">
        <v>0</v>
      </c>
      <c r="F263" s="289">
        <f>2000-2000</f>
        <v>0</v>
      </c>
      <c r="G263" s="289">
        <f t="shared" si="51"/>
        <v>0</v>
      </c>
      <c r="H263" s="289">
        <f>2000-2000</f>
        <v>0</v>
      </c>
      <c r="I263" s="251">
        <f t="shared" si="52"/>
        <v>0</v>
      </c>
      <c r="J263" s="251">
        <f t="shared" si="53"/>
        <v>0</v>
      </c>
      <c r="K263" s="346">
        <f t="shared" si="54"/>
        <v>0</v>
      </c>
      <c r="L263" s="220"/>
      <c r="M263" s="200"/>
      <c r="N263" s="53"/>
      <c r="O263" s="197"/>
      <c r="P263" s="199"/>
      <c r="Q263" s="171"/>
      <c r="R263" s="53"/>
      <c r="S263" s="53"/>
      <c r="T263" s="53"/>
      <c r="U263" s="53"/>
      <c r="V263" s="53"/>
      <c r="W263" s="53"/>
      <c r="X263" s="53"/>
    </row>
    <row r="264" spans="1:24" x14ac:dyDescent="0.25">
      <c r="A264" s="279">
        <v>10</v>
      </c>
      <c r="B264" s="61" t="s">
        <v>175</v>
      </c>
      <c r="C264" s="91">
        <v>10000</v>
      </c>
      <c r="D264" s="347">
        <v>2714</v>
      </c>
      <c r="E264" s="251">
        <v>0</v>
      </c>
      <c r="F264" s="289">
        <f>14500+500-15000</f>
        <v>0</v>
      </c>
      <c r="G264" s="289">
        <f t="shared" si="51"/>
        <v>0</v>
      </c>
      <c r="H264" s="289">
        <f>1000+9900+3000-13900+600-600+500-500</f>
        <v>0</v>
      </c>
      <c r="I264" s="251">
        <f t="shared" si="52"/>
        <v>0</v>
      </c>
      <c r="J264" s="251">
        <f t="shared" si="53"/>
        <v>0</v>
      </c>
      <c r="K264" s="346">
        <f t="shared" si="54"/>
        <v>0</v>
      </c>
      <c r="L264" s="226" t="s">
        <v>989</v>
      </c>
      <c r="M264" s="200">
        <v>1000</v>
      </c>
      <c r="N264" s="53">
        <v>9900</v>
      </c>
      <c r="O264" s="197" t="s">
        <v>987</v>
      </c>
      <c r="P264" s="199" t="s">
        <v>1024</v>
      </c>
      <c r="Q264" s="53"/>
      <c r="R264" s="53"/>
      <c r="S264" s="53"/>
      <c r="T264" s="53"/>
      <c r="U264" s="53"/>
      <c r="V264" s="53"/>
      <c r="W264" s="53"/>
      <c r="X264" s="53"/>
    </row>
    <row r="265" spans="1:24" x14ac:dyDescent="0.25">
      <c r="A265" s="279">
        <v>11</v>
      </c>
      <c r="B265" s="61" t="s">
        <v>1027</v>
      </c>
      <c r="C265" s="62">
        <v>10000</v>
      </c>
      <c r="D265" s="347">
        <v>1796</v>
      </c>
      <c r="E265" s="62">
        <v>0</v>
      </c>
      <c r="F265" s="289">
        <f>15000-15000+500-500</f>
        <v>0</v>
      </c>
      <c r="G265" s="289">
        <f t="shared" si="51"/>
        <v>0</v>
      </c>
      <c r="H265" s="289">
        <f>(5800+100-5900+100-100+500-500)+8950+50-9000</f>
        <v>0</v>
      </c>
      <c r="I265" s="251">
        <f t="shared" si="52"/>
        <v>0</v>
      </c>
      <c r="J265" s="251">
        <f t="shared" si="53"/>
        <v>0</v>
      </c>
      <c r="K265" s="346">
        <f t="shared" si="54"/>
        <v>0</v>
      </c>
      <c r="L265" s="226" t="s">
        <v>1166</v>
      </c>
      <c r="M265" s="200" t="s">
        <v>1031</v>
      </c>
      <c r="N265" s="197" t="s">
        <v>1157</v>
      </c>
      <c r="O265" s="197" t="s">
        <v>1174</v>
      </c>
      <c r="P265" s="199"/>
      <c r="Q265" s="53"/>
      <c r="R265" s="53"/>
      <c r="S265" s="53"/>
      <c r="T265" s="53"/>
      <c r="U265" s="53"/>
      <c r="V265" s="53"/>
      <c r="W265" s="53"/>
      <c r="X265" s="53"/>
    </row>
    <row r="266" spans="1:24" x14ac:dyDescent="0.25">
      <c r="A266" s="279">
        <v>12</v>
      </c>
      <c r="B266" s="61" t="s">
        <v>1156</v>
      </c>
      <c r="C266" s="62">
        <v>20000</v>
      </c>
      <c r="D266" s="347">
        <v>3108.89</v>
      </c>
      <c r="E266" s="62">
        <v>2000</v>
      </c>
      <c r="F266" s="289">
        <f>8888-8888</f>
        <v>0</v>
      </c>
      <c r="G266" s="289">
        <f t="shared" si="51"/>
        <v>2000</v>
      </c>
      <c r="H266" s="289">
        <f>(3888-3888)+50-50+1200+1750-2950</f>
        <v>0</v>
      </c>
      <c r="I266" s="251">
        <f t="shared" si="52"/>
        <v>2000</v>
      </c>
      <c r="J266" s="251">
        <f t="shared" si="53"/>
        <v>40000000</v>
      </c>
      <c r="K266" s="346">
        <f t="shared" si="54"/>
        <v>6217780</v>
      </c>
      <c r="L266" s="226" t="s">
        <v>1165</v>
      </c>
      <c r="M266" s="200">
        <v>3888</v>
      </c>
      <c r="N266" s="53"/>
      <c r="O266" s="53"/>
      <c r="P266" s="199"/>
      <c r="Q266" s="53"/>
      <c r="R266" s="53"/>
      <c r="S266" s="53"/>
      <c r="T266" s="53"/>
      <c r="U266" s="53"/>
      <c r="V266" s="53"/>
      <c r="W266" s="53"/>
      <c r="X266" s="53"/>
    </row>
    <row r="267" spans="1:24" x14ac:dyDescent="0.25">
      <c r="A267" s="279">
        <v>13</v>
      </c>
      <c r="B267" s="61" t="s">
        <v>1160</v>
      </c>
      <c r="C267" s="62">
        <v>10000</v>
      </c>
      <c r="D267" s="310"/>
      <c r="E267" s="62">
        <v>0</v>
      </c>
      <c r="F267" s="289">
        <f>(1500+500)*5-10000</f>
        <v>0</v>
      </c>
      <c r="G267" s="289">
        <f>+E267+F267</f>
        <v>0</v>
      </c>
      <c r="H267" s="289">
        <f>(5*1500)+(500*5)-10000</f>
        <v>0</v>
      </c>
      <c r="I267" s="251">
        <f>+G267-H267</f>
        <v>0</v>
      </c>
      <c r="J267" s="251">
        <f>I267*C267</f>
        <v>0</v>
      </c>
      <c r="K267" s="346">
        <f>+D267*I267</f>
        <v>0</v>
      </c>
      <c r="L267" s="220"/>
      <c r="M267" s="200"/>
      <c r="N267" s="53"/>
      <c r="O267" s="53"/>
      <c r="P267" s="199"/>
      <c r="Q267" s="53"/>
      <c r="R267" s="53"/>
      <c r="S267" s="53"/>
      <c r="T267" s="53"/>
      <c r="U267" s="53"/>
      <c r="V267" s="53"/>
      <c r="W267" s="53"/>
      <c r="X267" s="53"/>
    </row>
    <row r="268" spans="1:24" x14ac:dyDescent="0.25">
      <c r="A268" s="279">
        <v>14</v>
      </c>
      <c r="B268" s="61" t="s">
        <v>1161</v>
      </c>
      <c r="C268" s="62">
        <v>10000</v>
      </c>
      <c r="D268" s="310"/>
      <c r="E268" s="62">
        <v>0</v>
      </c>
      <c r="F268" s="289">
        <f>1000-1000</f>
        <v>0</v>
      </c>
      <c r="G268" s="289">
        <f>+E268+F268</f>
        <v>0</v>
      </c>
      <c r="H268" s="289">
        <f>1000-1000</f>
        <v>0</v>
      </c>
      <c r="I268" s="251">
        <f>+G268-H268</f>
        <v>0</v>
      </c>
      <c r="J268" s="251">
        <f>I268*C268</f>
        <v>0</v>
      </c>
      <c r="K268" s="346">
        <f>+D268*I268</f>
        <v>0</v>
      </c>
      <c r="L268" s="220"/>
      <c r="M268" s="200"/>
      <c r="N268" s="53"/>
      <c r="O268" s="53"/>
      <c r="P268" s="199"/>
      <c r="Q268" s="53"/>
      <c r="R268" s="53"/>
      <c r="S268" s="53"/>
      <c r="T268" s="53"/>
      <c r="U268" s="53"/>
      <c r="V268" s="53"/>
      <c r="W268" s="53"/>
      <c r="X268" s="53"/>
    </row>
    <row r="269" spans="1:24" x14ac:dyDescent="0.25">
      <c r="A269" s="279">
        <v>15</v>
      </c>
      <c r="B269" s="61" t="s">
        <v>1191</v>
      </c>
      <c r="C269" s="62">
        <v>20000</v>
      </c>
      <c r="D269" s="310"/>
      <c r="E269" s="62">
        <v>2300</v>
      </c>
      <c r="F269" s="289">
        <f>9999-9999</f>
        <v>0</v>
      </c>
      <c r="G269" s="289">
        <f>+E269+F269</f>
        <v>2300</v>
      </c>
      <c r="H269" s="289">
        <f>(400+400-800)+1600+5299-6899+100</f>
        <v>100</v>
      </c>
      <c r="I269" s="251">
        <f>+G269-H269</f>
        <v>2200</v>
      </c>
      <c r="J269" s="251">
        <f>I269*C269</f>
        <v>44000000</v>
      </c>
      <c r="K269" s="346">
        <f>+D269*I269</f>
        <v>0</v>
      </c>
      <c r="L269" s="220"/>
      <c r="M269" s="269" t="s">
        <v>1197</v>
      </c>
      <c r="N269" s="53" t="s">
        <v>1208</v>
      </c>
      <c r="O269" s="53"/>
      <c r="P269" s="199"/>
      <c r="Q269" s="53"/>
      <c r="R269" s="53"/>
      <c r="S269" s="53"/>
      <c r="T269" s="53"/>
      <c r="U269" s="53"/>
      <c r="V269" s="53"/>
      <c r="W269" s="53"/>
      <c r="X269" s="53"/>
    </row>
    <row r="270" spans="1:24" x14ac:dyDescent="0.25">
      <c r="A270" s="279">
        <v>16</v>
      </c>
      <c r="B270" s="61"/>
      <c r="C270" s="62"/>
      <c r="D270" s="310"/>
      <c r="E270" s="62"/>
      <c r="F270" s="289">
        <v>0</v>
      </c>
      <c r="G270" s="289">
        <f t="shared" si="51"/>
        <v>0</v>
      </c>
      <c r="H270" s="289">
        <v>0</v>
      </c>
      <c r="I270" s="251">
        <f t="shared" si="52"/>
        <v>0</v>
      </c>
      <c r="J270" s="251">
        <f t="shared" si="53"/>
        <v>0</v>
      </c>
      <c r="K270" s="346">
        <f t="shared" si="54"/>
        <v>0</v>
      </c>
      <c r="L270" s="220"/>
      <c r="M270" s="200"/>
      <c r="N270" s="53"/>
      <c r="O270" s="53"/>
      <c r="P270" s="199"/>
      <c r="Q270" s="53"/>
      <c r="R270" s="53"/>
      <c r="S270" s="53"/>
      <c r="T270" s="53"/>
      <c r="U270" s="53"/>
      <c r="V270" s="53"/>
      <c r="W270" s="53"/>
      <c r="X270" s="53"/>
    </row>
    <row r="271" spans="1:24" x14ac:dyDescent="0.25">
      <c r="A271" s="279">
        <v>17</v>
      </c>
      <c r="B271" s="61"/>
      <c r="C271" s="62"/>
      <c r="D271" s="310"/>
      <c r="E271" s="62"/>
      <c r="F271" s="289">
        <v>0</v>
      </c>
      <c r="G271" s="289">
        <f>+E271+F271</f>
        <v>0</v>
      </c>
      <c r="H271" s="289">
        <v>0</v>
      </c>
      <c r="I271" s="251">
        <f>+G271-H271</f>
        <v>0</v>
      </c>
      <c r="J271" s="251">
        <f>I271*C271</f>
        <v>0</v>
      </c>
      <c r="K271" s="346">
        <f>+D271*I271</f>
        <v>0</v>
      </c>
      <c r="L271" s="220"/>
      <c r="M271" s="200"/>
      <c r="N271" s="53"/>
      <c r="O271" s="53"/>
      <c r="P271" s="199"/>
      <c r="Q271" s="53"/>
      <c r="R271" s="53"/>
      <c r="S271" s="53"/>
      <c r="T271" s="53"/>
      <c r="U271" s="53"/>
      <c r="V271" s="53"/>
      <c r="W271" s="53"/>
      <c r="X271" s="53"/>
    </row>
    <row r="272" spans="1:24" ht="15.75" thickBot="1" x14ac:dyDescent="0.3">
      <c r="A272" s="279"/>
      <c r="B272" s="61"/>
      <c r="C272" s="62"/>
      <c r="D272" s="310">
        <v>0</v>
      </c>
      <c r="E272" s="62">
        <v>0</v>
      </c>
      <c r="F272" s="289"/>
      <c r="G272" s="289">
        <f t="shared" si="51"/>
        <v>0</v>
      </c>
      <c r="H272" s="289">
        <v>0</v>
      </c>
      <c r="I272" s="251">
        <f t="shared" si="52"/>
        <v>0</v>
      </c>
      <c r="J272" s="251">
        <f t="shared" si="53"/>
        <v>0</v>
      </c>
      <c r="K272" s="346">
        <f t="shared" si="54"/>
        <v>0</v>
      </c>
      <c r="L272" s="220"/>
      <c r="M272" s="200"/>
      <c r="N272" s="156"/>
      <c r="O272" s="53"/>
      <c r="P272" s="199"/>
      <c r="Q272" s="53"/>
      <c r="R272" s="53"/>
      <c r="S272" s="53"/>
      <c r="T272" s="53"/>
      <c r="U272" s="53"/>
      <c r="V272" s="53"/>
      <c r="W272" s="53"/>
      <c r="X272" s="53"/>
    </row>
    <row r="273" spans="1:24" ht="15.75" thickBot="1" x14ac:dyDescent="0.3">
      <c r="A273" s="313"/>
      <c r="B273" s="96" t="s">
        <v>907</v>
      </c>
      <c r="C273" s="296"/>
      <c r="D273" s="296"/>
      <c r="E273" s="97">
        <f t="shared" ref="E273:J273" si="55">SUM(E255:E272)</f>
        <v>10937</v>
      </c>
      <c r="F273" s="97">
        <f t="shared" si="55"/>
        <v>0</v>
      </c>
      <c r="G273" s="97">
        <f t="shared" si="55"/>
        <v>10937</v>
      </c>
      <c r="H273" s="97">
        <f t="shared" si="55"/>
        <v>100</v>
      </c>
      <c r="I273" s="97">
        <f t="shared" si="55"/>
        <v>10837</v>
      </c>
      <c r="J273" s="97">
        <f t="shared" si="55"/>
        <v>160972000</v>
      </c>
      <c r="K273" s="297">
        <f>SUM(K254:K272)</f>
        <v>23335397.969999999</v>
      </c>
      <c r="L273" s="151"/>
      <c r="M273" s="53"/>
      <c r="N273" s="156"/>
      <c r="O273" s="53"/>
      <c r="P273" s="199"/>
      <c r="Q273" s="53"/>
      <c r="R273" s="53"/>
      <c r="S273" s="53"/>
      <c r="T273" s="53"/>
      <c r="U273" s="53"/>
      <c r="V273" s="53"/>
      <c r="W273" s="53"/>
      <c r="X273" s="53"/>
    </row>
    <row r="274" spans="1:24" x14ac:dyDescent="0.25">
      <c r="A274" s="138"/>
      <c r="B274" s="318"/>
      <c r="C274" s="138"/>
      <c r="D274" s="138"/>
      <c r="E274" s="139"/>
      <c r="F274" s="139"/>
      <c r="G274" s="139"/>
      <c r="H274" s="139"/>
      <c r="I274" s="139"/>
      <c r="J274" s="139"/>
      <c r="K274" s="334"/>
      <c r="L274" s="151"/>
    </row>
    <row r="275" spans="1:24" ht="15.75" thickBot="1" x14ac:dyDescent="0.3">
      <c r="A275" s="312" t="s">
        <v>712</v>
      </c>
      <c r="B275" s="298"/>
      <c r="C275" s="298"/>
      <c r="D275" s="298"/>
      <c r="E275" s="298"/>
      <c r="F275" s="298"/>
      <c r="G275" s="298"/>
      <c r="H275" s="298"/>
      <c r="I275" s="298"/>
      <c r="J275" s="298"/>
      <c r="K275" s="298"/>
    </row>
    <row r="276" spans="1:24" ht="15.75" thickBot="1" x14ac:dyDescent="0.3">
      <c r="A276" s="313"/>
      <c r="B276" s="96" t="s">
        <v>911</v>
      </c>
      <c r="C276" s="296"/>
      <c r="D276" s="296"/>
      <c r="E276" s="349">
        <f t="shared" ref="E276:K276" si="56">+E13+E23+E33+E42+E56+E67+E79+E92+E105+E115+E123+E131+E141+E152+E162+E183+E196+E211+E226+E249+E273</f>
        <v>74916</v>
      </c>
      <c r="F276" s="349">
        <f t="shared" si="56"/>
        <v>0</v>
      </c>
      <c r="G276" s="349">
        <f t="shared" si="56"/>
        <v>74916</v>
      </c>
      <c r="H276" s="349">
        <f t="shared" si="56"/>
        <v>100</v>
      </c>
      <c r="I276" s="349">
        <f t="shared" si="56"/>
        <v>74816</v>
      </c>
      <c r="J276" s="349">
        <f t="shared" si="56"/>
        <v>1044700000</v>
      </c>
      <c r="K276" s="350">
        <f t="shared" si="56"/>
        <v>266277970.05000004</v>
      </c>
      <c r="L276" s="225"/>
      <c r="M276" s="40">
        <v>74916</v>
      </c>
      <c r="N276" s="40">
        <v>1046700000</v>
      </c>
      <c r="O276" s="40">
        <v>266277970.05000004</v>
      </c>
    </row>
    <row r="277" spans="1:24" x14ac:dyDescent="0.25">
      <c r="H277" s="40" t="s">
        <v>855</v>
      </c>
      <c r="M277" s="145">
        <f>+M276-I276</f>
        <v>100</v>
      </c>
      <c r="N277" s="145">
        <f>+N276-J276</f>
        <v>2000000</v>
      </c>
      <c r="O277" s="145">
        <f>+O276-K276</f>
        <v>0</v>
      </c>
    </row>
    <row r="278" spans="1:24" x14ac:dyDescent="0.25">
      <c r="M278" s="145"/>
      <c r="N278" s="145"/>
      <c r="O278" s="145"/>
    </row>
    <row r="279" spans="1:24" x14ac:dyDescent="0.25">
      <c r="E279" s="88" t="s">
        <v>1068</v>
      </c>
      <c r="G279" s="88" t="s">
        <v>1069</v>
      </c>
      <c r="I279" s="88" t="s">
        <v>1070</v>
      </c>
      <c r="K279" t="s">
        <v>1071</v>
      </c>
      <c r="M279" s="145"/>
      <c r="N279" s="145"/>
      <c r="O279" s="145"/>
    </row>
    <row r="280" spans="1:24" x14ac:dyDescent="0.25">
      <c r="E280" s="239"/>
      <c r="F280" s="239">
        <v>100000</v>
      </c>
      <c r="G280" s="239"/>
      <c r="H280" s="239">
        <v>100000</v>
      </c>
      <c r="I280" s="239"/>
      <c r="J280" s="239">
        <v>100000</v>
      </c>
      <c r="L280" s="40">
        <v>100000</v>
      </c>
    </row>
    <row r="281" spans="1:24" x14ac:dyDescent="0.25">
      <c r="C281" s="150" t="s">
        <v>1047</v>
      </c>
      <c r="D281" t="s">
        <v>956</v>
      </c>
      <c r="E281" s="240">
        <v>1</v>
      </c>
      <c r="F281" s="239">
        <f>+F280-E281</f>
        <v>99999</v>
      </c>
      <c r="G281" s="239"/>
      <c r="H281" s="239">
        <f>+H280-G281</f>
        <v>100000</v>
      </c>
      <c r="I281" s="239"/>
      <c r="J281" s="243">
        <f>+J280-I281</f>
        <v>100000</v>
      </c>
      <c r="K281" s="239">
        <v>21500</v>
      </c>
      <c r="L281" s="154">
        <f>+L280-K281</f>
        <v>78500</v>
      </c>
    </row>
    <row r="282" spans="1:24" x14ac:dyDescent="0.25">
      <c r="D282" t="s">
        <v>956</v>
      </c>
      <c r="E282" s="239">
        <v>10</v>
      </c>
      <c r="F282" s="239">
        <f t="shared" ref="F282:F302" si="57">+F281-E282</f>
        <v>99989</v>
      </c>
      <c r="G282" s="239">
        <v>10</v>
      </c>
      <c r="H282" s="239">
        <f t="shared" ref="H282:H304" si="58">+H281-G282</f>
        <v>99990</v>
      </c>
      <c r="I282" s="239">
        <v>7200</v>
      </c>
      <c r="J282" s="243">
        <f t="shared" ref="J282:J304" si="59">+J281-I282</f>
        <v>92800</v>
      </c>
      <c r="K282" s="239"/>
      <c r="L282" s="154">
        <f t="shared" ref="L282:L304" si="60">+L281-K282</f>
        <v>78500</v>
      </c>
    </row>
    <row r="283" spans="1:24" x14ac:dyDescent="0.25">
      <c r="D283" t="s">
        <v>1048</v>
      </c>
      <c r="E283" s="239">
        <v>1500</v>
      </c>
      <c r="F283" s="239">
        <f t="shared" si="57"/>
        <v>98489</v>
      </c>
      <c r="G283" s="239">
        <v>1500</v>
      </c>
      <c r="H283" s="239">
        <f t="shared" si="58"/>
        <v>98490</v>
      </c>
      <c r="I283" s="239">
        <v>14800</v>
      </c>
      <c r="J283" s="243">
        <f t="shared" si="59"/>
        <v>78000</v>
      </c>
      <c r="K283" s="239"/>
      <c r="L283" s="154">
        <f t="shared" si="60"/>
        <v>78500</v>
      </c>
    </row>
    <row r="284" spans="1:24" x14ac:dyDescent="0.25">
      <c r="D284" s="40" t="s">
        <v>1049</v>
      </c>
      <c r="E284" s="239">
        <v>21500</v>
      </c>
      <c r="F284" s="239">
        <f t="shared" si="57"/>
        <v>76989</v>
      </c>
      <c r="G284" s="242">
        <v>21500</v>
      </c>
      <c r="H284" s="239">
        <f t="shared" si="58"/>
        <v>76990</v>
      </c>
      <c r="I284" s="239">
        <v>10</v>
      </c>
      <c r="J284" s="243">
        <f t="shared" si="59"/>
        <v>77990</v>
      </c>
      <c r="K284" s="239"/>
      <c r="L284" s="154">
        <f t="shared" si="60"/>
        <v>78500</v>
      </c>
    </row>
    <row r="285" spans="1:24" x14ac:dyDescent="0.25">
      <c r="C285" s="150" t="s">
        <v>1050</v>
      </c>
      <c r="D285" s="40" t="s">
        <v>1051</v>
      </c>
      <c r="E285" s="239">
        <v>11250</v>
      </c>
      <c r="F285" s="239">
        <f t="shared" si="57"/>
        <v>65739</v>
      </c>
      <c r="G285" s="239">
        <v>11250</v>
      </c>
      <c r="H285" s="239">
        <f t="shared" si="58"/>
        <v>65740</v>
      </c>
      <c r="I285" s="239">
        <v>1500</v>
      </c>
      <c r="J285" s="243">
        <f t="shared" si="59"/>
        <v>76490</v>
      </c>
      <c r="K285" s="239">
        <v>11250</v>
      </c>
      <c r="L285" s="154">
        <f t="shared" si="60"/>
        <v>67250</v>
      </c>
    </row>
    <row r="286" spans="1:24" x14ac:dyDescent="0.25">
      <c r="C286" s="150" t="s">
        <v>1052</v>
      </c>
      <c r="D286" s="40" t="s">
        <v>1051</v>
      </c>
      <c r="E286" s="239">
        <v>3850</v>
      </c>
      <c r="F286" s="239">
        <f t="shared" si="57"/>
        <v>61889</v>
      </c>
      <c r="G286" s="239">
        <v>3850</v>
      </c>
      <c r="H286" s="239">
        <f t="shared" si="58"/>
        <v>61890</v>
      </c>
      <c r="I286" s="239"/>
      <c r="J286" s="243">
        <f t="shared" si="59"/>
        <v>76490</v>
      </c>
      <c r="K286" s="239">
        <v>3850</v>
      </c>
      <c r="L286" s="154">
        <f t="shared" si="60"/>
        <v>63400</v>
      </c>
    </row>
    <row r="287" spans="1:24" x14ac:dyDescent="0.25">
      <c r="C287" s="150" t="s">
        <v>1053</v>
      </c>
      <c r="D287" s="40" t="s">
        <v>955</v>
      </c>
      <c r="E287" s="240">
        <v>99</v>
      </c>
      <c r="F287" s="239">
        <f t="shared" si="57"/>
        <v>61790</v>
      </c>
      <c r="G287" s="240">
        <v>100</v>
      </c>
      <c r="H287" s="239">
        <f t="shared" si="58"/>
        <v>61790</v>
      </c>
      <c r="I287" s="239"/>
      <c r="J287" s="243">
        <f>+J286-I287</f>
        <v>76490</v>
      </c>
      <c r="L287" s="154">
        <f t="shared" si="60"/>
        <v>63400</v>
      </c>
    </row>
    <row r="288" spans="1:24" x14ac:dyDescent="0.25">
      <c r="C288" s="150" t="s">
        <v>1054</v>
      </c>
      <c r="D288" s="40" t="s">
        <v>1051</v>
      </c>
      <c r="E288" s="239">
        <v>3800</v>
      </c>
      <c r="F288" s="239">
        <f t="shared" si="57"/>
        <v>57990</v>
      </c>
      <c r="G288" s="239">
        <v>3800</v>
      </c>
      <c r="H288" s="239">
        <f t="shared" si="58"/>
        <v>57990</v>
      </c>
      <c r="I288" s="239">
        <v>3800</v>
      </c>
      <c r="J288" s="243">
        <f>+J287-I288</f>
        <v>72690</v>
      </c>
      <c r="K288" s="40">
        <v>3800</v>
      </c>
      <c r="L288" s="154">
        <f t="shared" si="60"/>
        <v>59600</v>
      </c>
    </row>
    <row r="289" spans="3:13" x14ac:dyDescent="0.25">
      <c r="C289" s="150" t="s">
        <v>1055</v>
      </c>
      <c r="D289" s="40" t="s">
        <v>1051</v>
      </c>
      <c r="E289" s="239">
        <v>2400</v>
      </c>
      <c r="F289" s="239">
        <f t="shared" si="57"/>
        <v>55590</v>
      </c>
      <c r="G289" s="239">
        <v>2400</v>
      </c>
      <c r="H289" s="239">
        <f t="shared" si="58"/>
        <v>55590</v>
      </c>
      <c r="I289" s="239">
        <v>3600</v>
      </c>
      <c r="J289" s="243">
        <f>+J288-I289</f>
        <v>69090</v>
      </c>
      <c r="K289" s="239">
        <v>2400</v>
      </c>
      <c r="L289" s="154">
        <f t="shared" si="60"/>
        <v>57200</v>
      </c>
    </row>
    <row r="290" spans="3:13" x14ac:dyDescent="0.25">
      <c r="C290" s="150" t="s">
        <v>1056</v>
      </c>
      <c r="D290" s="40" t="s">
        <v>1051</v>
      </c>
      <c r="E290" s="239">
        <v>700</v>
      </c>
      <c r="F290" s="239">
        <f t="shared" si="57"/>
        <v>54890</v>
      </c>
      <c r="G290" s="239">
        <v>700</v>
      </c>
      <c r="H290" s="239">
        <f t="shared" si="58"/>
        <v>54890</v>
      </c>
      <c r="I290" s="239"/>
      <c r="J290" s="243">
        <f t="shared" si="59"/>
        <v>69090</v>
      </c>
      <c r="K290" s="239">
        <v>700</v>
      </c>
      <c r="L290" s="154">
        <f t="shared" si="60"/>
        <v>56500</v>
      </c>
    </row>
    <row r="291" spans="3:13" x14ac:dyDescent="0.25">
      <c r="C291" s="150" t="s">
        <v>1057</v>
      </c>
      <c r="D291" s="40" t="s">
        <v>1051</v>
      </c>
      <c r="E291" s="239">
        <v>12000</v>
      </c>
      <c r="F291" s="239">
        <f t="shared" si="57"/>
        <v>42890</v>
      </c>
      <c r="G291" s="239">
        <v>12000</v>
      </c>
      <c r="H291" s="239">
        <f t="shared" si="58"/>
        <v>42890</v>
      </c>
      <c r="I291" s="239">
        <v>5500</v>
      </c>
      <c r="J291" s="243">
        <f t="shared" si="59"/>
        <v>63590</v>
      </c>
      <c r="K291" s="239">
        <v>12000</v>
      </c>
      <c r="L291" s="154">
        <f t="shared" si="60"/>
        <v>44500</v>
      </c>
    </row>
    <row r="292" spans="3:13" x14ac:dyDescent="0.25">
      <c r="C292" s="150" t="s">
        <v>1058</v>
      </c>
      <c r="D292" s="40" t="s">
        <v>1051</v>
      </c>
      <c r="E292" s="239">
        <v>7200</v>
      </c>
      <c r="F292" s="239">
        <f t="shared" si="57"/>
        <v>35690</v>
      </c>
      <c r="G292" s="239">
        <v>7200</v>
      </c>
      <c r="H292" s="239">
        <f t="shared" si="58"/>
        <v>35690</v>
      </c>
      <c r="I292" s="239">
        <v>2200</v>
      </c>
      <c r="J292" s="243">
        <f t="shared" si="59"/>
        <v>61390</v>
      </c>
      <c r="K292" s="239">
        <v>7200</v>
      </c>
      <c r="L292" s="154">
        <f t="shared" si="60"/>
        <v>37300</v>
      </c>
    </row>
    <row r="293" spans="3:13" x14ac:dyDescent="0.25">
      <c r="C293" s="150" t="s">
        <v>1059</v>
      </c>
      <c r="D293" s="40" t="s">
        <v>1051</v>
      </c>
      <c r="E293" s="239">
        <v>14800</v>
      </c>
      <c r="F293" s="239">
        <f t="shared" si="57"/>
        <v>20890</v>
      </c>
      <c r="G293" s="239">
        <v>14800</v>
      </c>
      <c r="H293" s="239">
        <f t="shared" si="58"/>
        <v>20890</v>
      </c>
      <c r="I293" s="239">
        <v>2060</v>
      </c>
      <c r="J293" s="243">
        <f t="shared" si="59"/>
        <v>59330</v>
      </c>
      <c r="K293" s="239">
        <v>14800</v>
      </c>
      <c r="L293" s="154">
        <f t="shared" si="60"/>
        <v>22500</v>
      </c>
    </row>
    <row r="294" spans="3:13" x14ac:dyDescent="0.25">
      <c r="C294" s="150" t="s">
        <v>1060</v>
      </c>
      <c r="D294" s="40" t="s">
        <v>1051</v>
      </c>
      <c r="E294" s="239">
        <v>3800</v>
      </c>
      <c r="F294" s="239">
        <f t="shared" si="57"/>
        <v>17090</v>
      </c>
      <c r="G294" s="239">
        <v>3800</v>
      </c>
      <c r="H294" s="239">
        <f t="shared" si="58"/>
        <v>17090</v>
      </c>
      <c r="I294" s="239">
        <v>2000</v>
      </c>
      <c r="J294" s="243">
        <f t="shared" si="59"/>
        <v>57330</v>
      </c>
      <c r="K294" s="239">
        <v>3800</v>
      </c>
      <c r="L294" s="154">
        <f t="shared" si="60"/>
        <v>18700</v>
      </c>
    </row>
    <row r="295" spans="3:13" x14ac:dyDescent="0.25">
      <c r="C295" s="150" t="s">
        <v>1061</v>
      </c>
      <c r="D295" s="40" t="s">
        <v>1051</v>
      </c>
      <c r="E295" s="241">
        <v>3100</v>
      </c>
      <c r="F295" s="239">
        <f t="shared" si="57"/>
        <v>13990</v>
      </c>
      <c r="G295" s="241">
        <v>3600</v>
      </c>
      <c r="H295" s="239">
        <f t="shared" si="58"/>
        <v>13490</v>
      </c>
      <c r="I295" s="239">
        <v>370</v>
      </c>
      <c r="J295" s="243">
        <f t="shared" si="59"/>
        <v>56960</v>
      </c>
      <c r="K295" s="239">
        <v>3600</v>
      </c>
      <c r="L295" s="154">
        <f t="shared" si="60"/>
        <v>15100</v>
      </c>
    </row>
    <row r="296" spans="3:13" x14ac:dyDescent="0.25">
      <c r="C296" s="150" t="s">
        <v>1061</v>
      </c>
      <c r="D296" s="40" t="s">
        <v>1051</v>
      </c>
      <c r="E296" s="241">
        <v>500</v>
      </c>
      <c r="F296" s="239">
        <f t="shared" si="57"/>
        <v>13490</v>
      </c>
      <c r="G296" s="239"/>
      <c r="H296" s="239">
        <f t="shared" si="58"/>
        <v>13490</v>
      </c>
      <c r="I296" s="239"/>
      <c r="J296" s="243">
        <f t="shared" si="59"/>
        <v>56960</v>
      </c>
      <c r="L296" s="154">
        <f t="shared" si="60"/>
        <v>15100</v>
      </c>
    </row>
    <row r="297" spans="3:13" x14ac:dyDescent="0.25">
      <c r="C297" s="150" t="s">
        <v>1062</v>
      </c>
      <c r="D297" s="40" t="s">
        <v>1051</v>
      </c>
      <c r="E297" s="239">
        <v>5500</v>
      </c>
      <c r="F297" s="239">
        <f t="shared" si="57"/>
        <v>7990</v>
      </c>
      <c r="G297" s="239">
        <v>5500</v>
      </c>
      <c r="H297" s="239">
        <f t="shared" si="58"/>
        <v>7990</v>
      </c>
      <c r="I297" s="239">
        <v>240</v>
      </c>
      <c r="J297" s="243">
        <f t="shared" si="59"/>
        <v>56720</v>
      </c>
      <c r="K297" s="239">
        <v>5500</v>
      </c>
      <c r="L297" s="154">
        <f t="shared" si="60"/>
        <v>9600</v>
      </c>
    </row>
    <row r="298" spans="3:13" x14ac:dyDescent="0.25">
      <c r="C298" s="150" t="s">
        <v>1063</v>
      </c>
      <c r="D298" t="s">
        <v>1064</v>
      </c>
      <c r="E298" s="239">
        <v>2000</v>
      </c>
      <c r="F298" s="239">
        <f t="shared" si="57"/>
        <v>5990</v>
      </c>
      <c r="G298" s="239">
        <v>2000</v>
      </c>
      <c r="H298" s="239">
        <f t="shared" si="58"/>
        <v>5990</v>
      </c>
      <c r="I298" s="239"/>
      <c r="J298" s="243">
        <f t="shared" si="59"/>
        <v>56720</v>
      </c>
      <c r="K298" s="239">
        <v>2000</v>
      </c>
      <c r="L298" s="154">
        <f t="shared" si="60"/>
        <v>7600</v>
      </c>
      <c r="M298" s="150" t="s">
        <v>1073</v>
      </c>
    </row>
    <row r="299" spans="3:13" x14ac:dyDescent="0.25">
      <c r="C299" s="150" t="s">
        <v>1072</v>
      </c>
      <c r="D299" t="s">
        <v>1051</v>
      </c>
      <c r="E299" s="239">
        <v>2200</v>
      </c>
      <c r="F299" s="239">
        <f t="shared" si="57"/>
        <v>3790</v>
      </c>
      <c r="G299" s="239">
        <v>2200</v>
      </c>
      <c r="H299" s="239">
        <f t="shared" si="58"/>
        <v>3790</v>
      </c>
      <c r="I299" s="239"/>
      <c r="J299" s="243">
        <f t="shared" si="59"/>
        <v>56720</v>
      </c>
      <c r="K299" s="239">
        <v>2200</v>
      </c>
      <c r="L299" s="154">
        <f t="shared" si="60"/>
        <v>5400</v>
      </c>
    </row>
    <row r="300" spans="3:13" x14ac:dyDescent="0.25">
      <c r="C300" s="150" t="s">
        <v>1065</v>
      </c>
      <c r="D300" t="s">
        <v>1051</v>
      </c>
      <c r="E300" s="239">
        <v>2060</v>
      </c>
      <c r="F300" s="239">
        <f t="shared" si="57"/>
        <v>1730</v>
      </c>
      <c r="G300" s="239">
        <v>2060</v>
      </c>
      <c r="H300" s="239">
        <f t="shared" si="58"/>
        <v>1730</v>
      </c>
      <c r="I300" s="239"/>
      <c r="J300" s="243">
        <f t="shared" si="59"/>
        <v>56720</v>
      </c>
      <c r="K300" s="239">
        <v>2060</v>
      </c>
      <c r="L300" s="154">
        <f t="shared" si="60"/>
        <v>3340</v>
      </c>
    </row>
    <row r="301" spans="3:13" x14ac:dyDescent="0.25">
      <c r="C301" s="150" t="s">
        <v>1066</v>
      </c>
      <c r="D301" t="s">
        <v>1051</v>
      </c>
      <c r="E301" s="239">
        <v>370</v>
      </c>
      <c r="F301" s="239">
        <f t="shared" si="57"/>
        <v>1360</v>
      </c>
      <c r="G301" s="239">
        <v>370</v>
      </c>
      <c r="H301" s="239">
        <f t="shared" si="58"/>
        <v>1360</v>
      </c>
      <c r="I301" s="239"/>
      <c r="J301" s="243">
        <f t="shared" si="59"/>
        <v>56720</v>
      </c>
      <c r="K301" s="239">
        <v>370</v>
      </c>
      <c r="L301" s="154">
        <f t="shared" si="60"/>
        <v>2970</v>
      </c>
    </row>
    <row r="302" spans="3:13" x14ac:dyDescent="0.25">
      <c r="C302" s="150" t="s">
        <v>1067</v>
      </c>
      <c r="D302" t="s">
        <v>1051</v>
      </c>
      <c r="E302" s="244">
        <v>1360</v>
      </c>
      <c r="F302" s="239">
        <f t="shared" si="57"/>
        <v>0</v>
      </c>
      <c r="G302" s="239"/>
      <c r="H302" s="239">
        <f t="shared" si="58"/>
        <v>1360</v>
      </c>
      <c r="I302" s="239"/>
      <c r="J302" s="243">
        <f t="shared" si="59"/>
        <v>56720</v>
      </c>
      <c r="K302" s="239">
        <v>240</v>
      </c>
      <c r="L302" s="154">
        <f t="shared" si="60"/>
        <v>2730</v>
      </c>
    </row>
    <row r="303" spans="3:13" x14ac:dyDescent="0.25">
      <c r="E303"/>
      <c r="G303" s="244">
        <v>240</v>
      </c>
      <c r="H303" s="239">
        <f t="shared" si="58"/>
        <v>1120</v>
      </c>
      <c r="I303" s="239"/>
      <c r="J303" s="243">
        <f t="shared" si="59"/>
        <v>56720</v>
      </c>
      <c r="K303" s="239">
        <v>110</v>
      </c>
      <c r="L303" s="154">
        <f t="shared" si="60"/>
        <v>2620</v>
      </c>
      <c r="M303" t="s">
        <v>1074</v>
      </c>
    </row>
    <row r="304" spans="3:13" x14ac:dyDescent="0.25">
      <c r="H304" s="239">
        <f t="shared" si="58"/>
        <v>1120</v>
      </c>
      <c r="J304" s="243">
        <f t="shared" si="59"/>
        <v>56720</v>
      </c>
      <c r="K304" s="239">
        <v>1500</v>
      </c>
      <c r="L304" s="154">
        <f t="shared" si="60"/>
        <v>1120</v>
      </c>
      <c r="M304" t="s">
        <v>1048</v>
      </c>
    </row>
    <row r="306" spans="3:9" x14ac:dyDescent="0.25">
      <c r="I306" s="154">
        <f>SUM(I280:I305)</f>
        <v>43280</v>
      </c>
    </row>
    <row r="307" spans="3:9" x14ac:dyDescent="0.25">
      <c r="I307" s="154">
        <f>+I306-J280</f>
        <v>-56720</v>
      </c>
    </row>
    <row r="308" spans="3:9" x14ac:dyDescent="0.25">
      <c r="C308" s="245" t="s">
        <v>1075</v>
      </c>
    </row>
    <row r="309" spans="3:9" x14ac:dyDescent="0.25">
      <c r="C309" s="246" t="s">
        <v>1076</v>
      </c>
    </row>
    <row r="310" spans="3:9" x14ac:dyDescent="0.25">
      <c r="C310" s="247" t="s">
        <v>1077</v>
      </c>
    </row>
  </sheetData>
  <mergeCells count="150">
    <mergeCell ref="A117:A119"/>
    <mergeCell ref="B117:B118"/>
    <mergeCell ref="C117:C118"/>
    <mergeCell ref="D117:D118"/>
    <mergeCell ref="J117:J118"/>
    <mergeCell ref="K117:K118"/>
    <mergeCell ref="E117:I117"/>
    <mergeCell ref="K94:K95"/>
    <mergeCell ref="A108:A110"/>
    <mergeCell ref="B108:B109"/>
    <mergeCell ref="C108:C109"/>
    <mergeCell ref="D108:D109"/>
    <mergeCell ref="J108:J109"/>
    <mergeCell ref="K108:K109"/>
    <mergeCell ref="A94:A96"/>
    <mergeCell ref="B94:B95"/>
    <mergeCell ref="C94:C95"/>
    <mergeCell ref="D94:D95"/>
    <mergeCell ref="J94:J95"/>
    <mergeCell ref="E108:I108"/>
    <mergeCell ref="E94:I94"/>
    <mergeCell ref="K69:K70"/>
    <mergeCell ref="A81:A83"/>
    <mergeCell ref="B81:B82"/>
    <mergeCell ref="C81:C82"/>
    <mergeCell ref="D81:D82"/>
    <mergeCell ref="J81:J82"/>
    <mergeCell ref="K81:K82"/>
    <mergeCell ref="A69:A71"/>
    <mergeCell ref="B69:B70"/>
    <mergeCell ref="C69:C70"/>
    <mergeCell ref="D69:D70"/>
    <mergeCell ref="J69:J70"/>
    <mergeCell ref="E69:I69"/>
    <mergeCell ref="E81:I81"/>
    <mergeCell ref="D58:D59"/>
    <mergeCell ref="J58:J59"/>
    <mergeCell ref="K58:K59"/>
    <mergeCell ref="A44:A46"/>
    <mergeCell ref="B44:B45"/>
    <mergeCell ref="C44:C45"/>
    <mergeCell ref="D44:D45"/>
    <mergeCell ref="J44:J45"/>
    <mergeCell ref="E44:I44"/>
    <mergeCell ref="B53:B55"/>
    <mergeCell ref="C53:C54"/>
    <mergeCell ref="D53:D54"/>
    <mergeCell ref="E58:I58"/>
    <mergeCell ref="K3:K4"/>
    <mergeCell ref="A15:A17"/>
    <mergeCell ref="B15:B16"/>
    <mergeCell ref="C15:C16"/>
    <mergeCell ref="D15:D16"/>
    <mergeCell ref="J15:J16"/>
    <mergeCell ref="K15:K16"/>
    <mergeCell ref="A3:A5"/>
    <mergeCell ref="B3:B4"/>
    <mergeCell ref="C3:C4"/>
    <mergeCell ref="D3:D4"/>
    <mergeCell ref="J3:J4"/>
    <mergeCell ref="E3:I3"/>
    <mergeCell ref="E15:I15"/>
    <mergeCell ref="K25:K26"/>
    <mergeCell ref="A35:A37"/>
    <mergeCell ref="B35:B36"/>
    <mergeCell ref="C35:C36"/>
    <mergeCell ref="A125:A127"/>
    <mergeCell ref="B125:B126"/>
    <mergeCell ref="C125:C126"/>
    <mergeCell ref="D125:D126"/>
    <mergeCell ref="J125:J126"/>
    <mergeCell ref="K125:K126"/>
    <mergeCell ref="D35:D36"/>
    <mergeCell ref="J35:J36"/>
    <mergeCell ref="K35:K36"/>
    <mergeCell ref="A25:A27"/>
    <mergeCell ref="B25:B26"/>
    <mergeCell ref="C25:C26"/>
    <mergeCell ref="D25:D26"/>
    <mergeCell ref="J25:J26"/>
    <mergeCell ref="E25:I25"/>
    <mergeCell ref="E35:I35"/>
    <mergeCell ref="K44:K45"/>
    <mergeCell ref="A58:A60"/>
    <mergeCell ref="B58:B59"/>
    <mergeCell ref="C58:C59"/>
    <mergeCell ref="A133:A135"/>
    <mergeCell ref="B133:B134"/>
    <mergeCell ref="C133:C134"/>
    <mergeCell ref="D133:D134"/>
    <mergeCell ref="J133:J134"/>
    <mergeCell ref="K133:K134"/>
    <mergeCell ref="E125:I125"/>
    <mergeCell ref="E133:I133"/>
    <mergeCell ref="A143:A145"/>
    <mergeCell ref="B143:B144"/>
    <mergeCell ref="C143:C144"/>
    <mergeCell ref="D143:D144"/>
    <mergeCell ref="J143:J144"/>
    <mergeCell ref="K143:K144"/>
    <mergeCell ref="A154:A156"/>
    <mergeCell ref="B154:B155"/>
    <mergeCell ref="C154:C155"/>
    <mergeCell ref="D154:D155"/>
    <mergeCell ref="J154:J155"/>
    <mergeCell ref="K154:K155"/>
    <mergeCell ref="E154:I154"/>
    <mergeCell ref="E143:I143"/>
    <mergeCell ref="A164:A166"/>
    <mergeCell ref="B164:B165"/>
    <mergeCell ref="C164:C165"/>
    <mergeCell ref="D164:D165"/>
    <mergeCell ref="J164:J165"/>
    <mergeCell ref="K164:K165"/>
    <mergeCell ref="E164:I164"/>
    <mergeCell ref="A251:A253"/>
    <mergeCell ref="B251:B252"/>
    <mergeCell ref="C251:C252"/>
    <mergeCell ref="D251:D252"/>
    <mergeCell ref="E251:I251"/>
    <mergeCell ref="J251:J252"/>
    <mergeCell ref="K251:K252"/>
    <mergeCell ref="A198:A200"/>
    <mergeCell ref="B198:B199"/>
    <mergeCell ref="C198:C199"/>
    <mergeCell ref="D198:D199"/>
    <mergeCell ref="J198:J199"/>
    <mergeCell ref="K198:K199"/>
    <mergeCell ref="A213:A215"/>
    <mergeCell ref="B213:B214"/>
    <mergeCell ref="C213:C214"/>
    <mergeCell ref="D228:D229"/>
    <mergeCell ref="E228:I228"/>
    <mergeCell ref="J228:J229"/>
    <mergeCell ref="K228:K229"/>
    <mergeCell ref="D213:D214"/>
    <mergeCell ref="J213:J214"/>
    <mergeCell ref="K213:K214"/>
    <mergeCell ref="J185:J186"/>
    <mergeCell ref="K185:K186"/>
    <mergeCell ref="E213:I213"/>
    <mergeCell ref="E198:I198"/>
    <mergeCell ref="A228:A230"/>
    <mergeCell ref="B228:B229"/>
    <mergeCell ref="C228:C229"/>
    <mergeCell ref="A185:A187"/>
    <mergeCell ref="B185:B186"/>
    <mergeCell ref="C185:C186"/>
    <mergeCell ref="D185:D186"/>
    <mergeCell ref="E185:I185"/>
  </mergeCells>
  <pageMargins left="0" right="0" top="0.196850393700787" bottom="0.196850393700787" header="0.196850393700787" footer="0.196850393700787"/>
  <pageSetup scale="91"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R523"/>
  <sheetViews>
    <sheetView topLeftCell="A385" zoomScale="85" zoomScaleNormal="85" workbookViewId="0">
      <selection activeCell="G393" sqref="G393"/>
    </sheetView>
  </sheetViews>
  <sheetFormatPr defaultColWidth="9.140625" defaultRowHeight="15" x14ac:dyDescent="0.25"/>
  <cols>
    <col min="1" max="1" width="4.7109375" style="40" customWidth="1"/>
    <col min="2" max="2" width="22.42578125" style="40" customWidth="1"/>
    <col min="3" max="3" width="11.42578125" style="40" customWidth="1"/>
    <col min="4" max="4" width="12" style="40" customWidth="1"/>
    <col min="5" max="5" width="13.42578125" style="40" customWidth="1"/>
    <col min="6" max="6" width="11.7109375" style="40" customWidth="1"/>
    <col min="7" max="7" width="14.5703125" style="40" customWidth="1"/>
    <col min="8" max="8" width="12.7109375" style="40" customWidth="1"/>
    <col min="9" max="9" width="10.85546875" style="40" customWidth="1"/>
    <col min="10" max="10" width="14.42578125" style="40" customWidth="1"/>
    <col min="11" max="11" width="15.28515625" style="40" bestFit="1" customWidth="1"/>
    <col min="12" max="12" width="15.28515625" style="40" customWidth="1"/>
    <col min="13" max="16384" width="9.140625" style="40"/>
  </cols>
  <sheetData>
    <row r="2" spans="1:12" ht="15.75" thickBot="1" x14ac:dyDescent="0.3">
      <c r="A2" s="312" t="s">
        <v>542</v>
      </c>
      <c r="B2" s="312"/>
      <c r="C2" s="298"/>
      <c r="D2" s="298"/>
      <c r="E2" s="298"/>
      <c r="F2" s="298"/>
      <c r="G2" s="363" t="str">
        <f>A.Prangko!G2</f>
        <v>desember 2017</v>
      </c>
      <c r="H2" s="298"/>
      <c r="I2" s="298"/>
      <c r="J2" s="298"/>
      <c r="K2" s="298"/>
    </row>
    <row r="3" spans="1:12" ht="15.75" thickBot="1" x14ac:dyDescent="0.3">
      <c r="A3" s="418" t="s">
        <v>653</v>
      </c>
      <c r="B3" s="421" t="s">
        <v>704</v>
      </c>
      <c r="C3" s="421" t="s">
        <v>1</v>
      </c>
      <c r="D3" s="422" t="s">
        <v>645</v>
      </c>
      <c r="E3" s="423" t="s">
        <v>19</v>
      </c>
      <c r="F3" s="423"/>
      <c r="G3" s="423"/>
      <c r="H3" s="423"/>
      <c r="I3" s="423"/>
      <c r="J3" s="416" t="s">
        <v>20</v>
      </c>
      <c r="K3" s="418" t="s">
        <v>598</v>
      </c>
      <c r="L3" s="213"/>
    </row>
    <row r="4" spans="1:12" ht="30.75" thickBot="1" x14ac:dyDescent="0.3">
      <c r="A4" s="420"/>
      <c r="B4" s="421"/>
      <c r="C4" s="421"/>
      <c r="D4" s="422"/>
      <c r="E4" s="272" t="s">
        <v>21</v>
      </c>
      <c r="F4" s="272" t="s">
        <v>596</v>
      </c>
      <c r="G4" s="272" t="s">
        <v>597</v>
      </c>
      <c r="H4" s="272" t="s">
        <v>585</v>
      </c>
      <c r="I4" s="272" t="s">
        <v>597</v>
      </c>
      <c r="J4" s="417"/>
      <c r="K4" s="419"/>
      <c r="L4" s="213"/>
    </row>
    <row r="5" spans="1:12" ht="15.75" thickBot="1" x14ac:dyDescent="0.3">
      <c r="A5" s="419"/>
      <c r="B5" s="273">
        <v>1</v>
      </c>
      <c r="C5" s="273">
        <v>2</v>
      </c>
      <c r="D5" s="273">
        <v>3</v>
      </c>
      <c r="E5" s="274">
        <v>4</v>
      </c>
      <c r="F5" s="274">
        <f>+E5+1</f>
        <v>5</v>
      </c>
      <c r="G5" s="274" t="s">
        <v>648</v>
      </c>
      <c r="H5" s="274">
        <v>7</v>
      </c>
      <c r="I5" s="275" t="s">
        <v>647</v>
      </c>
      <c r="J5" s="287" t="s">
        <v>646</v>
      </c>
      <c r="K5" s="287" t="s">
        <v>649</v>
      </c>
      <c r="L5" s="214"/>
    </row>
    <row r="6" spans="1:12" x14ac:dyDescent="0.25">
      <c r="A6" s="288"/>
      <c r="B6" s="276" t="s">
        <v>710</v>
      </c>
      <c r="C6" s="288"/>
      <c r="D6" s="288"/>
      <c r="E6" s="288"/>
      <c r="F6" s="288"/>
      <c r="G6" s="288"/>
      <c r="H6" s="288"/>
      <c r="I6" s="288"/>
      <c r="J6" s="288"/>
      <c r="K6" s="288"/>
      <c r="L6" s="114"/>
    </row>
    <row r="7" spans="1:12" x14ac:dyDescent="0.25">
      <c r="A7" s="279">
        <v>1</v>
      </c>
      <c r="B7" s="61" t="s">
        <v>214</v>
      </c>
      <c r="C7" s="62">
        <v>6500</v>
      </c>
      <c r="D7" s="316">
        <v>950.8</v>
      </c>
      <c r="E7" s="62">
        <v>24</v>
      </c>
      <c r="F7" s="61"/>
      <c r="G7" s="289">
        <f t="shared" ref="G7:G25" si="0">+E7+F7</f>
        <v>24</v>
      </c>
      <c r="H7" s="61"/>
      <c r="I7" s="251">
        <f t="shared" ref="I7:I25" si="1">+G7-H7</f>
        <v>24</v>
      </c>
      <c r="J7" s="251">
        <f t="shared" ref="J7:J25" si="2">I7*C7</f>
        <v>156000</v>
      </c>
      <c r="K7" s="290">
        <f t="shared" ref="K7:K25" si="3">+D7*I7</f>
        <v>22819.199999999997</v>
      </c>
      <c r="L7" s="215"/>
    </row>
    <row r="8" spans="1:12" x14ac:dyDescent="0.25">
      <c r="A8" s="279">
        <v>2</v>
      </c>
      <c r="B8" s="61" t="s">
        <v>215</v>
      </c>
      <c r="C8" s="62">
        <v>36000</v>
      </c>
      <c r="D8" s="316">
        <v>4664.8</v>
      </c>
      <c r="E8" s="62">
        <v>155</v>
      </c>
      <c r="F8" s="61"/>
      <c r="G8" s="289">
        <f t="shared" si="0"/>
        <v>155</v>
      </c>
      <c r="H8" s="61"/>
      <c r="I8" s="251">
        <f t="shared" si="1"/>
        <v>155</v>
      </c>
      <c r="J8" s="251">
        <f t="shared" si="2"/>
        <v>5580000</v>
      </c>
      <c r="K8" s="290">
        <f t="shared" si="3"/>
        <v>723044</v>
      </c>
      <c r="L8" s="215"/>
    </row>
    <row r="9" spans="1:12" x14ac:dyDescent="0.25">
      <c r="A9" s="279">
        <v>3</v>
      </c>
      <c r="B9" s="61" t="s">
        <v>216</v>
      </c>
      <c r="C9" s="62">
        <v>6500</v>
      </c>
      <c r="D9" s="316">
        <v>1535.6</v>
      </c>
      <c r="E9" s="62">
        <v>2</v>
      </c>
      <c r="F9" s="61"/>
      <c r="G9" s="289">
        <f t="shared" si="0"/>
        <v>2</v>
      </c>
      <c r="H9" s="61"/>
      <c r="I9" s="251">
        <f t="shared" si="1"/>
        <v>2</v>
      </c>
      <c r="J9" s="251">
        <f t="shared" si="2"/>
        <v>13000</v>
      </c>
      <c r="K9" s="290">
        <f t="shared" si="3"/>
        <v>3071.2</v>
      </c>
      <c r="L9" s="215"/>
    </row>
    <row r="10" spans="1:12" x14ac:dyDescent="0.25">
      <c r="A10" s="279">
        <v>4</v>
      </c>
      <c r="B10" s="61" t="s">
        <v>217</v>
      </c>
      <c r="C10" s="62">
        <v>5000</v>
      </c>
      <c r="D10" s="316">
        <v>1160.6099999999999</v>
      </c>
      <c r="E10" s="62">
        <v>174</v>
      </c>
      <c r="F10" s="61"/>
      <c r="G10" s="289">
        <f t="shared" si="0"/>
        <v>174</v>
      </c>
      <c r="H10" s="61"/>
      <c r="I10" s="251">
        <f t="shared" si="1"/>
        <v>174</v>
      </c>
      <c r="J10" s="251">
        <f t="shared" si="2"/>
        <v>870000</v>
      </c>
      <c r="K10" s="290">
        <f t="shared" si="3"/>
        <v>201946.13999999998</v>
      </c>
      <c r="L10" s="215"/>
    </row>
    <row r="11" spans="1:12" x14ac:dyDescent="0.25">
      <c r="A11" s="279">
        <v>5</v>
      </c>
      <c r="B11" s="61" t="s">
        <v>218</v>
      </c>
      <c r="C11" s="62">
        <v>6500</v>
      </c>
      <c r="D11" s="316">
        <v>1246.8800000000001</v>
      </c>
      <c r="E11" s="62">
        <v>1534</v>
      </c>
      <c r="F11" s="61"/>
      <c r="G11" s="289">
        <f t="shared" si="0"/>
        <v>1534</v>
      </c>
      <c r="H11" s="61"/>
      <c r="I11" s="251">
        <f t="shared" si="1"/>
        <v>1534</v>
      </c>
      <c r="J11" s="251">
        <f t="shared" si="2"/>
        <v>9971000</v>
      </c>
      <c r="K11" s="290">
        <f t="shared" si="3"/>
        <v>1912713.9200000002</v>
      </c>
      <c r="L11" s="215"/>
    </row>
    <row r="12" spans="1:12" x14ac:dyDescent="0.25">
      <c r="A12" s="279">
        <v>6</v>
      </c>
      <c r="B12" s="61" t="s">
        <v>219</v>
      </c>
      <c r="C12" s="62">
        <v>8500</v>
      </c>
      <c r="D12" s="316">
        <v>2312.6</v>
      </c>
      <c r="E12" s="62">
        <v>149</v>
      </c>
      <c r="F12" s="61"/>
      <c r="G12" s="289">
        <f t="shared" si="0"/>
        <v>149</v>
      </c>
      <c r="H12" s="61"/>
      <c r="I12" s="251">
        <f t="shared" si="1"/>
        <v>149</v>
      </c>
      <c r="J12" s="251">
        <f t="shared" si="2"/>
        <v>1266500</v>
      </c>
      <c r="K12" s="290">
        <f t="shared" si="3"/>
        <v>344577.39999999997</v>
      </c>
      <c r="L12" s="215"/>
    </row>
    <row r="13" spans="1:12" x14ac:dyDescent="0.25">
      <c r="A13" s="279">
        <v>7</v>
      </c>
      <c r="B13" s="61" t="s">
        <v>220</v>
      </c>
      <c r="C13" s="62">
        <v>5000</v>
      </c>
      <c r="D13" s="316">
        <v>791.34</v>
      </c>
      <c r="E13" s="62">
        <v>90</v>
      </c>
      <c r="F13" s="61"/>
      <c r="G13" s="289">
        <f t="shared" si="0"/>
        <v>90</v>
      </c>
      <c r="H13" s="61"/>
      <c r="I13" s="251">
        <f t="shared" si="1"/>
        <v>90</v>
      </c>
      <c r="J13" s="251">
        <f t="shared" si="2"/>
        <v>450000</v>
      </c>
      <c r="K13" s="290">
        <f t="shared" si="3"/>
        <v>71220.600000000006</v>
      </c>
      <c r="L13" s="215"/>
    </row>
    <row r="14" spans="1:12" x14ac:dyDescent="0.25">
      <c r="A14" s="279">
        <v>8</v>
      </c>
      <c r="B14" s="61" t="s">
        <v>221</v>
      </c>
      <c r="C14" s="62">
        <v>5000</v>
      </c>
      <c r="D14" s="316">
        <v>791.34</v>
      </c>
      <c r="E14" s="62">
        <v>50</v>
      </c>
      <c r="F14" s="61"/>
      <c r="G14" s="289">
        <f t="shared" si="0"/>
        <v>50</v>
      </c>
      <c r="H14" s="61"/>
      <c r="I14" s="251">
        <f t="shared" si="1"/>
        <v>50</v>
      </c>
      <c r="J14" s="251">
        <f t="shared" si="2"/>
        <v>250000</v>
      </c>
      <c r="K14" s="290">
        <f t="shared" si="3"/>
        <v>39567</v>
      </c>
      <c r="L14" s="215"/>
    </row>
    <row r="15" spans="1:12" x14ac:dyDescent="0.25">
      <c r="A15" s="279">
        <v>9</v>
      </c>
      <c r="B15" s="61" t="s">
        <v>222</v>
      </c>
      <c r="C15" s="62">
        <v>3500</v>
      </c>
      <c r="D15" s="316">
        <v>791.34</v>
      </c>
      <c r="E15" s="62">
        <v>90</v>
      </c>
      <c r="F15" s="61"/>
      <c r="G15" s="289">
        <f t="shared" si="0"/>
        <v>90</v>
      </c>
      <c r="H15" s="61"/>
      <c r="I15" s="251">
        <f t="shared" si="1"/>
        <v>90</v>
      </c>
      <c r="J15" s="251">
        <f t="shared" si="2"/>
        <v>315000</v>
      </c>
      <c r="K15" s="290">
        <f t="shared" si="3"/>
        <v>71220.600000000006</v>
      </c>
      <c r="L15" s="215"/>
    </row>
    <row r="16" spans="1:12" x14ac:dyDescent="0.25">
      <c r="A16" s="279">
        <v>10</v>
      </c>
      <c r="B16" s="61" t="s">
        <v>223</v>
      </c>
      <c r="C16" s="62">
        <v>3500</v>
      </c>
      <c r="D16" s="316">
        <v>996.33</v>
      </c>
      <c r="E16" s="62">
        <v>80</v>
      </c>
      <c r="F16" s="61"/>
      <c r="G16" s="289">
        <f t="shared" si="0"/>
        <v>80</v>
      </c>
      <c r="H16" s="61"/>
      <c r="I16" s="251">
        <f t="shared" si="1"/>
        <v>80</v>
      </c>
      <c r="J16" s="251">
        <f t="shared" si="2"/>
        <v>280000</v>
      </c>
      <c r="K16" s="290">
        <f t="shared" si="3"/>
        <v>79706.400000000009</v>
      </c>
      <c r="L16" s="215"/>
    </row>
    <row r="17" spans="1:12" x14ac:dyDescent="0.25">
      <c r="A17" s="279">
        <v>11</v>
      </c>
      <c r="B17" s="61" t="s">
        <v>224</v>
      </c>
      <c r="C17" s="62">
        <v>9000</v>
      </c>
      <c r="D17" s="316">
        <v>1303.49</v>
      </c>
      <c r="E17" s="62">
        <v>177</v>
      </c>
      <c r="F17" s="61"/>
      <c r="G17" s="289">
        <f t="shared" si="0"/>
        <v>177</v>
      </c>
      <c r="H17" s="61"/>
      <c r="I17" s="251">
        <f t="shared" si="1"/>
        <v>177</v>
      </c>
      <c r="J17" s="251">
        <f t="shared" si="2"/>
        <v>1593000</v>
      </c>
      <c r="K17" s="290">
        <f t="shared" si="3"/>
        <v>230717.73</v>
      </c>
      <c r="L17" s="215"/>
    </row>
    <row r="18" spans="1:12" x14ac:dyDescent="0.25">
      <c r="A18" s="279">
        <v>12</v>
      </c>
      <c r="B18" s="61" t="s">
        <v>225</v>
      </c>
      <c r="C18" s="62">
        <v>3500</v>
      </c>
      <c r="D18" s="316">
        <v>995.67</v>
      </c>
      <c r="E18" s="62">
        <v>150</v>
      </c>
      <c r="F18" s="61"/>
      <c r="G18" s="289">
        <f t="shared" si="0"/>
        <v>150</v>
      </c>
      <c r="H18" s="61"/>
      <c r="I18" s="251">
        <f t="shared" si="1"/>
        <v>150</v>
      </c>
      <c r="J18" s="251">
        <f t="shared" si="2"/>
        <v>525000</v>
      </c>
      <c r="K18" s="290">
        <f t="shared" si="3"/>
        <v>149350.5</v>
      </c>
      <c r="L18" s="215"/>
    </row>
    <row r="19" spans="1:12" x14ac:dyDescent="0.25">
      <c r="A19" s="279">
        <v>13</v>
      </c>
      <c r="B19" s="61" t="s">
        <v>226</v>
      </c>
      <c r="C19" s="62">
        <v>5000</v>
      </c>
      <c r="D19" s="316">
        <v>901.64</v>
      </c>
      <c r="E19" s="62">
        <v>69</v>
      </c>
      <c r="F19" s="61"/>
      <c r="G19" s="289">
        <f t="shared" si="0"/>
        <v>69</v>
      </c>
      <c r="H19" s="61"/>
      <c r="I19" s="251">
        <f t="shared" si="1"/>
        <v>69</v>
      </c>
      <c r="J19" s="251">
        <f t="shared" si="2"/>
        <v>345000</v>
      </c>
      <c r="K19" s="290">
        <f t="shared" si="3"/>
        <v>62213.159999999996</v>
      </c>
      <c r="L19" s="215"/>
    </row>
    <row r="20" spans="1:12" x14ac:dyDescent="0.25">
      <c r="A20" s="279">
        <v>14</v>
      </c>
      <c r="B20" s="61" t="s">
        <v>227</v>
      </c>
      <c r="C20" s="62">
        <v>10000</v>
      </c>
      <c r="D20" s="316">
        <v>801.16</v>
      </c>
      <c r="E20" s="62">
        <v>897</v>
      </c>
      <c r="F20" s="61"/>
      <c r="G20" s="289">
        <f t="shared" si="0"/>
        <v>897</v>
      </c>
      <c r="H20" s="61"/>
      <c r="I20" s="251">
        <f t="shared" si="1"/>
        <v>897</v>
      </c>
      <c r="J20" s="251">
        <f t="shared" si="2"/>
        <v>8970000</v>
      </c>
      <c r="K20" s="290">
        <f t="shared" si="3"/>
        <v>718640.52</v>
      </c>
      <c r="L20" s="215"/>
    </row>
    <row r="21" spans="1:12" x14ac:dyDescent="0.25">
      <c r="A21" s="279">
        <v>15</v>
      </c>
      <c r="B21" s="61" t="s">
        <v>228</v>
      </c>
      <c r="C21" s="62">
        <v>9000</v>
      </c>
      <c r="D21" s="316">
        <v>2206.42</v>
      </c>
      <c r="E21" s="62">
        <v>183</v>
      </c>
      <c r="F21" s="61"/>
      <c r="G21" s="289">
        <f t="shared" si="0"/>
        <v>183</v>
      </c>
      <c r="H21" s="61"/>
      <c r="I21" s="251">
        <f t="shared" si="1"/>
        <v>183</v>
      </c>
      <c r="J21" s="251">
        <f t="shared" si="2"/>
        <v>1647000</v>
      </c>
      <c r="K21" s="290">
        <f t="shared" si="3"/>
        <v>403774.86</v>
      </c>
      <c r="L21" s="215"/>
    </row>
    <row r="22" spans="1:12" x14ac:dyDescent="0.25">
      <c r="A22" s="279">
        <v>16</v>
      </c>
      <c r="B22" s="61" t="s">
        <v>229</v>
      </c>
      <c r="C22" s="62">
        <v>6500</v>
      </c>
      <c r="D22" s="316">
        <v>1303.49</v>
      </c>
      <c r="E22" s="62">
        <v>173</v>
      </c>
      <c r="F22" s="61"/>
      <c r="G22" s="289">
        <f t="shared" si="0"/>
        <v>173</v>
      </c>
      <c r="H22" s="61"/>
      <c r="I22" s="251">
        <f t="shared" si="1"/>
        <v>173</v>
      </c>
      <c r="J22" s="251">
        <f t="shared" si="2"/>
        <v>1124500</v>
      </c>
      <c r="K22" s="290">
        <f t="shared" si="3"/>
        <v>225503.77</v>
      </c>
      <c r="L22" s="215"/>
    </row>
    <row r="23" spans="1:12" x14ac:dyDescent="0.25">
      <c r="A23" s="279">
        <v>17</v>
      </c>
      <c r="B23" s="61" t="s">
        <v>230</v>
      </c>
      <c r="C23" s="62">
        <v>3500</v>
      </c>
      <c r="D23" s="316">
        <v>845.66</v>
      </c>
      <c r="E23" s="62">
        <v>65</v>
      </c>
      <c r="F23" s="61"/>
      <c r="G23" s="289">
        <f t="shared" si="0"/>
        <v>65</v>
      </c>
      <c r="H23" s="61"/>
      <c r="I23" s="251">
        <f t="shared" si="1"/>
        <v>65</v>
      </c>
      <c r="J23" s="251">
        <f t="shared" si="2"/>
        <v>227500</v>
      </c>
      <c r="K23" s="290">
        <f t="shared" si="3"/>
        <v>54967.9</v>
      </c>
      <c r="L23" s="215"/>
    </row>
    <row r="24" spans="1:12" x14ac:dyDescent="0.25">
      <c r="A24" s="279">
        <v>18</v>
      </c>
      <c r="B24" s="61" t="s">
        <v>231</v>
      </c>
      <c r="C24" s="62">
        <v>24000</v>
      </c>
      <c r="D24" s="316">
        <v>2260.4699999999998</v>
      </c>
      <c r="E24" s="62">
        <v>25</v>
      </c>
      <c r="F24" s="61"/>
      <c r="G24" s="289">
        <f t="shared" si="0"/>
        <v>25</v>
      </c>
      <c r="H24" s="61"/>
      <c r="I24" s="251">
        <f t="shared" si="1"/>
        <v>25</v>
      </c>
      <c r="J24" s="251">
        <f t="shared" si="2"/>
        <v>600000</v>
      </c>
      <c r="K24" s="290">
        <f t="shared" si="3"/>
        <v>56511.749999999993</v>
      </c>
      <c r="L24" s="215"/>
    </row>
    <row r="25" spans="1:12" ht="15.75" thickBot="1" x14ac:dyDescent="0.3">
      <c r="A25" s="280">
        <v>19</v>
      </c>
      <c r="B25" s="281" t="s">
        <v>232</v>
      </c>
      <c r="C25" s="282">
        <v>10000</v>
      </c>
      <c r="D25" s="317">
        <v>1709.4</v>
      </c>
      <c r="E25" s="282">
        <v>1052</v>
      </c>
      <c r="F25" s="281"/>
      <c r="G25" s="295">
        <f t="shared" si="0"/>
        <v>1052</v>
      </c>
      <c r="H25" s="281"/>
      <c r="I25" s="322">
        <f t="shared" si="1"/>
        <v>1052</v>
      </c>
      <c r="J25" s="322">
        <f t="shared" si="2"/>
        <v>10520000</v>
      </c>
      <c r="K25" s="323">
        <f t="shared" si="3"/>
        <v>1798288.8</v>
      </c>
      <c r="L25" s="215"/>
    </row>
    <row r="26" spans="1:12" ht="15.75" thickBot="1" x14ac:dyDescent="0.3">
      <c r="A26" s="313"/>
      <c r="B26" s="96" t="s">
        <v>654</v>
      </c>
      <c r="C26" s="296"/>
      <c r="D26" s="364"/>
      <c r="E26" s="97">
        <f>SUM(E7:E25)</f>
        <v>5139</v>
      </c>
      <c r="F26" s="296"/>
      <c r="G26" s="97">
        <f>SUM(G7:G25)</f>
        <v>5139</v>
      </c>
      <c r="H26" s="97">
        <f>SUM(H7:H25)</f>
        <v>0</v>
      </c>
      <c r="I26" s="97">
        <f>SUM(I7:I25)</f>
        <v>5139</v>
      </c>
      <c r="J26" s="97">
        <f>SUM(J7:J25)</f>
        <v>44703500</v>
      </c>
      <c r="K26" s="297">
        <f>SUM(K7:K25)</f>
        <v>7169855.4500000002</v>
      </c>
      <c r="L26" s="151"/>
    </row>
    <row r="27" spans="1:12" ht="15.75" thickBot="1" x14ac:dyDescent="0.3">
      <c r="A27" s="298"/>
      <c r="B27" s="138"/>
      <c r="C27" s="139"/>
      <c r="D27" s="140"/>
      <c r="E27" s="141"/>
      <c r="F27" s="138"/>
      <c r="G27" s="141"/>
      <c r="H27" s="141"/>
      <c r="I27" s="141"/>
      <c r="J27" s="141"/>
      <c r="K27" s="140"/>
      <c r="L27" s="140"/>
    </row>
    <row r="28" spans="1:12" ht="15.75" thickBot="1" x14ac:dyDescent="0.3">
      <c r="A28" s="418" t="s">
        <v>653</v>
      </c>
      <c r="B28" s="421" t="s">
        <v>704</v>
      </c>
      <c r="C28" s="421" t="s">
        <v>1</v>
      </c>
      <c r="D28" s="422" t="s">
        <v>645</v>
      </c>
      <c r="E28" s="423" t="s">
        <v>19</v>
      </c>
      <c r="F28" s="423"/>
      <c r="G28" s="423"/>
      <c r="H28" s="423"/>
      <c r="I28" s="423"/>
      <c r="J28" s="416" t="s">
        <v>20</v>
      </c>
      <c r="K28" s="418" t="s">
        <v>598</v>
      </c>
      <c r="L28" s="213"/>
    </row>
    <row r="29" spans="1:12" ht="30.75" thickBot="1" x14ac:dyDescent="0.3">
      <c r="A29" s="420"/>
      <c r="B29" s="421"/>
      <c r="C29" s="421"/>
      <c r="D29" s="422"/>
      <c r="E29" s="272" t="s">
        <v>21</v>
      </c>
      <c r="F29" s="272" t="s">
        <v>596</v>
      </c>
      <c r="G29" s="272" t="s">
        <v>597</v>
      </c>
      <c r="H29" s="272" t="s">
        <v>585</v>
      </c>
      <c r="I29" s="272" t="s">
        <v>597</v>
      </c>
      <c r="J29" s="417"/>
      <c r="K29" s="419"/>
      <c r="L29" s="213"/>
    </row>
    <row r="30" spans="1:12" ht="15.75" thickBot="1" x14ac:dyDescent="0.3">
      <c r="A30" s="419"/>
      <c r="B30" s="273">
        <v>1</v>
      </c>
      <c r="C30" s="273">
        <v>2</v>
      </c>
      <c r="D30" s="273">
        <v>3</v>
      </c>
      <c r="E30" s="274">
        <v>4</v>
      </c>
      <c r="F30" s="274">
        <f>+E30+1</f>
        <v>5</v>
      </c>
      <c r="G30" s="274" t="s">
        <v>648</v>
      </c>
      <c r="H30" s="274">
        <v>7</v>
      </c>
      <c r="I30" s="275" t="s">
        <v>647</v>
      </c>
      <c r="J30" s="287" t="s">
        <v>646</v>
      </c>
      <c r="K30" s="287" t="s">
        <v>649</v>
      </c>
      <c r="L30" s="214"/>
    </row>
    <row r="31" spans="1:12" x14ac:dyDescent="0.25">
      <c r="A31" s="288"/>
      <c r="B31" s="276" t="s">
        <v>690</v>
      </c>
      <c r="C31" s="288"/>
      <c r="D31" s="288"/>
      <c r="E31" s="288"/>
      <c r="F31" s="288"/>
      <c r="G31" s="288"/>
      <c r="H31" s="288"/>
      <c r="I31" s="288"/>
      <c r="J31" s="288"/>
      <c r="K31" s="288"/>
      <c r="L31" s="114"/>
    </row>
    <row r="32" spans="1:12" x14ac:dyDescent="0.25">
      <c r="A32" s="279">
        <v>1</v>
      </c>
      <c r="B32" s="61" t="s">
        <v>233</v>
      </c>
      <c r="C32" s="62">
        <v>36000</v>
      </c>
      <c r="D32" s="316">
        <v>2356.5500000000002</v>
      </c>
      <c r="E32" s="62">
        <v>164</v>
      </c>
      <c r="F32" s="61"/>
      <c r="G32" s="289">
        <f t="shared" ref="G32:G43" si="4">+E32+F32</f>
        <v>164</v>
      </c>
      <c r="H32" s="61"/>
      <c r="I32" s="251">
        <f t="shared" ref="I32:I43" si="5">+G32-H32</f>
        <v>164</v>
      </c>
      <c r="J32" s="251">
        <f t="shared" ref="J32:J43" si="6">I32*C32</f>
        <v>5904000</v>
      </c>
      <c r="K32" s="290">
        <f t="shared" ref="K32:K43" si="7">+D32*I32</f>
        <v>386474.2</v>
      </c>
      <c r="L32" s="215"/>
    </row>
    <row r="33" spans="1:13" x14ac:dyDescent="0.25">
      <c r="A33" s="279">
        <v>2</v>
      </c>
      <c r="B33" s="61" t="s">
        <v>234</v>
      </c>
      <c r="C33" s="62">
        <v>5000</v>
      </c>
      <c r="D33" s="316">
        <v>901.34</v>
      </c>
      <c r="E33" s="62">
        <v>10</v>
      </c>
      <c r="F33" s="61"/>
      <c r="G33" s="289">
        <f t="shared" si="4"/>
        <v>10</v>
      </c>
      <c r="H33" s="61"/>
      <c r="I33" s="251">
        <f t="shared" si="5"/>
        <v>10</v>
      </c>
      <c r="J33" s="251">
        <f t="shared" si="6"/>
        <v>50000</v>
      </c>
      <c r="K33" s="290">
        <f t="shared" si="7"/>
        <v>9013.4</v>
      </c>
      <c r="L33" s="215"/>
    </row>
    <row r="34" spans="1:13" x14ac:dyDescent="0.25">
      <c r="A34" s="279">
        <v>3</v>
      </c>
      <c r="B34" s="61" t="s">
        <v>235</v>
      </c>
      <c r="C34" s="62">
        <v>9500</v>
      </c>
      <c r="D34" s="316">
        <v>2090.4</v>
      </c>
      <c r="E34" s="62">
        <v>233</v>
      </c>
      <c r="F34" s="62"/>
      <c r="G34" s="289">
        <f t="shared" si="4"/>
        <v>233</v>
      </c>
      <c r="H34" s="61"/>
      <c r="I34" s="251">
        <f t="shared" si="5"/>
        <v>233</v>
      </c>
      <c r="J34" s="251">
        <f t="shared" si="6"/>
        <v>2213500</v>
      </c>
      <c r="K34" s="290">
        <f t="shared" si="7"/>
        <v>487063.2</v>
      </c>
      <c r="L34" s="215"/>
    </row>
    <row r="35" spans="1:13" x14ac:dyDescent="0.25">
      <c r="A35" s="279">
        <v>4</v>
      </c>
      <c r="B35" s="61" t="s">
        <v>236</v>
      </c>
      <c r="C35" s="62">
        <v>25000</v>
      </c>
      <c r="D35" s="316">
        <v>1681.34</v>
      </c>
      <c r="E35" s="62">
        <v>0</v>
      </c>
      <c r="F35" s="61"/>
      <c r="G35" s="289">
        <f t="shared" si="4"/>
        <v>0</v>
      </c>
      <c r="H35" s="61">
        <f>18-18</f>
        <v>0</v>
      </c>
      <c r="I35" s="251">
        <f t="shared" si="5"/>
        <v>0</v>
      </c>
      <c r="J35" s="251">
        <f t="shared" si="6"/>
        <v>0</v>
      </c>
      <c r="K35" s="290">
        <f t="shared" si="7"/>
        <v>0</v>
      </c>
      <c r="L35" s="215"/>
    </row>
    <row r="36" spans="1:13" x14ac:dyDescent="0.25">
      <c r="A36" s="279">
        <v>5</v>
      </c>
      <c r="B36" s="61" t="s">
        <v>237</v>
      </c>
      <c r="C36" s="62">
        <v>6000</v>
      </c>
      <c r="D36" s="316">
        <v>961.16</v>
      </c>
      <c r="E36" s="62">
        <v>55</v>
      </c>
      <c r="F36" s="61"/>
      <c r="G36" s="289">
        <f t="shared" si="4"/>
        <v>55</v>
      </c>
      <c r="H36" s="61"/>
      <c r="I36" s="251">
        <f t="shared" si="5"/>
        <v>55</v>
      </c>
      <c r="J36" s="251">
        <f t="shared" si="6"/>
        <v>330000</v>
      </c>
      <c r="K36" s="290">
        <f t="shared" si="7"/>
        <v>52863.799999999996</v>
      </c>
      <c r="L36" s="215"/>
    </row>
    <row r="37" spans="1:13" x14ac:dyDescent="0.25">
      <c r="A37" s="279">
        <v>6</v>
      </c>
      <c r="B37" s="61" t="s">
        <v>238</v>
      </c>
      <c r="C37" s="62">
        <v>5000</v>
      </c>
      <c r="D37" s="316">
        <v>1799.68</v>
      </c>
      <c r="E37" s="62">
        <v>50</v>
      </c>
      <c r="F37" s="61"/>
      <c r="G37" s="289">
        <f t="shared" si="4"/>
        <v>50</v>
      </c>
      <c r="H37" s="61"/>
      <c r="I37" s="251">
        <f t="shared" si="5"/>
        <v>50</v>
      </c>
      <c r="J37" s="251">
        <f t="shared" si="6"/>
        <v>250000</v>
      </c>
      <c r="K37" s="290">
        <f t="shared" si="7"/>
        <v>89984</v>
      </c>
      <c r="L37" s="215"/>
    </row>
    <row r="38" spans="1:13" x14ac:dyDescent="0.25">
      <c r="A38" s="279">
        <v>7</v>
      </c>
      <c r="B38" s="61" t="s">
        <v>239</v>
      </c>
      <c r="C38" s="62">
        <v>6000</v>
      </c>
      <c r="D38" s="316">
        <v>961.16</v>
      </c>
      <c r="E38" s="62">
        <v>161</v>
      </c>
      <c r="F38" s="61"/>
      <c r="G38" s="289">
        <f t="shared" si="4"/>
        <v>161</v>
      </c>
      <c r="H38" s="61"/>
      <c r="I38" s="251">
        <f t="shared" si="5"/>
        <v>161</v>
      </c>
      <c r="J38" s="251">
        <f t="shared" si="6"/>
        <v>966000</v>
      </c>
      <c r="K38" s="290">
        <f t="shared" si="7"/>
        <v>154746.76</v>
      </c>
      <c r="L38" s="215"/>
    </row>
    <row r="39" spans="1:13" x14ac:dyDescent="0.25">
      <c r="A39" s="279">
        <v>8</v>
      </c>
      <c r="B39" s="61" t="s">
        <v>240</v>
      </c>
      <c r="C39" s="62">
        <v>5000</v>
      </c>
      <c r="D39" s="316">
        <v>1631.6</v>
      </c>
      <c r="E39" s="62">
        <v>64</v>
      </c>
      <c r="F39" s="61"/>
      <c r="G39" s="289">
        <f t="shared" si="4"/>
        <v>64</v>
      </c>
      <c r="H39" s="61"/>
      <c r="I39" s="251">
        <f t="shared" si="5"/>
        <v>64</v>
      </c>
      <c r="J39" s="251">
        <f t="shared" si="6"/>
        <v>320000</v>
      </c>
      <c r="K39" s="290">
        <f t="shared" si="7"/>
        <v>104422.39999999999</v>
      </c>
      <c r="L39" s="215"/>
    </row>
    <row r="40" spans="1:13" x14ac:dyDescent="0.25">
      <c r="A40" s="279">
        <v>9</v>
      </c>
      <c r="B40" s="61" t="s">
        <v>241</v>
      </c>
      <c r="C40" s="62">
        <v>5000</v>
      </c>
      <c r="D40" s="316">
        <v>1812.32</v>
      </c>
      <c r="E40" s="62">
        <v>14</v>
      </c>
      <c r="F40" s="61"/>
      <c r="G40" s="289">
        <f t="shared" si="4"/>
        <v>14</v>
      </c>
      <c r="H40" s="61"/>
      <c r="I40" s="251">
        <f t="shared" si="5"/>
        <v>14</v>
      </c>
      <c r="J40" s="251">
        <f t="shared" si="6"/>
        <v>70000</v>
      </c>
      <c r="K40" s="290">
        <f t="shared" si="7"/>
        <v>25372.48</v>
      </c>
      <c r="L40" s="215"/>
    </row>
    <row r="41" spans="1:13" x14ac:dyDescent="0.25">
      <c r="A41" s="279">
        <v>10</v>
      </c>
      <c r="B41" s="61" t="s">
        <v>242</v>
      </c>
      <c r="C41" s="62">
        <v>8000</v>
      </c>
      <c r="D41" s="316">
        <v>1911.14</v>
      </c>
      <c r="E41" s="62">
        <v>28</v>
      </c>
      <c r="F41" s="61"/>
      <c r="G41" s="289">
        <f t="shared" si="4"/>
        <v>28</v>
      </c>
      <c r="H41" s="61"/>
      <c r="I41" s="251">
        <f t="shared" si="5"/>
        <v>28</v>
      </c>
      <c r="J41" s="251">
        <f t="shared" si="6"/>
        <v>224000</v>
      </c>
      <c r="K41" s="290">
        <f t="shared" si="7"/>
        <v>53511.920000000006</v>
      </c>
      <c r="L41" s="215"/>
    </row>
    <row r="42" spans="1:13" x14ac:dyDescent="0.25">
      <c r="A42" s="279">
        <v>11</v>
      </c>
      <c r="B42" s="61" t="s">
        <v>243</v>
      </c>
      <c r="C42" s="62">
        <v>5000</v>
      </c>
      <c r="D42" s="316">
        <v>961.16</v>
      </c>
      <c r="E42" s="62">
        <v>10</v>
      </c>
      <c r="F42" s="61"/>
      <c r="G42" s="289">
        <f t="shared" si="4"/>
        <v>10</v>
      </c>
      <c r="H42" s="61"/>
      <c r="I42" s="251">
        <f t="shared" si="5"/>
        <v>10</v>
      </c>
      <c r="J42" s="251">
        <f t="shared" si="6"/>
        <v>50000</v>
      </c>
      <c r="K42" s="290">
        <f t="shared" si="7"/>
        <v>9611.6</v>
      </c>
      <c r="L42" s="215"/>
    </row>
    <row r="43" spans="1:13" ht="15.75" thickBot="1" x14ac:dyDescent="0.3">
      <c r="A43" s="280">
        <v>12</v>
      </c>
      <c r="B43" s="281" t="s">
        <v>244</v>
      </c>
      <c r="C43" s="282">
        <v>5000</v>
      </c>
      <c r="D43" s="317">
        <v>961.16</v>
      </c>
      <c r="E43" s="282">
        <v>20</v>
      </c>
      <c r="F43" s="281"/>
      <c r="G43" s="295">
        <f t="shared" si="4"/>
        <v>20</v>
      </c>
      <c r="H43" s="281"/>
      <c r="I43" s="322">
        <f t="shared" si="5"/>
        <v>20</v>
      </c>
      <c r="J43" s="322">
        <f t="shared" si="6"/>
        <v>100000</v>
      </c>
      <c r="K43" s="323">
        <f t="shared" si="7"/>
        <v>19223.2</v>
      </c>
      <c r="L43" s="215"/>
      <c r="M43" s="152" t="s">
        <v>776</v>
      </c>
    </row>
    <row r="44" spans="1:13" ht="15.75" thickBot="1" x14ac:dyDescent="0.3">
      <c r="A44" s="313"/>
      <c r="B44" s="96" t="s">
        <v>656</v>
      </c>
      <c r="C44" s="296"/>
      <c r="D44" s="296"/>
      <c r="E44" s="97">
        <f t="shared" ref="E44:J44" si="8">SUM(E32:E43)</f>
        <v>809</v>
      </c>
      <c r="F44" s="97">
        <f t="shared" si="8"/>
        <v>0</v>
      </c>
      <c r="G44" s="296">
        <f t="shared" si="8"/>
        <v>809</v>
      </c>
      <c r="H44" s="97">
        <f t="shared" si="8"/>
        <v>0</v>
      </c>
      <c r="I44" s="97">
        <f t="shared" si="8"/>
        <v>809</v>
      </c>
      <c r="J44" s="97">
        <f t="shared" si="8"/>
        <v>10477500</v>
      </c>
      <c r="K44" s="297">
        <f>SUM(K32:K43)</f>
        <v>1392286.96</v>
      </c>
      <c r="L44" s="151"/>
    </row>
    <row r="45" spans="1:13" ht="15.75" thickBot="1" x14ac:dyDescent="0.3">
      <c r="A45" s="298"/>
      <c r="B45" s="138"/>
      <c r="C45" s="139"/>
      <c r="D45" s="140"/>
      <c r="E45" s="141"/>
      <c r="F45" s="138"/>
      <c r="G45" s="141"/>
      <c r="H45" s="141"/>
      <c r="I45" s="141"/>
      <c r="J45" s="141"/>
      <c r="K45" s="140"/>
      <c r="L45" s="140"/>
    </row>
    <row r="46" spans="1:13" ht="15.75" thickBot="1" x14ac:dyDescent="0.3">
      <c r="A46" s="418" t="s">
        <v>653</v>
      </c>
      <c r="B46" s="421" t="s">
        <v>704</v>
      </c>
      <c r="C46" s="421" t="s">
        <v>1</v>
      </c>
      <c r="D46" s="422" t="s">
        <v>645</v>
      </c>
      <c r="E46" s="423" t="s">
        <v>19</v>
      </c>
      <c r="F46" s="423"/>
      <c r="G46" s="423"/>
      <c r="H46" s="423"/>
      <c r="I46" s="423"/>
      <c r="J46" s="416" t="s">
        <v>20</v>
      </c>
      <c r="K46" s="418" t="s">
        <v>598</v>
      </c>
      <c r="L46" s="213"/>
    </row>
    <row r="47" spans="1:13" ht="30.75" thickBot="1" x14ac:dyDescent="0.3">
      <c r="A47" s="420"/>
      <c r="B47" s="421"/>
      <c r="C47" s="421"/>
      <c r="D47" s="422"/>
      <c r="E47" s="272" t="s">
        <v>21</v>
      </c>
      <c r="F47" s="272" t="s">
        <v>596</v>
      </c>
      <c r="G47" s="272" t="s">
        <v>597</v>
      </c>
      <c r="H47" s="272" t="s">
        <v>585</v>
      </c>
      <c r="I47" s="272" t="s">
        <v>597</v>
      </c>
      <c r="J47" s="417"/>
      <c r="K47" s="419"/>
      <c r="L47" s="213"/>
    </row>
    <row r="48" spans="1:13" ht="15.75" thickBot="1" x14ac:dyDescent="0.3">
      <c r="A48" s="419"/>
      <c r="B48" s="273">
        <v>1</v>
      </c>
      <c r="C48" s="273">
        <v>2</v>
      </c>
      <c r="D48" s="273">
        <v>3</v>
      </c>
      <c r="E48" s="274">
        <v>4</v>
      </c>
      <c r="F48" s="274">
        <f>+E48+1</f>
        <v>5</v>
      </c>
      <c r="G48" s="274" t="s">
        <v>648</v>
      </c>
      <c r="H48" s="274">
        <v>7</v>
      </c>
      <c r="I48" s="275" t="s">
        <v>647</v>
      </c>
      <c r="J48" s="287" t="s">
        <v>646</v>
      </c>
      <c r="K48" s="287" t="s">
        <v>649</v>
      </c>
      <c r="L48" s="214"/>
    </row>
    <row r="49" spans="1:12" x14ac:dyDescent="0.25">
      <c r="A49" s="288"/>
      <c r="B49" s="276" t="s">
        <v>692</v>
      </c>
      <c r="C49" s="288"/>
      <c r="D49" s="288"/>
      <c r="E49" s="288"/>
      <c r="F49" s="288"/>
      <c r="G49" s="288"/>
      <c r="H49" s="288"/>
      <c r="I49" s="288"/>
      <c r="J49" s="288"/>
      <c r="K49" s="288"/>
      <c r="L49" s="114"/>
    </row>
    <row r="50" spans="1:12" x14ac:dyDescent="0.25">
      <c r="A50" s="279">
        <v>1</v>
      </c>
      <c r="B50" s="61" t="s">
        <v>245</v>
      </c>
      <c r="C50" s="62">
        <v>36000</v>
      </c>
      <c r="D50" s="316">
        <v>3441.45</v>
      </c>
      <c r="E50" s="62">
        <v>46</v>
      </c>
      <c r="F50" s="61"/>
      <c r="G50" s="289">
        <f t="shared" ref="G50:G65" si="9">+E50+F50</f>
        <v>46</v>
      </c>
      <c r="H50" s="61"/>
      <c r="I50" s="251">
        <f t="shared" ref="I50:I65" si="10">+G50-H50</f>
        <v>46</v>
      </c>
      <c r="J50" s="251">
        <f t="shared" ref="J50:J65" si="11">I50*C50</f>
        <v>1656000</v>
      </c>
      <c r="K50" s="290">
        <f t="shared" ref="K50:K65" si="12">+D50*I50</f>
        <v>158306.69999999998</v>
      </c>
      <c r="L50" s="215"/>
    </row>
    <row r="51" spans="1:12" x14ac:dyDescent="0.25">
      <c r="A51" s="279">
        <v>2</v>
      </c>
      <c r="B51" s="61" t="s">
        <v>246</v>
      </c>
      <c r="C51" s="62">
        <v>7000</v>
      </c>
      <c r="D51" s="316">
        <v>2273.2600000000002</v>
      </c>
      <c r="E51" s="62">
        <v>20</v>
      </c>
      <c r="F51" s="61"/>
      <c r="G51" s="289">
        <f t="shared" si="9"/>
        <v>20</v>
      </c>
      <c r="H51" s="61"/>
      <c r="I51" s="251">
        <f t="shared" si="10"/>
        <v>20</v>
      </c>
      <c r="J51" s="251">
        <f t="shared" si="11"/>
        <v>140000</v>
      </c>
      <c r="K51" s="290">
        <f t="shared" si="12"/>
        <v>45465.200000000004</v>
      </c>
      <c r="L51" s="215"/>
    </row>
    <row r="52" spans="1:12" x14ac:dyDescent="0.25">
      <c r="A52" s="279">
        <v>3</v>
      </c>
      <c r="B52" s="61" t="s">
        <v>247</v>
      </c>
      <c r="C52" s="62">
        <v>5000</v>
      </c>
      <c r="D52" s="316">
        <v>2153.71</v>
      </c>
      <c r="E52" s="62">
        <f>93+1</f>
        <v>94</v>
      </c>
      <c r="F52" s="61"/>
      <c r="G52" s="289">
        <f t="shared" si="9"/>
        <v>94</v>
      </c>
      <c r="H52" s="61"/>
      <c r="I52" s="251">
        <f t="shared" si="10"/>
        <v>94</v>
      </c>
      <c r="J52" s="251">
        <f t="shared" si="11"/>
        <v>470000</v>
      </c>
      <c r="K52" s="290">
        <f t="shared" si="12"/>
        <v>202448.74</v>
      </c>
      <c r="L52" s="215"/>
    </row>
    <row r="53" spans="1:12" x14ac:dyDescent="0.25">
      <c r="A53" s="279">
        <v>4</v>
      </c>
      <c r="B53" s="61" t="s">
        <v>248</v>
      </c>
      <c r="C53" s="62">
        <v>5000</v>
      </c>
      <c r="D53" s="316">
        <v>2199.44</v>
      </c>
      <c r="E53" s="62">
        <v>2</v>
      </c>
      <c r="F53" s="61"/>
      <c r="G53" s="289">
        <f t="shared" si="9"/>
        <v>2</v>
      </c>
      <c r="H53" s="61"/>
      <c r="I53" s="251">
        <f t="shared" si="10"/>
        <v>2</v>
      </c>
      <c r="J53" s="251">
        <f t="shared" si="11"/>
        <v>10000</v>
      </c>
      <c r="K53" s="290">
        <f t="shared" si="12"/>
        <v>4398.88</v>
      </c>
      <c r="L53" s="215"/>
    </row>
    <row r="54" spans="1:12" x14ac:dyDescent="0.25">
      <c r="A54" s="279">
        <v>5</v>
      </c>
      <c r="B54" s="61" t="s">
        <v>249</v>
      </c>
      <c r="C54" s="62">
        <v>8000</v>
      </c>
      <c r="D54" s="316">
        <v>1017.98</v>
      </c>
      <c r="E54" s="62">
        <v>244</v>
      </c>
      <c r="F54" s="61"/>
      <c r="G54" s="289">
        <f t="shared" si="9"/>
        <v>244</v>
      </c>
      <c r="H54" s="61"/>
      <c r="I54" s="251">
        <f t="shared" si="10"/>
        <v>244</v>
      </c>
      <c r="J54" s="251">
        <f t="shared" si="11"/>
        <v>1952000</v>
      </c>
      <c r="K54" s="290">
        <f t="shared" si="12"/>
        <v>248387.12</v>
      </c>
      <c r="L54" s="215"/>
    </row>
    <row r="55" spans="1:12" x14ac:dyDescent="0.25">
      <c r="A55" s="279">
        <v>6</v>
      </c>
      <c r="B55" s="61" t="s">
        <v>250</v>
      </c>
      <c r="C55" s="62">
        <v>5000</v>
      </c>
      <c r="D55" s="316">
        <v>2196.98</v>
      </c>
      <c r="E55" s="62">
        <v>15</v>
      </c>
      <c r="F55" s="61"/>
      <c r="G55" s="289">
        <f t="shared" si="9"/>
        <v>15</v>
      </c>
      <c r="H55" s="61"/>
      <c r="I55" s="251">
        <f t="shared" si="10"/>
        <v>15</v>
      </c>
      <c r="J55" s="251">
        <f t="shared" si="11"/>
        <v>75000</v>
      </c>
      <c r="K55" s="290">
        <f t="shared" si="12"/>
        <v>32954.699999999997</v>
      </c>
      <c r="L55" s="215"/>
    </row>
    <row r="56" spans="1:12" x14ac:dyDescent="0.25">
      <c r="A56" s="279">
        <v>7</v>
      </c>
      <c r="B56" s="61" t="s">
        <v>251</v>
      </c>
      <c r="C56" s="62">
        <v>5000</v>
      </c>
      <c r="D56" s="316">
        <v>1017.98</v>
      </c>
      <c r="E56" s="62">
        <v>5</v>
      </c>
      <c r="F56" s="61"/>
      <c r="G56" s="289">
        <f t="shared" si="9"/>
        <v>5</v>
      </c>
      <c r="H56" s="61"/>
      <c r="I56" s="251">
        <f t="shared" si="10"/>
        <v>5</v>
      </c>
      <c r="J56" s="251">
        <f t="shared" si="11"/>
        <v>25000</v>
      </c>
      <c r="K56" s="290">
        <f t="shared" si="12"/>
        <v>5089.8999999999996</v>
      </c>
      <c r="L56" s="215"/>
    </row>
    <row r="57" spans="1:12" x14ac:dyDescent="0.25">
      <c r="A57" s="279">
        <v>8</v>
      </c>
      <c r="B57" s="61" t="s">
        <v>252</v>
      </c>
      <c r="C57" s="62">
        <v>10000</v>
      </c>
      <c r="D57" s="316">
        <v>1017.98</v>
      </c>
      <c r="E57" s="62">
        <v>32</v>
      </c>
      <c r="F57" s="61"/>
      <c r="G57" s="289">
        <f t="shared" si="9"/>
        <v>32</v>
      </c>
      <c r="H57" s="61"/>
      <c r="I57" s="251">
        <f t="shared" si="10"/>
        <v>32</v>
      </c>
      <c r="J57" s="251">
        <f t="shared" si="11"/>
        <v>320000</v>
      </c>
      <c r="K57" s="290">
        <f t="shared" si="12"/>
        <v>32575.360000000001</v>
      </c>
      <c r="L57" s="215"/>
    </row>
    <row r="58" spans="1:12" x14ac:dyDescent="0.25">
      <c r="A58" s="279">
        <v>9</v>
      </c>
      <c r="B58" s="61" t="s">
        <v>253</v>
      </c>
      <c r="C58" s="62">
        <v>12000</v>
      </c>
      <c r="D58" s="316">
        <v>1017.98</v>
      </c>
      <c r="E58" s="62">
        <v>2</v>
      </c>
      <c r="F58" s="61"/>
      <c r="G58" s="289">
        <f t="shared" si="9"/>
        <v>2</v>
      </c>
      <c r="H58" s="61"/>
      <c r="I58" s="251">
        <f t="shared" si="10"/>
        <v>2</v>
      </c>
      <c r="J58" s="251">
        <f t="shared" si="11"/>
        <v>24000</v>
      </c>
      <c r="K58" s="290">
        <f t="shared" si="12"/>
        <v>2035.96</v>
      </c>
      <c r="L58" s="215"/>
    </row>
    <row r="59" spans="1:12" x14ac:dyDescent="0.25">
      <c r="A59" s="279">
        <v>10</v>
      </c>
      <c r="B59" s="61" t="s">
        <v>254</v>
      </c>
      <c r="C59" s="62">
        <v>8000</v>
      </c>
      <c r="D59" s="316">
        <v>1842.98</v>
      </c>
      <c r="E59" s="62">
        <v>93</v>
      </c>
      <c r="F59" s="61"/>
      <c r="G59" s="289">
        <f t="shared" si="9"/>
        <v>93</v>
      </c>
      <c r="H59" s="61"/>
      <c r="I59" s="251">
        <f t="shared" si="10"/>
        <v>93</v>
      </c>
      <c r="J59" s="251">
        <f t="shared" si="11"/>
        <v>744000</v>
      </c>
      <c r="K59" s="290">
        <f t="shared" si="12"/>
        <v>171397.14</v>
      </c>
      <c r="L59" s="215"/>
    </row>
    <row r="60" spans="1:12" x14ac:dyDescent="0.25">
      <c r="A60" s="279">
        <v>11</v>
      </c>
      <c r="B60" s="61" t="s">
        <v>255</v>
      </c>
      <c r="C60" s="62">
        <v>6000</v>
      </c>
      <c r="D60" s="316">
        <v>1785.68</v>
      </c>
      <c r="E60" s="62">
        <v>48</v>
      </c>
      <c r="F60" s="61"/>
      <c r="G60" s="289">
        <f t="shared" si="9"/>
        <v>48</v>
      </c>
      <c r="H60" s="61"/>
      <c r="I60" s="251">
        <f t="shared" si="10"/>
        <v>48</v>
      </c>
      <c r="J60" s="251">
        <f t="shared" si="11"/>
        <v>288000</v>
      </c>
      <c r="K60" s="290">
        <f t="shared" si="12"/>
        <v>85712.639999999999</v>
      </c>
      <c r="L60" s="215"/>
    </row>
    <row r="61" spans="1:12" x14ac:dyDescent="0.25">
      <c r="A61" s="279">
        <v>12</v>
      </c>
      <c r="B61" s="61" t="s">
        <v>256</v>
      </c>
      <c r="C61" s="62">
        <v>5000</v>
      </c>
      <c r="D61" s="316">
        <v>1599.54</v>
      </c>
      <c r="E61" s="62">
        <v>10</v>
      </c>
      <c r="F61" s="61"/>
      <c r="G61" s="289">
        <f t="shared" si="9"/>
        <v>10</v>
      </c>
      <c r="H61" s="61"/>
      <c r="I61" s="251">
        <f t="shared" si="10"/>
        <v>10</v>
      </c>
      <c r="J61" s="251">
        <f t="shared" si="11"/>
        <v>50000</v>
      </c>
      <c r="K61" s="290">
        <f t="shared" si="12"/>
        <v>15995.4</v>
      </c>
      <c r="L61" s="215"/>
    </row>
    <row r="62" spans="1:12" x14ac:dyDescent="0.25">
      <c r="A62" s="279">
        <v>13</v>
      </c>
      <c r="B62" s="61" t="s">
        <v>257</v>
      </c>
      <c r="C62" s="62">
        <v>4000</v>
      </c>
      <c r="D62" s="316">
        <v>1127.98</v>
      </c>
      <c r="E62" s="62">
        <v>56</v>
      </c>
      <c r="F62" s="61"/>
      <c r="G62" s="289">
        <f t="shared" si="9"/>
        <v>56</v>
      </c>
      <c r="H62" s="61"/>
      <c r="I62" s="251">
        <f t="shared" si="10"/>
        <v>56</v>
      </c>
      <c r="J62" s="251">
        <f t="shared" si="11"/>
        <v>224000</v>
      </c>
      <c r="K62" s="290">
        <f t="shared" si="12"/>
        <v>63166.880000000005</v>
      </c>
      <c r="L62" s="215"/>
    </row>
    <row r="63" spans="1:12" x14ac:dyDescent="0.25">
      <c r="A63" s="279">
        <v>14</v>
      </c>
      <c r="B63" s="61" t="s">
        <v>258</v>
      </c>
      <c r="C63" s="62">
        <v>8000</v>
      </c>
      <c r="D63" s="316">
        <v>1347.98</v>
      </c>
      <c r="E63" s="62">
        <v>50</v>
      </c>
      <c r="F63" s="61"/>
      <c r="G63" s="289">
        <f t="shared" si="9"/>
        <v>50</v>
      </c>
      <c r="H63" s="61"/>
      <c r="I63" s="251">
        <f t="shared" si="10"/>
        <v>50</v>
      </c>
      <c r="J63" s="251">
        <f t="shared" si="11"/>
        <v>400000</v>
      </c>
      <c r="K63" s="290">
        <f t="shared" si="12"/>
        <v>67399</v>
      </c>
      <c r="L63" s="215"/>
    </row>
    <row r="64" spans="1:12" x14ac:dyDescent="0.25">
      <c r="A64" s="279">
        <v>15</v>
      </c>
      <c r="B64" s="61" t="s">
        <v>259</v>
      </c>
      <c r="C64" s="62">
        <v>5000</v>
      </c>
      <c r="D64" s="316">
        <v>1017.98</v>
      </c>
      <c r="E64" s="62">
        <v>16</v>
      </c>
      <c r="F64" s="61"/>
      <c r="G64" s="289">
        <f t="shared" si="9"/>
        <v>16</v>
      </c>
      <c r="H64" s="61"/>
      <c r="I64" s="251">
        <f t="shared" si="10"/>
        <v>16</v>
      </c>
      <c r="J64" s="251">
        <f t="shared" si="11"/>
        <v>80000</v>
      </c>
      <c r="K64" s="290">
        <f t="shared" si="12"/>
        <v>16287.68</v>
      </c>
      <c r="L64" s="215"/>
    </row>
    <row r="65" spans="1:12" ht="15.75" thickBot="1" x14ac:dyDescent="0.3">
      <c r="A65" s="280">
        <v>16</v>
      </c>
      <c r="B65" s="281" t="s">
        <v>260</v>
      </c>
      <c r="C65" s="282">
        <v>5000</v>
      </c>
      <c r="D65" s="317">
        <v>1017.98</v>
      </c>
      <c r="E65" s="282">
        <v>11</v>
      </c>
      <c r="F65" s="281"/>
      <c r="G65" s="295">
        <f t="shared" si="9"/>
        <v>11</v>
      </c>
      <c r="H65" s="281"/>
      <c r="I65" s="322">
        <f t="shared" si="10"/>
        <v>11</v>
      </c>
      <c r="J65" s="322">
        <f t="shared" si="11"/>
        <v>55000</v>
      </c>
      <c r="K65" s="323">
        <f t="shared" si="12"/>
        <v>11197.78</v>
      </c>
      <c r="L65" s="215"/>
    </row>
    <row r="66" spans="1:12" ht="15.75" thickBot="1" x14ac:dyDescent="0.3">
      <c r="A66" s="313"/>
      <c r="B66" s="96" t="s">
        <v>658</v>
      </c>
      <c r="C66" s="296"/>
      <c r="D66" s="301"/>
      <c r="E66" s="301">
        <f t="shared" ref="E66:K66" si="13">SUM(E50:E65)</f>
        <v>744</v>
      </c>
      <c r="F66" s="301">
        <f t="shared" si="13"/>
        <v>0</v>
      </c>
      <c r="G66" s="301">
        <f t="shared" si="13"/>
        <v>744</v>
      </c>
      <c r="H66" s="301">
        <f t="shared" si="13"/>
        <v>0</v>
      </c>
      <c r="I66" s="301">
        <f t="shared" si="13"/>
        <v>744</v>
      </c>
      <c r="J66" s="301">
        <f t="shared" si="13"/>
        <v>6513000</v>
      </c>
      <c r="K66" s="302">
        <f t="shared" si="13"/>
        <v>1162819.08</v>
      </c>
      <c r="L66" s="217"/>
    </row>
    <row r="67" spans="1:12" ht="15.75" thickBot="1" x14ac:dyDescent="0.3">
      <c r="A67" s="298"/>
      <c r="B67" s="138"/>
      <c r="C67" s="139"/>
      <c r="D67" s="140"/>
      <c r="E67" s="141"/>
      <c r="F67" s="138"/>
      <c r="G67" s="141"/>
      <c r="H67" s="141"/>
      <c r="I67" s="141"/>
      <c r="J67" s="141"/>
      <c r="K67" s="140"/>
      <c r="L67" s="140"/>
    </row>
    <row r="68" spans="1:12" ht="15.75" thickBot="1" x14ac:dyDescent="0.3">
      <c r="A68" s="418" t="s">
        <v>653</v>
      </c>
      <c r="B68" s="421" t="s">
        <v>704</v>
      </c>
      <c r="C68" s="421" t="s">
        <v>1</v>
      </c>
      <c r="D68" s="422" t="s">
        <v>645</v>
      </c>
      <c r="E68" s="423" t="s">
        <v>19</v>
      </c>
      <c r="F68" s="423"/>
      <c r="G68" s="423"/>
      <c r="H68" s="423"/>
      <c r="I68" s="423"/>
      <c r="J68" s="416" t="s">
        <v>20</v>
      </c>
      <c r="K68" s="418" t="s">
        <v>598</v>
      </c>
      <c r="L68" s="213"/>
    </row>
    <row r="69" spans="1:12" ht="30.75" thickBot="1" x14ac:dyDescent="0.3">
      <c r="A69" s="420"/>
      <c r="B69" s="421"/>
      <c r="C69" s="421"/>
      <c r="D69" s="422"/>
      <c r="E69" s="272" t="s">
        <v>21</v>
      </c>
      <c r="F69" s="272" t="s">
        <v>596</v>
      </c>
      <c r="G69" s="272" t="s">
        <v>597</v>
      </c>
      <c r="H69" s="272" t="s">
        <v>585</v>
      </c>
      <c r="I69" s="272" t="s">
        <v>597</v>
      </c>
      <c r="J69" s="417"/>
      <c r="K69" s="419"/>
      <c r="L69" s="213"/>
    </row>
    <row r="70" spans="1:12" ht="15.75" thickBot="1" x14ac:dyDescent="0.3">
      <c r="A70" s="419"/>
      <c r="B70" s="273">
        <v>1</v>
      </c>
      <c r="C70" s="273">
        <v>2</v>
      </c>
      <c r="D70" s="273">
        <v>3</v>
      </c>
      <c r="E70" s="274">
        <v>4</v>
      </c>
      <c r="F70" s="274">
        <f>+E70+1</f>
        <v>5</v>
      </c>
      <c r="G70" s="274" t="s">
        <v>648</v>
      </c>
      <c r="H70" s="274">
        <v>7</v>
      </c>
      <c r="I70" s="275" t="s">
        <v>647</v>
      </c>
      <c r="J70" s="287" t="s">
        <v>646</v>
      </c>
      <c r="K70" s="287" t="s">
        <v>649</v>
      </c>
      <c r="L70" s="214"/>
    </row>
    <row r="71" spans="1:12" x14ac:dyDescent="0.25">
      <c r="A71" s="288"/>
      <c r="B71" s="276" t="s">
        <v>694</v>
      </c>
      <c r="C71" s="288"/>
      <c r="D71" s="288"/>
      <c r="E71" s="288"/>
      <c r="F71" s="288"/>
      <c r="G71" s="288"/>
      <c r="H71" s="288"/>
      <c r="I71" s="288"/>
      <c r="J71" s="288"/>
      <c r="K71" s="288"/>
      <c r="L71" s="114"/>
    </row>
    <row r="72" spans="1:12" x14ac:dyDescent="0.25">
      <c r="A72" s="279">
        <v>1</v>
      </c>
      <c r="B72" s="61" t="s">
        <v>261</v>
      </c>
      <c r="C72" s="62">
        <v>8000</v>
      </c>
      <c r="D72" s="316">
        <v>1842.98</v>
      </c>
      <c r="E72" s="62">
        <v>30</v>
      </c>
      <c r="F72" s="61"/>
      <c r="G72" s="289">
        <f t="shared" ref="G72:G87" si="14">+E72+F72</f>
        <v>30</v>
      </c>
      <c r="H72" s="61"/>
      <c r="I72" s="251">
        <f t="shared" ref="I72:I87" si="15">+G72-H72</f>
        <v>30</v>
      </c>
      <c r="J72" s="251">
        <f t="shared" ref="J72:J87" si="16">I72*C72</f>
        <v>240000</v>
      </c>
      <c r="K72" s="290">
        <f t="shared" ref="K72:K87" si="17">+D72*I72</f>
        <v>55289.4</v>
      </c>
      <c r="L72" s="215"/>
    </row>
    <row r="73" spans="1:12" x14ac:dyDescent="0.25">
      <c r="A73" s="279">
        <v>2</v>
      </c>
      <c r="B73" s="61" t="s">
        <v>262</v>
      </c>
      <c r="C73" s="62">
        <v>12000</v>
      </c>
      <c r="D73" s="316">
        <v>3531.36</v>
      </c>
      <c r="E73" s="62">
        <v>0</v>
      </c>
      <c r="F73" s="61"/>
      <c r="G73" s="289">
        <f t="shared" si="14"/>
        <v>0</v>
      </c>
      <c r="H73" s="61">
        <f>23-23</f>
        <v>0</v>
      </c>
      <c r="I73" s="251">
        <f t="shared" si="15"/>
        <v>0</v>
      </c>
      <c r="J73" s="251">
        <f t="shared" si="16"/>
        <v>0</v>
      </c>
      <c r="K73" s="290">
        <f t="shared" si="17"/>
        <v>0</v>
      </c>
      <c r="L73" s="215"/>
    </row>
    <row r="74" spans="1:12" x14ac:dyDescent="0.25">
      <c r="A74" s="279">
        <v>3</v>
      </c>
      <c r="B74" s="61" t="s">
        <v>263</v>
      </c>
      <c r="C74" s="62">
        <v>5000</v>
      </c>
      <c r="D74" s="316">
        <v>1226.98</v>
      </c>
      <c r="E74" s="62">
        <v>0</v>
      </c>
      <c r="F74" s="61"/>
      <c r="G74" s="289">
        <f t="shared" si="14"/>
        <v>0</v>
      </c>
      <c r="H74" s="61">
        <f>14-14</f>
        <v>0</v>
      </c>
      <c r="I74" s="251">
        <f t="shared" si="15"/>
        <v>0</v>
      </c>
      <c r="J74" s="251">
        <f t="shared" si="16"/>
        <v>0</v>
      </c>
      <c r="K74" s="290">
        <f t="shared" si="17"/>
        <v>0</v>
      </c>
      <c r="L74" s="215"/>
    </row>
    <row r="75" spans="1:12" x14ac:dyDescent="0.25">
      <c r="A75" s="279">
        <v>4</v>
      </c>
      <c r="B75" s="61" t="s">
        <v>264</v>
      </c>
      <c r="C75" s="62">
        <v>5000</v>
      </c>
      <c r="D75" s="316">
        <v>1226.98</v>
      </c>
      <c r="E75" s="62">
        <v>261</v>
      </c>
      <c r="F75" s="61"/>
      <c r="G75" s="289">
        <f t="shared" si="14"/>
        <v>261</v>
      </c>
      <c r="H75" s="61"/>
      <c r="I75" s="251">
        <f t="shared" si="15"/>
        <v>261</v>
      </c>
      <c r="J75" s="251">
        <f t="shared" si="16"/>
        <v>1305000</v>
      </c>
      <c r="K75" s="290">
        <f t="shared" si="17"/>
        <v>320241.78000000003</v>
      </c>
      <c r="L75" s="215"/>
    </row>
    <row r="76" spans="1:12" x14ac:dyDescent="0.25">
      <c r="A76" s="279">
        <v>5</v>
      </c>
      <c r="B76" s="61" t="s">
        <v>265</v>
      </c>
      <c r="C76" s="62">
        <v>8000</v>
      </c>
      <c r="D76" s="316">
        <v>1842.98</v>
      </c>
      <c r="E76" s="62">
        <v>64</v>
      </c>
      <c r="F76" s="61"/>
      <c r="G76" s="289">
        <f t="shared" si="14"/>
        <v>64</v>
      </c>
      <c r="H76" s="61"/>
      <c r="I76" s="251">
        <f t="shared" si="15"/>
        <v>64</v>
      </c>
      <c r="J76" s="251">
        <f t="shared" si="16"/>
        <v>512000</v>
      </c>
      <c r="K76" s="290">
        <f t="shared" si="17"/>
        <v>117950.72</v>
      </c>
      <c r="L76" s="215"/>
    </row>
    <row r="77" spans="1:12" x14ac:dyDescent="0.25">
      <c r="A77" s="279">
        <v>6</v>
      </c>
      <c r="B77" s="61" t="s">
        <v>266</v>
      </c>
      <c r="C77" s="62">
        <v>5000</v>
      </c>
      <c r="D77" s="316">
        <v>1226.98</v>
      </c>
      <c r="E77" s="62">
        <v>94</v>
      </c>
      <c r="F77" s="61"/>
      <c r="G77" s="289">
        <f t="shared" si="14"/>
        <v>94</v>
      </c>
      <c r="H77" s="61"/>
      <c r="I77" s="251">
        <f t="shared" si="15"/>
        <v>94</v>
      </c>
      <c r="J77" s="251">
        <f t="shared" si="16"/>
        <v>470000</v>
      </c>
      <c r="K77" s="290">
        <f t="shared" si="17"/>
        <v>115336.12</v>
      </c>
      <c r="L77" s="215"/>
    </row>
    <row r="78" spans="1:12" x14ac:dyDescent="0.25">
      <c r="A78" s="279">
        <v>7</v>
      </c>
      <c r="B78" s="61" t="s">
        <v>267</v>
      </c>
      <c r="C78" s="62">
        <v>6000</v>
      </c>
      <c r="D78" s="316">
        <v>1226.98</v>
      </c>
      <c r="E78" s="62">
        <v>24</v>
      </c>
      <c r="F78" s="61"/>
      <c r="G78" s="289">
        <f t="shared" si="14"/>
        <v>24</v>
      </c>
      <c r="H78" s="61"/>
      <c r="I78" s="251">
        <f t="shared" si="15"/>
        <v>24</v>
      </c>
      <c r="J78" s="251">
        <f t="shared" si="16"/>
        <v>144000</v>
      </c>
      <c r="K78" s="290">
        <f t="shared" si="17"/>
        <v>29447.52</v>
      </c>
      <c r="L78" s="215"/>
    </row>
    <row r="79" spans="1:12" x14ac:dyDescent="0.25">
      <c r="A79" s="279">
        <v>8</v>
      </c>
      <c r="B79" s="61" t="s">
        <v>268</v>
      </c>
      <c r="C79" s="62">
        <v>14000</v>
      </c>
      <c r="D79" s="316">
        <v>3017.9</v>
      </c>
      <c r="E79" s="62">
        <v>134</v>
      </c>
      <c r="F79" s="61"/>
      <c r="G79" s="289">
        <f t="shared" si="14"/>
        <v>134</v>
      </c>
      <c r="H79" s="61"/>
      <c r="I79" s="251">
        <f t="shared" si="15"/>
        <v>134</v>
      </c>
      <c r="J79" s="251">
        <f t="shared" si="16"/>
        <v>1876000</v>
      </c>
      <c r="K79" s="290">
        <f t="shared" si="17"/>
        <v>404398.60000000003</v>
      </c>
      <c r="L79" s="215"/>
    </row>
    <row r="80" spans="1:12" x14ac:dyDescent="0.25">
      <c r="A80" s="279">
        <v>9</v>
      </c>
      <c r="B80" s="61" t="s">
        <v>269</v>
      </c>
      <c r="C80" s="62">
        <v>5000</v>
      </c>
      <c r="D80" s="316">
        <v>1226.98</v>
      </c>
      <c r="E80" s="62">
        <v>0</v>
      </c>
      <c r="F80" s="61"/>
      <c r="G80" s="289">
        <f t="shared" si="14"/>
        <v>0</v>
      </c>
      <c r="H80" s="61">
        <f>4-4</f>
        <v>0</v>
      </c>
      <c r="I80" s="251">
        <f t="shared" si="15"/>
        <v>0</v>
      </c>
      <c r="J80" s="251">
        <f t="shared" si="16"/>
        <v>0</v>
      </c>
      <c r="K80" s="290">
        <f t="shared" si="17"/>
        <v>0</v>
      </c>
      <c r="L80" s="215"/>
    </row>
    <row r="81" spans="1:12" x14ac:dyDescent="0.25">
      <c r="A81" s="279">
        <v>10</v>
      </c>
      <c r="B81" s="61" t="s">
        <v>270</v>
      </c>
      <c r="C81" s="62">
        <v>4000</v>
      </c>
      <c r="D81" s="316">
        <v>921.49</v>
      </c>
      <c r="E81" s="62">
        <v>41</v>
      </c>
      <c r="F81" s="61"/>
      <c r="G81" s="289">
        <f t="shared" si="14"/>
        <v>41</v>
      </c>
      <c r="H81" s="61"/>
      <c r="I81" s="251">
        <f t="shared" si="15"/>
        <v>41</v>
      </c>
      <c r="J81" s="251">
        <f t="shared" si="16"/>
        <v>164000</v>
      </c>
      <c r="K81" s="290">
        <f t="shared" si="17"/>
        <v>37781.090000000004</v>
      </c>
      <c r="L81" s="215"/>
    </row>
    <row r="82" spans="1:12" x14ac:dyDescent="0.25">
      <c r="A82" s="279">
        <v>11</v>
      </c>
      <c r="B82" s="61" t="s">
        <v>271</v>
      </c>
      <c r="C82" s="62">
        <v>7000</v>
      </c>
      <c r="D82" s="316">
        <v>1508.95</v>
      </c>
      <c r="E82" s="62">
        <v>0</v>
      </c>
      <c r="F82" s="61"/>
      <c r="G82" s="289">
        <f t="shared" si="14"/>
        <v>0</v>
      </c>
      <c r="H82" s="61">
        <f>10-10</f>
        <v>0</v>
      </c>
      <c r="I82" s="251">
        <f t="shared" si="15"/>
        <v>0</v>
      </c>
      <c r="J82" s="251">
        <f t="shared" si="16"/>
        <v>0</v>
      </c>
      <c r="K82" s="290">
        <f t="shared" si="17"/>
        <v>0</v>
      </c>
      <c r="L82" s="215"/>
    </row>
    <row r="83" spans="1:12" x14ac:dyDescent="0.25">
      <c r="A83" s="279">
        <v>12</v>
      </c>
      <c r="B83" s="61" t="s">
        <v>55</v>
      </c>
      <c r="C83" s="62">
        <v>16000</v>
      </c>
      <c r="D83" s="316">
        <v>3685.96</v>
      </c>
      <c r="E83" s="62">
        <v>106</v>
      </c>
      <c r="F83" s="61"/>
      <c r="G83" s="289">
        <f t="shared" si="14"/>
        <v>106</v>
      </c>
      <c r="H83" s="61"/>
      <c r="I83" s="251">
        <f t="shared" si="15"/>
        <v>106</v>
      </c>
      <c r="J83" s="251">
        <f t="shared" si="16"/>
        <v>1696000</v>
      </c>
      <c r="K83" s="290">
        <f t="shared" si="17"/>
        <v>390711.76</v>
      </c>
      <c r="L83" s="215"/>
    </row>
    <row r="84" spans="1:12" x14ac:dyDescent="0.25">
      <c r="A84" s="279">
        <v>13</v>
      </c>
      <c r="B84" s="61" t="s">
        <v>157</v>
      </c>
      <c r="C84" s="62">
        <v>8000</v>
      </c>
      <c r="D84" s="316">
        <v>1842.98</v>
      </c>
      <c r="E84" s="62">
        <v>0</v>
      </c>
      <c r="F84" s="61"/>
      <c r="G84" s="289">
        <f t="shared" si="14"/>
        <v>0</v>
      </c>
      <c r="H84" s="61">
        <f>9-9</f>
        <v>0</v>
      </c>
      <c r="I84" s="251">
        <f t="shared" si="15"/>
        <v>0</v>
      </c>
      <c r="J84" s="251">
        <f t="shared" si="16"/>
        <v>0</v>
      </c>
      <c r="K84" s="290">
        <f t="shared" si="17"/>
        <v>0</v>
      </c>
      <c r="L84" s="215"/>
    </row>
    <row r="85" spans="1:12" x14ac:dyDescent="0.25">
      <c r="A85" s="279">
        <v>14</v>
      </c>
      <c r="B85" s="61" t="s">
        <v>272</v>
      </c>
      <c r="C85" s="62">
        <v>35000</v>
      </c>
      <c r="D85" s="316">
        <v>24143.599999999999</v>
      </c>
      <c r="E85" s="62">
        <v>93</v>
      </c>
      <c r="F85" s="61"/>
      <c r="G85" s="289">
        <f t="shared" si="14"/>
        <v>93</v>
      </c>
      <c r="H85" s="61"/>
      <c r="I85" s="251">
        <f t="shared" si="15"/>
        <v>93</v>
      </c>
      <c r="J85" s="251">
        <f t="shared" si="16"/>
        <v>3255000</v>
      </c>
      <c r="K85" s="290">
        <f t="shared" si="17"/>
        <v>2245354.7999999998</v>
      </c>
      <c r="L85" s="215"/>
    </row>
    <row r="86" spans="1:12" x14ac:dyDescent="0.25">
      <c r="A86" s="279">
        <v>15</v>
      </c>
      <c r="B86" s="61" t="s">
        <v>273</v>
      </c>
      <c r="C86" s="62">
        <v>5000</v>
      </c>
      <c r="D86" s="316">
        <v>1226.98</v>
      </c>
      <c r="E86" s="62">
        <v>0</v>
      </c>
      <c r="F86" s="61"/>
      <c r="G86" s="289">
        <f t="shared" si="14"/>
        <v>0</v>
      </c>
      <c r="H86" s="61">
        <f>3-3</f>
        <v>0</v>
      </c>
      <c r="I86" s="251">
        <f t="shared" si="15"/>
        <v>0</v>
      </c>
      <c r="J86" s="251">
        <f t="shared" si="16"/>
        <v>0</v>
      </c>
      <c r="K86" s="290">
        <f t="shared" si="17"/>
        <v>0</v>
      </c>
      <c r="L86" s="215"/>
    </row>
    <row r="87" spans="1:12" ht="15.75" thickBot="1" x14ac:dyDescent="0.3">
      <c r="A87" s="280">
        <v>16</v>
      </c>
      <c r="B87" s="281" t="s">
        <v>274</v>
      </c>
      <c r="C87" s="282">
        <v>5000</v>
      </c>
      <c r="D87" s="317">
        <v>1226.98</v>
      </c>
      <c r="E87" s="282">
        <v>105</v>
      </c>
      <c r="F87" s="281"/>
      <c r="G87" s="295">
        <f t="shared" si="14"/>
        <v>105</v>
      </c>
      <c r="H87" s="281"/>
      <c r="I87" s="322">
        <f t="shared" si="15"/>
        <v>105</v>
      </c>
      <c r="J87" s="322">
        <f t="shared" si="16"/>
        <v>525000</v>
      </c>
      <c r="K87" s="323">
        <f t="shared" si="17"/>
        <v>128832.90000000001</v>
      </c>
      <c r="L87" s="215"/>
    </row>
    <row r="88" spans="1:12" ht="15.75" thickBot="1" x14ac:dyDescent="0.3">
      <c r="A88" s="313"/>
      <c r="B88" s="96" t="s">
        <v>660</v>
      </c>
      <c r="C88" s="296"/>
      <c r="D88" s="296"/>
      <c r="E88" s="97">
        <f t="shared" ref="E88:K88" si="18">SUM(E72:E87)</f>
        <v>952</v>
      </c>
      <c r="F88" s="97">
        <f t="shared" si="18"/>
        <v>0</v>
      </c>
      <c r="G88" s="97">
        <f t="shared" si="18"/>
        <v>952</v>
      </c>
      <c r="H88" s="97">
        <f t="shared" si="18"/>
        <v>0</v>
      </c>
      <c r="I88" s="97">
        <f t="shared" si="18"/>
        <v>952</v>
      </c>
      <c r="J88" s="97">
        <f t="shared" si="18"/>
        <v>10187000</v>
      </c>
      <c r="K88" s="297">
        <f t="shared" si="18"/>
        <v>3845344.69</v>
      </c>
      <c r="L88" s="151"/>
    </row>
    <row r="89" spans="1:12" ht="15.75" thickBot="1" x14ac:dyDescent="0.3">
      <c r="A89" s="298"/>
      <c r="B89" s="138"/>
      <c r="C89" s="139"/>
      <c r="D89" s="140"/>
      <c r="E89" s="141"/>
      <c r="F89" s="138"/>
      <c r="G89" s="141"/>
      <c r="H89" s="141"/>
      <c r="I89" s="141"/>
      <c r="J89" s="141"/>
      <c r="K89" s="140"/>
      <c r="L89" s="140"/>
    </row>
    <row r="90" spans="1:12" ht="15.75" thickBot="1" x14ac:dyDescent="0.3">
      <c r="A90" s="418" t="s">
        <v>653</v>
      </c>
      <c r="B90" s="421" t="s">
        <v>704</v>
      </c>
      <c r="C90" s="421" t="s">
        <v>1</v>
      </c>
      <c r="D90" s="422" t="s">
        <v>645</v>
      </c>
      <c r="E90" s="423" t="s">
        <v>19</v>
      </c>
      <c r="F90" s="423"/>
      <c r="G90" s="423"/>
      <c r="H90" s="423"/>
      <c r="I90" s="423"/>
      <c r="J90" s="416" t="s">
        <v>20</v>
      </c>
      <c r="K90" s="418" t="s">
        <v>598</v>
      </c>
      <c r="L90" s="213"/>
    </row>
    <row r="91" spans="1:12" ht="30.75" thickBot="1" x14ac:dyDescent="0.3">
      <c r="A91" s="420"/>
      <c r="B91" s="421"/>
      <c r="C91" s="421"/>
      <c r="D91" s="422"/>
      <c r="E91" s="272" t="s">
        <v>21</v>
      </c>
      <c r="F91" s="272" t="s">
        <v>596</v>
      </c>
      <c r="G91" s="272" t="s">
        <v>597</v>
      </c>
      <c r="H91" s="272" t="s">
        <v>585</v>
      </c>
      <c r="I91" s="272" t="s">
        <v>597</v>
      </c>
      <c r="J91" s="417"/>
      <c r="K91" s="419"/>
      <c r="L91" s="213"/>
    </row>
    <row r="92" spans="1:12" ht="15.75" thickBot="1" x14ac:dyDescent="0.3">
      <c r="A92" s="419"/>
      <c r="B92" s="273">
        <v>1</v>
      </c>
      <c r="C92" s="273">
        <v>2</v>
      </c>
      <c r="D92" s="273">
        <v>3</v>
      </c>
      <c r="E92" s="274">
        <v>4</v>
      </c>
      <c r="F92" s="274">
        <f>+E92+1</f>
        <v>5</v>
      </c>
      <c r="G92" s="274" t="s">
        <v>648</v>
      </c>
      <c r="H92" s="274">
        <v>7</v>
      </c>
      <c r="I92" s="275" t="s">
        <v>647</v>
      </c>
      <c r="J92" s="287" t="s">
        <v>646</v>
      </c>
      <c r="K92" s="287" t="s">
        <v>649</v>
      </c>
      <c r="L92" s="214"/>
    </row>
    <row r="93" spans="1:12" x14ac:dyDescent="0.25">
      <c r="A93" s="288"/>
      <c r="B93" s="276" t="s">
        <v>696</v>
      </c>
      <c r="C93" s="288"/>
      <c r="D93" s="288"/>
      <c r="E93" s="288"/>
      <c r="F93" s="288"/>
      <c r="G93" s="288"/>
      <c r="H93" s="288"/>
      <c r="I93" s="288"/>
      <c r="J93" s="288"/>
      <c r="K93" s="288"/>
      <c r="L93" s="114"/>
    </row>
    <row r="94" spans="1:12" x14ac:dyDescent="0.25">
      <c r="A94" s="279">
        <v>1</v>
      </c>
      <c r="B94" s="61" t="s">
        <v>275</v>
      </c>
      <c r="C94" s="62">
        <v>5000</v>
      </c>
      <c r="D94" s="316">
        <v>1226.98</v>
      </c>
      <c r="E94" s="62">
        <v>3053</v>
      </c>
      <c r="F94" s="61"/>
      <c r="G94" s="289">
        <f t="shared" ref="G94:G120" si="19">+E94+F94</f>
        <v>3053</v>
      </c>
      <c r="H94" s="61"/>
      <c r="I94" s="251">
        <f t="shared" ref="I94:I120" si="20">+G94-H94</f>
        <v>3053</v>
      </c>
      <c r="J94" s="251">
        <f t="shared" ref="J94:J120" si="21">I94*C94</f>
        <v>15265000</v>
      </c>
      <c r="K94" s="290">
        <f t="shared" ref="K94:K120" si="22">+D94*I94</f>
        <v>3745969.94</v>
      </c>
      <c r="L94" s="215"/>
    </row>
    <row r="95" spans="1:12" x14ac:dyDescent="0.25">
      <c r="A95" s="279">
        <v>2</v>
      </c>
      <c r="B95" s="61" t="s">
        <v>276</v>
      </c>
      <c r="C95" s="62">
        <v>10000</v>
      </c>
      <c r="D95" s="316">
        <v>6019.38</v>
      </c>
      <c r="E95" s="62">
        <v>3248</v>
      </c>
      <c r="F95" s="61"/>
      <c r="G95" s="289">
        <f t="shared" si="19"/>
        <v>3248</v>
      </c>
      <c r="H95" s="61"/>
      <c r="I95" s="251">
        <f t="shared" si="20"/>
        <v>3248</v>
      </c>
      <c r="J95" s="251">
        <f t="shared" si="21"/>
        <v>32480000</v>
      </c>
      <c r="K95" s="290">
        <f t="shared" si="22"/>
        <v>19550946.240000002</v>
      </c>
      <c r="L95" s="215"/>
    </row>
    <row r="96" spans="1:12" x14ac:dyDescent="0.25">
      <c r="A96" s="279">
        <v>3</v>
      </c>
      <c r="B96" s="61" t="s">
        <v>277</v>
      </c>
      <c r="C96" s="62">
        <v>10000</v>
      </c>
      <c r="D96" s="316">
        <v>2453.96</v>
      </c>
      <c r="E96" s="62">
        <v>235</v>
      </c>
      <c r="F96" s="61"/>
      <c r="G96" s="289">
        <f t="shared" si="19"/>
        <v>235</v>
      </c>
      <c r="H96" s="61"/>
      <c r="I96" s="251">
        <f t="shared" si="20"/>
        <v>235</v>
      </c>
      <c r="J96" s="251">
        <f t="shared" si="21"/>
        <v>2350000</v>
      </c>
      <c r="K96" s="290">
        <f t="shared" si="22"/>
        <v>576680.6</v>
      </c>
      <c r="L96" s="215"/>
    </row>
    <row r="97" spans="1:12" x14ac:dyDescent="0.25">
      <c r="A97" s="279">
        <v>4</v>
      </c>
      <c r="B97" s="61" t="s">
        <v>278</v>
      </c>
      <c r="C97" s="62">
        <v>7000</v>
      </c>
      <c r="D97" s="316">
        <v>1508.95</v>
      </c>
      <c r="E97" s="62">
        <v>2033</v>
      </c>
      <c r="F97" s="61"/>
      <c r="G97" s="289">
        <f t="shared" si="19"/>
        <v>2033</v>
      </c>
      <c r="H97" s="61"/>
      <c r="I97" s="251">
        <f t="shared" si="20"/>
        <v>2033</v>
      </c>
      <c r="J97" s="251">
        <f t="shared" si="21"/>
        <v>14231000</v>
      </c>
      <c r="K97" s="290">
        <f t="shared" si="22"/>
        <v>3067695.35</v>
      </c>
      <c r="L97" s="215"/>
    </row>
    <row r="98" spans="1:12" x14ac:dyDescent="0.25">
      <c r="A98" s="279">
        <v>5</v>
      </c>
      <c r="B98" s="61" t="s">
        <v>279</v>
      </c>
      <c r="C98" s="62">
        <v>7000</v>
      </c>
      <c r="D98" s="316">
        <v>1508.95</v>
      </c>
      <c r="E98" s="62">
        <v>2024</v>
      </c>
      <c r="F98" s="61"/>
      <c r="G98" s="289">
        <f t="shared" si="19"/>
        <v>2024</v>
      </c>
      <c r="H98" s="61"/>
      <c r="I98" s="251">
        <f t="shared" si="20"/>
        <v>2024</v>
      </c>
      <c r="J98" s="251">
        <f t="shared" si="21"/>
        <v>14168000</v>
      </c>
      <c r="K98" s="290">
        <f t="shared" si="22"/>
        <v>3054114.8000000003</v>
      </c>
      <c r="L98" s="215"/>
    </row>
    <row r="99" spans="1:12" x14ac:dyDescent="0.25">
      <c r="A99" s="279">
        <v>6</v>
      </c>
      <c r="B99" s="61" t="s">
        <v>280</v>
      </c>
      <c r="C99" s="62">
        <v>5000</v>
      </c>
      <c r="D99" s="316">
        <v>1226.98</v>
      </c>
      <c r="E99" s="62">
        <v>88</v>
      </c>
      <c r="F99" s="61"/>
      <c r="G99" s="289">
        <f t="shared" si="19"/>
        <v>88</v>
      </c>
      <c r="H99" s="61"/>
      <c r="I99" s="251">
        <f t="shared" si="20"/>
        <v>88</v>
      </c>
      <c r="J99" s="251">
        <f t="shared" si="21"/>
        <v>440000</v>
      </c>
      <c r="K99" s="290">
        <f t="shared" si="22"/>
        <v>107974.24</v>
      </c>
      <c r="L99" s="215"/>
    </row>
    <row r="100" spans="1:12" x14ac:dyDescent="0.25">
      <c r="A100" s="279">
        <v>7</v>
      </c>
      <c r="B100" s="285" t="s">
        <v>281</v>
      </c>
      <c r="C100" s="62">
        <v>10000</v>
      </c>
      <c r="D100" s="316">
        <v>2453.96</v>
      </c>
      <c r="E100" s="62">
        <v>0</v>
      </c>
      <c r="F100" s="61"/>
      <c r="G100" s="289">
        <f t="shared" si="19"/>
        <v>0</v>
      </c>
      <c r="H100" s="61">
        <f>10-10</f>
        <v>0</v>
      </c>
      <c r="I100" s="251">
        <f t="shared" si="20"/>
        <v>0</v>
      </c>
      <c r="J100" s="251">
        <f t="shared" si="21"/>
        <v>0</v>
      </c>
      <c r="K100" s="290">
        <f t="shared" si="22"/>
        <v>0</v>
      </c>
      <c r="L100" s="215"/>
    </row>
    <row r="101" spans="1:12" x14ac:dyDescent="0.25">
      <c r="A101" s="279">
        <v>8</v>
      </c>
      <c r="B101" s="285" t="s">
        <v>282</v>
      </c>
      <c r="C101" s="62">
        <v>7000</v>
      </c>
      <c r="D101" s="316">
        <v>1508.95</v>
      </c>
      <c r="E101" s="62">
        <v>0</v>
      </c>
      <c r="F101" s="61"/>
      <c r="G101" s="289">
        <f t="shared" si="19"/>
        <v>0</v>
      </c>
      <c r="H101" s="61">
        <f>2-2</f>
        <v>0</v>
      </c>
      <c r="I101" s="251">
        <f t="shared" si="20"/>
        <v>0</v>
      </c>
      <c r="J101" s="251">
        <f t="shared" si="21"/>
        <v>0</v>
      </c>
      <c r="K101" s="290">
        <f t="shared" si="22"/>
        <v>0</v>
      </c>
      <c r="L101" s="215"/>
    </row>
    <row r="102" spans="1:12" x14ac:dyDescent="0.25">
      <c r="A102" s="279">
        <v>9</v>
      </c>
      <c r="B102" s="285" t="s">
        <v>283</v>
      </c>
      <c r="C102" s="62">
        <v>25000</v>
      </c>
      <c r="D102" s="316">
        <v>2453.96</v>
      </c>
      <c r="E102" s="62">
        <v>78</v>
      </c>
      <c r="F102" s="61"/>
      <c r="G102" s="289">
        <f t="shared" si="19"/>
        <v>78</v>
      </c>
      <c r="H102" s="61"/>
      <c r="I102" s="251">
        <f t="shared" si="20"/>
        <v>78</v>
      </c>
      <c r="J102" s="251">
        <f t="shared" si="21"/>
        <v>1950000</v>
      </c>
      <c r="K102" s="290">
        <f t="shared" si="22"/>
        <v>191408.88</v>
      </c>
      <c r="L102" s="215"/>
    </row>
    <row r="103" spans="1:12" x14ac:dyDescent="0.25">
      <c r="A103" s="279">
        <v>10</v>
      </c>
      <c r="B103" s="61" t="s">
        <v>284</v>
      </c>
      <c r="C103" s="62">
        <v>2000</v>
      </c>
      <c r="D103" s="316">
        <v>880</v>
      </c>
      <c r="E103" s="62">
        <v>288</v>
      </c>
      <c r="F103" s="61"/>
      <c r="G103" s="289">
        <f t="shared" si="19"/>
        <v>288</v>
      </c>
      <c r="H103" s="61"/>
      <c r="I103" s="251">
        <f t="shared" si="20"/>
        <v>288</v>
      </c>
      <c r="J103" s="251">
        <f t="shared" si="21"/>
        <v>576000</v>
      </c>
      <c r="K103" s="290">
        <f t="shared" si="22"/>
        <v>253440</v>
      </c>
      <c r="L103" s="215"/>
    </row>
    <row r="104" spans="1:12" x14ac:dyDescent="0.25">
      <c r="A104" s="279">
        <v>11</v>
      </c>
      <c r="B104" s="61" t="s">
        <v>285</v>
      </c>
      <c r="C104" s="62">
        <v>20000</v>
      </c>
      <c r="D104" s="316">
        <v>4907.92</v>
      </c>
      <c r="E104" s="62">
        <v>20</v>
      </c>
      <c r="F104" s="61"/>
      <c r="G104" s="289">
        <f t="shared" si="19"/>
        <v>20</v>
      </c>
      <c r="H104" s="61"/>
      <c r="I104" s="251">
        <f t="shared" si="20"/>
        <v>20</v>
      </c>
      <c r="J104" s="251">
        <f t="shared" si="21"/>
        <v>400000</v>
      </c>
      <c r="K104" s="290">
        <f t="shared" si="22"/>
        <v>98158.399999999994</v>
      </c>
      <c r="L104" s="215"/>
    </row>
    <row r="105" spans="1:12" x14ac:dyDescent="0.25">
      <c r="A105" s="279">
        <v>12</v>
      </c>
      <c r="B105" s="61" t="s">
        <v>286</v>
      </c>
      <c r="C105" s="62">
        <v>5000</v>
      </c>
      <c r="D105" s="316">
        <v>1226.98</v>
      </c>
      <c r="E105" s="62">
        <v>65</v>
      </c>
      <c r="F105" s="61"/>
      <c r="G105" s="289">
        <f t="shared" si="19"/>
        <v>65</v>
      </c>
      <c r="H105" s="61"/>
      <c r="I105" s="251">
        <f t="shared" si="20"/>
        <v>65</v>
      </c>
      <c r="J105" s="251">
        <f t="shared" si="21"/>
        <v>325000</v>
      </c>
      <c r="K105" s="290">
        <f t="shared" si="22"/>
        <v>79753.7</v>
      </c>
      <c r="L105" s="215"/>
    </row>
    <row r="106" spans="1:12" x14ac:dyDescent="0.25">
      <c r="A106" s="279">
        <v>13</v>
      </c>
      <c r="B106" s="352" t="s">
        <v>287</v>
      </c>
      <c r="C106" s="62">
        <v>8000</v>
      </c>
      <c r="D106" s="316">
        <v>1842.98</v>
      </c>
      <c r="E106" s="62">
        <v>52</v>
      </c>
      <c r="F106" s="61"/>
      <c r="G106" s="289">
        <f t="shared" si="19"/>
        <v>52</v>
      </c>
      <c r="H106" s="61"/>
      <c r="I106" s="251">
        <f t="shared" si="20"/>
        <v>52</v>
      </c>
      <c r="J106" s="251">
        <f t="shared" si="21"/>
        <v>416000</v>
      </c>
      <c r="K106" s="290">
        <f t="shared" si="22"/>
        <v>95834.96</v>
      </c>
      <c r="L106" s="215"/>
    </row>
    <row r="107" spans="1:12" x14ac:dyDescent="0.25">
      <c r="A107" s="279">
        <v>14</v>
      </c>
      <c r="B107" s="61" t="s">
        <v>288</v>
      </c>
      <c r="C107" s="62">
        <v>7000</v>
      </c>
      <c r="D107" s="316">
        <v>1508.95</v>
      </c>
      <c r="E107" s="62">
        <v>225</v>
      </c>
      <c r="F107" s="61"/>
      <c r="G107" s="289">
        <f t="shared" si="19"/>
        <v>225</v>
      </c>
      <c r="H107" s="61"/>
      <c r="I107" s="251">
        <f t="shared" si="20"/>
        <v>225</v>
      </c>
      <c r="J107" s="251">
        <f t="shared" si="21"/>
        <v>1575000</v>
      </c>
      <c r="K107" s="290">
        <f t="shared" si="22"/>
        <v>339513.75</v>
      </c>
      <c r="L107" s="215"/>
    </row>
    <row r="108" spans="1:12" x14ac:dyDescent="0.25">
      <c r="A108" s="279">
        <v>15</v>
      </c>
      <c r="B108" s="61" t="s">
        <v>289</v>
      </c>
      <c r="C108" s="62">
        <v>32500</v>
      </c>
      <c r="D108" s="316">
        <v>14723.76</v>
      </c>
      <c r="E108" s="62">
        <v>373</v>
      </c>
      <c r="F108" s="61"/>
      <c r="G108" s="289">
        <f t="shared" si="19"/>
        <v>373</v>
      </c>
      <c r="H108" s="61"/>
      <c r="I108" s="251">
        <f t="shared" si="20"/>
        <v>373</v>
      </c>
      <c r="J108" s="251">
        <f t="shared" si="21"/>
        <v>12122500</v>
      </c>
      <c r="K108" s="290">
        <f t="shared" si="22"/>
        <v>5491962.4800000004</v>
      </c>
      <c r="L108" s="215"/>
    </row>
    <row r="109" spans="1:12" x14ac:dyDescent="0.25">
      <c r="A109" s="279">
        <v>16</v>
      </c>
      <c r="B109" s="61" t="s">
        <v>290</v>
      </c>
      <c r="C109" s="62">
        <v>5000</v>
      </c>
      <c r="D109" s="316">
        <v>1226.98</v>
      </c>
      <c r="E109" s="62">
        <v>0</v>
      </c>
      <c r="F109" s="61"/>
      <c r="G109" s="289">
        <f t="shared" si="19"/>
        <v>0</v>
      </c>
      <c r="H109" s="61">
        <f>14-14</f>
        <v>0</v>
      </c>
      <c r="I109" s="251">
        <f t="shared" si="20"/>
        <v>0</v>
      </c>
      <c r="J109" s="251">
        <f t="shared" si="21"/>
        <v>0</v>
      </c>
      <c r="K109" s="290">
        <f t="shared" si="22"/>
        <v>0</v>
      </c>
      <c r="L109" s="215"/>
    </row>
    <row r="110" spans="1:12" x14ac:dyDescent="0.25">
      <c r="A110" s="279">
        <v>17</v>
      </c>
      <c r="B110" s="61" t="s">
        <v>291</v>
      </c>
      <c r="C110" s="62">
        <v>5000</v>
      </c>
      <c r="D110" s="316">
        <v>1226.98</v>
      </c>
      <c r="E110" s="62">
        <v>38</v>
      </c>
      <c r="F110" s="61"/>
      <c r="G110" s="289">
        <f t="shared" si="19"/>
        <v>38</v>
      </c>
      <c r="H110" s="61"/>
      <c r="I110" s="251">
        <f t="shared" si="20"/>
        <v>38</v>
      </c>
      <c r="J110" s="251">
        <f t="shared" si="21"/>
        <v>190000</v>
      </c>
      <c r="K110" s="290">
        <f t="shared" si="22"/>
        <v>46625.24</v>
      </c>
      <c r="L110" s="215"/>
    </row>
    <row r="111" spans="1:12" x14ac:dyDescent="0.25">
      <c r="A111" s="279">
        <v>18</v>
      </c>
      <c r="B111" s="61" t="s">
        <v>292</v>
      </c>
      <c r="C111" s="62">
        <v>5000</v>
      </c>
      <c r="D111" s="316">
        <v>1226.98</v>
      </c>
      <c r="E111" s="62">
        <v>0</v>
      </c>
      <c r="F111" s="61"/>
      <c r="G111" s="289">
        <f t="shared" si="19"/>
        <v>0</v>
      </c>
      <c r="H111" s="61">
        <f>14-14</f>
        <v>0</v>
      </c>
      <c r="I111" s="251">
        <f t="shared" si="20"/>
        <v>0</v>
      </c>
      <c r="J111" s="251">
        <f t="shared" si="21"/>
        <v>0</v>
      </c>
      <c r="K111" s="290">
        <f t="shared" si="22"/>
        <v>0</v>
      </c>
      <c r="L111" s="215"/>
    </row>
    <row r="112" spans="1:12" x14ac:dyDescent="0.25">
      <c r="A112" s="279">
        <v>19</v>
      </c>
      <c r="B112" s="61" t="s">
        <v>293</v>
      </c>
      <c r="C112" s="62">
        <v>8000</v>
      </c>
      <c r="D112" s="316">
        <v>1842.98</v>
      </c>
      <c r="E112" s="62">
        <v>0</v>
      </c>
      <c r="F112" s="61"/>
      <c r="G112" s="289">
        <f t="shared" si="19"/>
        <v>0</v>
      </c>
      <c r="H112" s="61">
        <f>22-22</f>
        <v>0</v>
      </c>
      <c r="I112" s="251">
        <f t="shared" si="20"/>
        <v>0</v>
      </c>
      <c r="J112" s="251">
        <f t="shared" si="21"/>
        <v>0</v>
      </c>
      <c r="K112" s="290">
        <f t="shared" si="22"/>
        <v>0</v>
      </c>
      <c r="L112" s="215"/>
    </row>
    <row r="113" spans="1:12" x14ac:dyDescent="0.25">
      <c r="A113" s="279">
        <v>20</v>
      </c>
      <c r="B113" s="61" t="s">
        <v>1240</v>
      </c>
      <c r="C113" s="62">
        <v>5000</v>
      </c>
      <c r="D113" s="316">
        <v>1226.98</v>
      </c>
      <c r="E113" s="62">
        <v>39</v>
      </c>
      <c r="F113" s="61"/>
      <c r="G113" s="289">
        <f t="shared" si="19"/>
        <v>39</v>
      </c>
      <c r="H113" s="61"/>
      <c r="I113" s="251">
        <f t="shared" si="20"/>
        <v>39</v>
      </c>
      <c r="J113" s="251">
        <f t="shared" si="21"/>
        <v>195000</v>
      </c>
      <c r="K113" s="290">
        <f t="shared" si="22"/>
        <v>47852.22</v>
      </c>
      <c r="L113" s="215"/>
    </row>
    <row r="114" spans="1:12" x14ac:dyDescent="0.25">
      <c r="A114" s="279">
        <v>21</v>
      </c>
      <c r="B114" s="61" t="s">
        <v>294</v>
      </c>
      <c r="C114" s="62">
        <v>8000</v>
      </c>
      <c r="D114" s="316">
        <v>1842.98</v>
      </c>
      <c r="E114" s="62">
        <v>138</v>
      </c>
      <c r="F114" s="61"/>
      <c r="G114" s="289">
        <f t="shared" si="19"/>
        <v>138</v>
      </c>
      <c r="H114" s="61"/>
      <c r="I114" s="251">
        <f t="shared" si="20"/>
        <v>138</v>
      </c>
      <c r="J114" s="251">
        <f t="shared" si="21"/>
        <v>1104000</v>
      </c>
      <c r="K114" s="290">
        <f t="shared" si="22"/>
        <v>254331.24</v>
      </c>
      <c r="L114" s="215"/>
    </row>
    <row r="115" spans="1:12" x14ac:dyDescent="0.25">
      <c r="A115" s="279">
        <v>22</v>
      </c>
      <c r="B115" s="61" t="s">
        <v>295</v>
      </c>
      <c r="C115" s="62">
        <v>7000</v>
      </c>
      <c r="D115" s="316">
        <v>1508.95</v>
      </c>
      <c r="E115" s="62">
        <v>204</v>
      </c>
      <c r="F115" s="61"/>
      <c r="G115" s="289">
        <f t="shared" si="19"/>
        <v>204</v>
      </c>
      <c r="H115" s="61"/>
      <c r="I115" s="251">
        <f t="shared" si="20"/>
        <v>204</v>
      </c>
      <c r="J115" s="251">
        <f t="shared" si="21"/>
        <v>1428000</v>
      </c>
      <c r="K115" s="290">
        <f t="shared" si="22"/>
        <v>307825.8</v>
      </c>
      <c r="L115" s="215"/>
    </row>
    <row r="116" spans="1:12" x14ac:dyDescent="0.25">
      <c r="A116" s="279">
        <v>23</v>
      </c>
      <c r="B116" s="61" t="s">
        <v>296</v>
      </c>
      <c r="C116" s="62">
        <v>12000</v>
      </c>
      <c r="D116" s="316">
        <v>1160.19</v>
      </c>
      <c r="E116" s="62">
        <v>75</v>
      </c>
      <c r="F116" s="61"/>
      <c r="G116" s="289">
        <f t="shared" si="19"/>
        <v>75</v>
      </c>
      <c r="H116" s="61"/>
      <c r="I116" s="251">
        <f t="shared" si="20"/>
        <v>75</v>
      </c>
      <c r="J116" s="251">
        <f t="shared" si="21"/>
        <v>900000</v>
      </c>
      <c r="K116" s="290">
        <f t="shared" si="22"/>
        <v>87014.25</v>
      </c>
      <c r="L116" s="215"/>
    </row>
    <row r="117" spans="1:12" x14ac:dyDescent="0.25">
      <c r="A117" s="279">
        <v>24</v>
      </c>
      <c r="B117" s="61" t="s">
        <v>297</v>
      </c>
      <c r="C117" s="62">
        <v>7000</v>
      </c>
      <c r="D117" s="316">
        <v>1160.19</v>
      </c>
      <c r="E117" s="62">
        <v>116</v>
      </c>
      <c r="F117" s="61"/>
      <c r="G117" s="289">
        <f t="shared" si="19"/>
        <v>116</v>
      </c>
      <c r="H117" s="61"/>
      <c r="I117" s="251">
        <f t="shared" si="20"/>
        <v>116</v>
      </c>
      <c r="J117" s="251">
        <f t="shared" si="21"/>
        <v>812000</v>
      </c>
      <c r="K117" s="290">
        <f t="shared" si="22"/>
        <v>134582.04</v>
      </c>
      <c r="L117" s="215"/>
    </row>
    <row r="118" spans="1:12" x14ac:dyDescent="0.25">
      <c r="A118" s="279">
        <v>25</v>
      </c>
      <c r="B118" s="61" t="s">
        <v>298</v>
      </c>
      <c r="C118" s="62">
        <v>12000</v>
      </c>
      <c r="D118" s="316">
        <v>1160.19</v>
      </c>
      <c r="E118" s="62">
        <v>65</v>
      </c>
      <c r="F118" s="61"/>
      <c r="G118" s="289">
        <f t="shared" si="19"/>
        <v>65</v>
      </c>
      <c r="H118" s="61"/>
      <c r="I118" s="251">
        <f t="shared" si="20"/>
        <v>65</v>
      </c>
      <c r="J118" s="251">
        <f t="shared" si="21"/>
        <v>780000</v>
      </c>
      <c r="K118" s="290">
        <f t="shared" si="22"/>
        <v>75412.350000000006</v>
      </c>
      <c r="L118" s="215"/>
    </row>
    <row r="119" spans="1:12" x14ac:dyDescent="0.25">
      <c r="A119" s="279">
        <v>26</v>
      </c>
      <c r="B119" s="61" t="s">
        <v>299</v>
      </c>
      <c r="C119" s="62">
        <v>6500</v>
      </c>
      <c r="D119" s="316">
        <v>1160.19</v>
      </c>
      <c r="E119" s="62">
        <v>105</v>
      </c>
      <c r="F119" s="61"/>
      <c r="G119" s="289">
        <f t="shared" si="19"/>
        <v>105</v>
      </c>
      <c r="H119" s="61"/>
      <c r="I119" s="251">
        <f t="shared" si="20"/>
        <v>105</v>
      </c>
      <c r="J119" s="251">
        <f t="shared" si="21"/>
        <v>682500</v>
      </c>
      <c r="K119" s="290">
        <f t="shared" si="22"/>
        <v>121819.95000000001</v>
      </c>
      <c r="L119" s="215"/>
    </row>
    <row r="120" spans="1:12" ht="15.75" thickBot="1" x14ac:dyDescent="0.3">
      <c r="A120" s="280">
        <v>27</v>
      </c>
      <c r="B120" s="281" t="s">
        <v>300</v>
      </c>
      <c r="C120" s="282">
        <v>15000</v>
      </c>
      <c r="D120" s="317">
        <f>+D119+7000</f>
        <v>8160.1900000000005</v>
      </c>
      <c r="E120" s="282">
        <v>108</v>
      </c>
      <c r="F120" s="281"/>
      <c r="G120" s="295">
        <f t="shared" si="19"/>
        <v>108</v>
      </c>
      <c r="H120" s="281"/>
      <c r="I120" s="322">
        <f t="shared" si="20"/>
        <v>108</v>
      </c>
      <c r="J120" s="322">
        <f t="shared" si="21"/>
        <v>1620000</v>
      </c>
      <c r="K120" s="323">
        <f t="shared" si="22"/>
        <v>881300.52</v>
      </c>
      <c r="L120" s="215"/>
    </row>
    <row r="121" spans="1:12" ht="15.75" thickBot="1" x14ac:dyDescent="0.3">
      <c r="A121" s="313"/>
      <c r="B121" s="96" t="s">
        <v>662</v>
      </c>
      <c r="C121" s="296"/>
      <c r="D121" s="97"/>
      <c r="E121" s="97">
        <f t="shared" ref="E121:K121" si="23">SUM(E94:E120)</f>
        <v>12670</v>
      </c>
      <c r="F121" s="97">
        <f t="shared" si="23"/>
        <v>0</v>
      </c>
      <c r="G121" s="97">
        <f t="shared" si="23"/>
        <v>12670</v>
      </c>
      <c r="H121" s="97">
        <f t="shared" si="23"/>
        <v>0</v>
      </c>
      <c r="I121" s="97">
        <f t="shared" si="23"/>
        <v>12670</v>
      </c>
      <c r="J121" s="97">
        <f t="shared" si="23"/>
        <v>104010000</v>
      </c>
      <c r="K121" s="297">
        <f t="shared" si="23"/>
        <v>38610216.95000001</v>
      </c>
      <c r="L121" s="151"/>
    </row>
    <row r="122" spans="1:12" ht="15.75" thickBot="1" x14ac:dyDescent="0.3">
      <c r="A122" s="298"/>
      <c r="B122" s="138"/>
      <c r="C122" s="139"/>
      <c r="D122" s="140"/>
      <c r="E122" s="141"/>
      <c r="F122" s="138"/>
      <c r="G122" s="141"/>
      <c r="H122" s="141"/>
      <c r="I122" s="141"/>
      <c r="J122" s="141"/>
      <c r="K122" s="140"/>
      <c r="L122" s="140"/>
    </row>
    <row r="123" spans="1:12" ht="15.75" thickBot="1" x14ac:dyDescent="0.3">
      <c r="A123" s="418" t="s">
        <v>653</v>
      </c>
      <c r="B123" s="421" t="s">
        <v>704</v>
      </c>
      <c r="C123" s="421" t="s">
        <v>1</v>
      </c>
      <c r="D123" s="422" t="s">
        <v>645</v>
      </c>
      <c r="E123" s="423" t="s">
        <v>19</v>
      </c>
      <c r="F123" s="423"/>
      <c r="G123" s="423"/>
      <c r="H123" s="423"/>
      <c r="I123" s="423"/>
      <c r="J123" s="416" t="s">
        <v>20</v>
      </c>
      <c r="K123" s="418" t="s">
        <v>598</v>
      </c>
      <c r="L123" s="213"/>
    </row>
    <row r="124" spans="1:12" ht="30.75" thickBot="1" x14ac:dyDescent="0.3">
      <c r="A124" s="420"/>
      <c r="B124" s="421"/>
      <c r="C124" s="421"/>
      <c r="D124" s="422"/>
      <c r="E124" s="272" t="s">
        <v>21</v>
      </c>
      <c r="F124" s="272" t="s">
        <v>596</v>
      </c>
      <c r="G124" s="272" t="s">
        <v>597</v>
      </c>
      <c r="H124" s="272" t="s">
        <v>585</v>
      </c>
      <c r="I124" s="272" t="s">
        <v>597</v>
      </c>
      <c r="J124" s="417"/>
      <c r="K124" s="419"/>
      <c r="L124" s="213"/>
    </row>
    <row r="125" spans="1:12" ht="15.75" thickBot="1" x14ac:dyDescent="0.3">
      <c r="A125" s="419"/>
      <c r="B125" s="273">
        <v>1</v>
      </c>
      <c r="C125" s="273">
        <v>2</v>
      </c>
      <c r="D125" s="273">
        <v>3</v>
      </c>
      <c r="E125" s="274">
        <v>4</v>
      </c>
      <c r="F125" s="274">
        <f>+E125+1</f>
        <v>5</v>
      </c>
      <c r="G125" s="274" t="s">
        <v>648</v>
      </c>
      <c r="H125" s="274">
        <v>7</v>
      </c>
      <c r="I125" s="275" t="s">
        <v>647</v>
      </c>
      <c r="J125" s="287" t="s">
        <v>646</v>
      </c>
      <c r="K125" s="287" t="s">
        <v>649</v>
      </c>
      <c r="L125" s="214"/>
    </row>
    <row r="126" spans="1:12" x14ac:dyDescent="0.25">
      <c r="A126" s="288"/>
      <c r="B126" s="276" t="s">
        <v>699</v>
      </c>
      <c r="C126" s="288"/>
      <c r="D126" s="288"/>
      <c r="E126" s="288"/>
      <c r="F126" s="288"/>
      <c r="G126" s="288"/>
      <c r="H126" s="288"/>
      <c r="I126" s="288"/>
      <c r="J126" s="288"/>
      <c r="K126" s="288"/>
      <c r="L126" s="114"/>
    </row>
    <row r="127" spans="1:12" x14ac:dyDescent="0.25">
      <c r="A127" s="279">
        <v>1</v>
      </c>
      <c r="B127" s="61" t="s">
        <v>301</v>
      </c>
      <c r="C127" s="62">
        <v>5000</v>
      </c>
      <c r="D127" s="316">
        <v>1151.21</v>
      </c>
      <c r="E127" s="62">
        <v>0</v>
      </c>
      <c r="F127" s="61"/>
      <c r="G127" s="289">
        <f t="shared" ref="G127:G181" si="24">+E127+F127</f>
        <v>0</v>
      </c>
      <c r="H127" s="61">
        <f>22-22</f>
        <v>0</v>
      </c>
      <c r="I127" s="251">
        <f t="shared" ref="I127:I181" si="25">+G127-H127</f>
        <v>0</v>
      </c>
      <c r="J127" s="251">
        <f t="shared" ref="J127:J181" si="26">I127*C127</f>
        <v>0</v>
      </c>
      <c r="K127" s="290">
        <f t="shared" ref="K127:K181" si="27">+D127*I127</f>
        <v>0</v>
      </c>
      <c r="L127" s="215"/>
    </row>
    <row r="128" spans="1:12" x14ac:dyDescent="0.25">
      <c r="A128" s="279">
        <v>2</v>
      </c>
      <c r="B128" s="61" t="s">
        <v>302</v>
      </c>
      <c r="C128" s="62">
        <v>5000</v>
      </c>
      <c r="D128" s="316">
        <v>1261.21</v>
      </c>
      <c r="E128" s="62">
        <v>0</v>
      </c>
      <c r="F128" s="61"/>
      <c r="G128" s="289">
        <f t="shared" si="24"/>
        <v>0</v>
      </c>
      <c r="H128" s="61">
        <f>11-11</f>
        <v>0</v>
      </c>
      <c r="I128" s="251">
        <f t="shared" si="25"/>
        <v>0</v>
      </c>
      <c r="J128" s="251">
        <f t="shared" si="26"/>
        <v>0</v>
      </c>
      <c r="K128" s="290">
        <f t="shared" si="27"/>
        <v>0</v>
      </c>
      <c r="L128" s="215"/>
    </row>
    <row r="129" spans="1:14" x14ac:dyDescent="0.25">
      <c r="A129" s="279">
        <v>3</v>
      </c>
      <c r="B129" s="61" t="s">
        <v>303</v>
      </c>
      <c r="C129" s="62">
        <v>8000</v>
      </c>
      <c r="D129" s="316">
        <v>1920.45</v>
      </c>
      <c r="E129" s="62">
        <v>157</v>
      </c>
      <c r="F129" s="61"/>
      <c r="G129" s="289">
        <f t="shared" si="24"/>
        <v>157</v>
      </c>
      <c r="H129" s="61"/>
      <c r="I129" s="251">
        <f t="shared" si="25"/>
        <v>157</v>
      </c>
      <c r="J129" s="251">
        <f t="shared" si="26"/>
        <v>1256000</v>
      </c>
      <c r="K129" s="290">
        <f t="shared" si="27"/>
        <v>301510.65000000002</v>
      </c>
      <c r="L129" s="215"/>
    </row>
    <row r="130" spans="1:14" x14ac:dyDescent="0.25">
      <c r="A130" s="279">
        <v>4</v>
      </c>
      <c r="B130" s="61" t="s">
        <v>304</v>
      </c>
      <c r="C130" s="62">
        <v>7000</v>
      </c>
      <c r="D130" s="316">
        <v>2812.06</v>
      </c>
      <c r="E130" s="62">
        <v>332</v>
      </c>
      <c r="F130" s="61"/>
      <c r="G130" s="289">
        <f t="shared" si="24"/>
        <v>332</v>
      </c>
      <c r="H130" s="61"/>
      <c r="I130" s="251">
        <f t="shared" si="25"/>
        <v>332</v>
      </c>
      <c r="J130" s="251">
        <f t="shared" si="26"/>
        <v>2324000</v>
      </c>
      <c r="K130" s="290">
        <f t="shared" si="27"/>
        <v>933603.91999999993</v>
      </c>
      <c r="L130" s="215"/>
    </row>
    <row r="131" spans="1:14" x14ac:dyDescent="0.25">
      <c r="A131" s="279">
        <v>5</v>
      </c>
      <c r="B131" s="358" t="s">
        <v>305</v>
      </c>
      <c r="C131" s="62">
        <v>5000</v>
      </c>
      <c r="D131" s="316">
        <v>1151.21</v>
      </c>
      <c r="E131" s="62">
        <v>0</v>
      </c>
      <c r="F131" s="61"/>
      <c r="G131" s="289">
        <f t="shared" si="24"/>
        <v>0</v>
      </c>
      <c r="H131" s="61">
        <f>17-17</f>
        <v>0</v>
      </c>
      <c r="I131" s="251">
        <f t="shared" si="25"/>
        <v>0</v>
      </c>
      <c r="J131" s="251">
        <f t="shared" si="26"/>
        <v>0</v>
      </c>
      <c r="K131" s="290">
        <f t="shared" si="27"/>
        <v>0</v>
      </c>
      <c r="L131" s="215"/>
    </row>
    <row r="132" spans="1:14" x14ac:dyDescent="0.25">
      <c r="A132" s="279">
        <v>6</v>
      </c>
      <c r="B132" s="61" t="s">
        <v>306</v>
      </c>
      <c r="C132" s="62">
        <v>12000</v>
      </c>
      <c r="D132" s="316">
        <v>1686.73</v>
      </c>
      <c r="E132" s="62">
        <v>278</v>
      </c>
      <c r="F132" s="61"/>
      <c r="G132" s="289">
        <f t="shared" si="24"/>
        <v>278</v>
      </c>
      <c r="H132" s="61"/>
      <c r="I132" s="251">
        <f t="shared" si="25"/>
        <v>278</v>
      </c>
      <c r="J132" s="251">
        <f t="shared" si="26"/>
        <v>3336000</v>
      </c>
      <c r="K132" s="290">
        <f t="shared" si="27"/>
        <v>468910.94</v>
      </c>
      <c r="L132" s="215"/>
    </row>
    <row r="133" spans="1:14" x14ac:dyDescent="0.25">
      <c r="A133" s="279">
        <v>7</v>
      </c>
      <c r="B133" s="61" t="s">
        <v>307</v>
      </c>
      <c r="C133" s="62">
        <v>5000</v>
      </c>
      <c r="D133" s="316">
        <v>1151.21</v>
      </c>
      <c r="E133" s="62">
        <v>0</v>
      </c>
      <c r="F133" s="61"/>
      <c r="G133" s="289">
        <f t="shared" si="24"/>
        <v>0</v>
      </c>
      <c r="H133" s="61">
        <f>24-24</f>
        <v>0</v>
      </c>
      <c r="I133" s="251">
        <f t="shared" si="25"/>
        <v>0</v>
      </c>
      <c r="J133" s="251">
        <f t="shared" si="26"/>
        <v>0</v>
      </c>
      <c r="K133" s="290">
        <f t="shared" si="27"/>
        <v>0</v>
      </c>
      <c r="L133" s="215"/>
    </row>
    <row r="134" spans="1:14" x14ac:dyDescent="0.25">
      <c r="A134" s="279">
        <v>8</v>
      </c>
      <c r="B134" s="61" t="s">
        <v>308</v>
      </c>
      <c r="C134" s="62">
        <v>12000</v>
      </c>
      <c r="D134" s="316">
        <v>2457.94</v>
      </c>
      <c r="E134" s="62">
        <v>134</v>
      </c>
      <c r="F134" s="61"/>
      <c r="G134" s="289">
        <f t="shared" si="24"/>
        <v>134</v>
      </c>
      <c r="H134" s="61">
        <f>1-1</f>
        <v>0</v>
      </c>
      <c r="I134" s="251">
        <f t="shared" si="25"/>
        <v>134</v>
      </c>
      <c r="J134" s="251">
        <f t="shared" si="26"/>
        <v>1608000</v>
      </c>
      <c r="K134" s="290">
        <f t="shared" si="27"/>
        <v>329363.96000000002</v>
      </c>
      <c r="L134" s="215"/>
      <c r="N134" s="40" t="s">
        <v>903</v>
      </c>
    </row>
    <row r="135" spans="1:14" x14ac:dyDescent="0.25">
      <c r="A135" s="279">
        <v>9</v>
      </c>
      <c r="B135" s="61" t="s">
        <v>309</v>
      </c>
      <c r="C135" s="62">
        <v>5000</v>
      </c>
      <c r="D135" s="316">
        <v>1261.21</v>
      </c>
      <c r="E135" s="62">
        <v>46</v>
      </c>
      <c r="F135" s="61"/>
      <c r="G135" s="289">
        <f t="shared" si="24"/>
        <v>46</v>
      </c>
      <c r="H135" s="61"/>
      <c r="I135" s="251">
        <f t="shared" si="25"/>
        <v>46</v>
      </c>
      <c r="J135" s="251">
        <f t="shared" si="26"/>
        <v>230000</v>
      </c>
      <c r="K135" s="290">
        <f t="shared" si="27"/>
        <v>58015.66</v>
      </c>
      <c r="L135" s="215"/>
    </row>
    <row r="136" spans="1:14" x14ac:dyDescent="0.25">
      <c r="A136" s="279">
        <v>10</v>
      </c>
      <c r="B136" s="61" t="s">
        <v>310</v>
      </c>
      <c r="C136" s="62">
        <v>12000</v>
      </c>
      <c r="D136" s="316">
        <v>1686.73</v>
      </c>
      <c r="E136" s="62">
        <v>291</v>
      </c>
      <c r="F136" s="61"/>
      <c r="G136" s="289">
        <f t="shared" si="24"/>
        <v>291</v>
      </c>
      <c r="H136" s="61"/>
      <c r="I136" s="251">
        <f t="shared" si="25"/>
        <v>291</v>
      </c>
      <c r="J136" s="251">
        <f t="shared" si="26"/>
        <v>3492000</v>
      </c>
      <c r="K136" s="290">
        <f t="shared" si="27"/>
        <v>490838.43</v>
      </c>
      <c r="L136" s="215"/>
    </row>
    <row r="137" spans="1:14" x14ac:dyDescent="0.25">
      <c r="A137" s="279">
        <v>11</v>
      </c>
      <c r="B137" s="61" t="s">
        <v>311</v>
      </c>
      <c r="C137" s="62">
        <v>7000</v>
      </c>
      <c r="D137" s="316">
        <v>1407.72</v>
      </c>
      <c r="E137" s="62">
        <v>77</v>
      </c>
      <c r="F137" s="61"/>
      <c r="G137" s="289">
        <f t="shared" si="24"/>
        <v>77</v>
      </c>
      <c r="H137" s="61"/>
      <c r="I137" s="251">
        <f t="shared" si="25"/>
        <v>77</v>
      </c>
      <c r="J137" s="251">
        <f t="shared" si="26"/>
        <v>539000</v>
      </c>
      <c r="K137" s="290">
        <f t="shared" si="27"/>
        <v>108394.44</v>
      </c>
      <c r="L137" s="215"/>
    </row>
    <row r="138" spans="1:14" x14ac:dyDescent="0.25">
      <c r="A138" s="279">
        <v>12</v>
      </c>
      <c r="B138" s="61" t="s">
        <v>312</v>
      </c>
      <c r="C138" s="62">
        <v>30000</v>
      </c>
      <c r="D138" s="316">
        <v>3099.4</v>
      </c>
      <c r="E138" s="62">
        <v>134</v>
      </c>
      <c r="F138" s="61"/>
      <c r="G138" s="289">
        <f t="shared" si="24"/>
        <v>134</v>
      </c>
      <c r="H138" s="61"/>
      <c r="I138" s="251">
        <f t="shared" si="25"/>
        <v>134</v>
      </c>
      <c r="J138" s="251">
        <f t="shared" si="26"/>
        <v>4020000</v>
      </c>
      <c r="K138" s="290">
        <f t="shared" si="27"/>
        <v>415319.60000000003</v>
      </c>
      <c r="L138" s="215"/>
    </row>
    <row r="139" spans="1:14" x14ac:dyDescent="0.25">
      <c r="A139" s="279">
        <v>13</v>
      </c>
      <c r="B139" s="61" t="s">
        <v>313</v>
      </c>
      <c r="C139" s="62">
        <v>5000</v>
      </c>
      <c r="D139" s="316">
        <v>1688.76</v>
      </c>
      <c r="E139" s="62">
        <v>143</v>
      </c>
      <c r="F139" s="61">
        <f>22-22</f>
        <v>0</v>
      </c>
      <c r="G139" s="289">
        <f t="shared" si="24"/>
        <v>143</v>
      </c>
      <c r="H139" s="61">
        <f>22-22</f>
        <v>0</v>
      </c>
      <c r="I139" s="251">
        <f t="shared" si="25"/>
        <v>143</v>
      </c>
      <c r="J139" s="251">
        <f t="shared" si="26"/>
        <v>715000</v>
      </c>
      <c r="K139" s="290">
        <f t="shared" si="27"/>
        <v>241492.68</v>
      </c>
      <c r="L139" s="215"/>
    </row>
    <row r="140" spans="1:14" x14ac:dyDescent="0.25">
      <c r="A140" s="279">
        <v>14</v>
      </c>
      <c r="B140" s="61" t="s">
        <v>314</v>
      </c>
      <c r="C140" s="62">
        <v>5000</v>
      </c>
      <c r="D140" s="316">
        <v>1496.26</v>
      </c>
      <c r="E140" s="62">
        <v>0</v>
      </c>
      <c r="F140" s="61"/>
      <c r="G140" s="289">
        <f t="shared" si="24"/>
        <v>0</v>
      </c>
      <c r="H140" s="61">
        <f>20-20</f>
        <v>0</v>
      </c>
      <c r="I140" s="251">
        <f t="shared" si="25"/>
        <v>0</v>
      </c>
      <c r="J140" s="251">
        <f t="shared" si="26"/>
        <v>0</v>
      </c>
      <c r="K140" s="290">
        <f t="shared" si="27"/>
        <v>0</v>
      </c>
      <c r="L140" s="215"/>
    </row>
    <row r="141" spans="1:14" x14ac:dyDescent="0.25">
      <c r="A141" s="279">
        <v>15</v>
      </c>
      <c r="B141" s="61" t="s">
        <v>315</v>
      </c>
      <c r="C141" s="62">
        <v>8000</v>
      </c>
      <c r="D141" s="316">
        <v>1508.07</v>
      </c>
      <c r="E141" s="62">
        <v>1119</v>
      </c>
      <c r="F141" s="61"/>
      <c r="G141" s="289">
        <f t="shared" si="24"/>
        <v>1119</v>
      </c>
      <c r="H141" s="61"/>
      <c r="I141" s="251">
        <f t="shared" si="25"/>
        <v>1119</v>
      </c>
      <c r="J141" s="251">
        <f t="shared" si="26"/>
        <v>8952000</v>
      </c>
      <c r="K141" s="290">
        <f t="shared" si="27"/>
        <v>1687530.3299999998</v>
      </c>
      <c r="L141" s="215"/>
    </row>
    <row r="142" spans="1:14" x14ac:dyDescent="0.25">
      <c r="A142" s="279">
        <v>16</v>
      </c>
      <c r="B142" s="285" t="s">
        <v>316</v>
      </c>
      <c r="C142" s="62">
        <v>5000</v>
      </c>
      <c r="D142" s="316">
        <v>1386.26</v>
      </c>
      <c r="E142" s="62">
        <v>42</v>
      </c>
      <c r="F142" s="61"/>
      <c r="G142" s="289">
        <f t="shared" si="24"/>
        <v>42</v>
      </c>
      <c r="H142" s="61"/>
      <c r="I142" s="251">
        <f t="shared" si="25"/>
        <v>42</v>
      </c>
      <c r="J142" s="251">
        <f t="shared" si="26"/>
        <v>210000</v>
      </c>
      <c r="K142" s="290">
        <f t="shared" si="27"/>
        <v>58222.92</v>
      </c>
      <c r="L142" s="215"/>
    </row>
    <row r="143" spans="1:14" x14ac:dyDescent="0.25">
      <c r="A143" s="279">
        <v>17</v>
      </c>
      <c r="B143" s="61" t="s">
        <v>317</v>
      </c>
      <c r="C143" s="62">
        <v>5000</v>
      </c>
      <c r="D143" s="316">
        <v>1345</v>
      </c>
      <c r="E143" s="62">
        <v>133</v>
      </c>
      <c r="F143" s="61">
        <f>30-30</f>
        <v>0</v>
      </c>
      <c r="G143" s="289">
        <f t="shared" si="24"/>
        <v>133</v>
      </c>
      <c r="H143" s="61">
        <f>30-30</f>
        <v>0</v>
      </c>
      <c r="I143" s="251">
        <f t="shared" si="25"/>
        <v>133</v>
      </c>
      <c r="J143" s="251">
        <f t="shared" si="26"/>
        <v>665000</v>
      </c>
      <c r="K143" s="290">
        <f t="shared" si="27"/>
        <v>178885</v>
      </c>
      <c r="L143" s="215"/>
    </row>
    <row r="144" spans="1:14" x14ac:dyDescent="0.25">
      <c r="A144" s="279">
        <v>18</v>
      </c>
      <c r="B144" s="285" t="s">
        <v>318</v>
      </c>
      <c r="C144" s="62">
        <v>7000</v>
      </c>
      <c r="D144" s="316">
        <v>1795</v>
      </c>
      <c r="E144" s="62">
        <v>245</v>
      </c>
      <c r="F144" s="61"/>
      <c r="G144" s="289">
        <f t="shared" si="24"/>
        <v>245</v>
      </c>
      <c r="H144" s="61"/>
      <c r="I144" s="251">
        <f t="shared" si="25"/>
        <v>245</v>
      </c>
      <c r="J144" s="251">
        <f t="shared" si="26"/>
        <v>1715000</v>
      </c>
      <c r="K144" s="290">
        <f t="shared" si="27"/>
        <v>439775</v>
      </c>
      <c r="L144" s="215"/>
    </row>
    <row r="145" spans="1:12" x14ac:dyDescent="0.25">
      <c r="A145" s="279">
        <v>19</v>
      </c>
      <c r="B145" s="352" t="s">
        <v>319</v>
      </c>
      <c r="C145" s="62">
        <v>5000</v>
      </c>
      <c r="D145" s="316">
        <v>1261.21</v>
      </c>
      <c r="E145" s="62">
        <v>140</v>
      </c>
      <c r="F145" s="61"/>
      <c r="G145" s="289">
        <f t="shared" si="24"/>
        <v>140</v>
      </c>
      <c r="H145" s="61"/>
      <c r="I145" s="251">
        <f t="shared" si="25"/>
        <v>140</v>
      </c>
      <c r="J145" s="251">
        <f t="shared" si="26"/>
        <v>700000</v>
      </c>
      <c r="K145" s="290">
        <f t="shared" si="27"/>
        <v>176569.4</v>
      </c>
      <c r="L145" s="215"/>
    </row>
    <row r="146" spans="1:12" x14ac:dyDescent="0.25">
      <c r="A146" s="279">
        <v>20</v>
      </c>
      <c r="B146" s="61" t="s">
        <v>320</v>
      </c>
      <c r="C146" s="62">
        <v>8000</v>
      </c>
      <c r="D146" s="316">
        <v>2060.62</v>
      </c>
      <c r="E146" s="62">
        <v>143</v>
      </c>
      <c r="F146" s="61"/>
      <c r="G146" s="289">
        <f t="shared" si="24"/>
        <v>143</v>
      </c>
      <c r="H146" s="61"/>
      <c r="I146" s="251">
        <f t="shared" si="25"/>
        <v>143</v>
      </c>
      <c r="J146" s="251">
        <f t="shared" si="26"/>
        <v>1144000</v>
      </c>
      <c r="K146" s="290">
        <f t="shared" si="27"/>
        <v>294668.65999999997</v>
      </c>
      <c r="L146" s="215"/>
    </row>
    <row r="147" spans="1:12" x14ac:dyDescent="0.25">
      <c r="A147" s="279">
        <v>21</v>
      </c>
      <c r="B147" s="61" t="s">
        <v>321</v>
      </c>
      <c r="C147" s="62">
        <v>8000</v>
      </c>
      <c r="D147" s="316">
        <v>1684.62</v>
      </c>
      <c r="E147" s="62">
        <v>154</v>
      </c>
      <c r="F147" s="61"/>
      <c r="G147" s="289">
        <f t="shared" si="24"/>
        <v>154</v>
      </c>
      <c r="H147" s="61"/>
      <c r="I147" s="251">
        <f t="shared" si="25"/>
        <v>154</v>
      </c>
      <c r="J147" s="251">
        <f t="shared" si="26"/>
        <v>1232000</v>
      </c>
      <c r="K147" s="290">
        <f t="shared" si="27"/>
        <v>259431.47999999998</v>
      </c>
      <c r="L147" s="215"/>
    </row>
    <row r="148" spans="1:12" x14ac:dyDescent="0.25">
      <c r="A148" s="279">
        <v>22</v>
      </c>
      <c r="B148" s="61" t="s">
        <v>322</v>
      </c>
      <c r="C148" s="62">
        <v>5000</v>
      </c>
      <c r="D148" s="316">
        <v>1261.21</v>
      </c>
      <c r="E148" s="62">
        <v>0</v>
      </c>
      <c r="F148" s="61"/>
      <c r="G148" s="289">
        <f t="shared" si="24"/>
        <v>0</v>
      </c>
      <c r="H148" s="61">
        <f>14-14</f>
        <v>0</v>
      </c>
      <c r="I148" s="251">
        <f t="shared" si="25"/>
        <v>0</v>
      </c>
      <c r="J148" s="251">
        <f t="shared" si="26"/>
        <v>0</v>
      </c>
      <c r="K148" s="290">
        <f t="shared" si="27"/>
        <v>0</v>
      </c>
      <c r="L148" s="215"/>
    </row>
    <row r="149" spans="1:12" x14ac:dyDescent="0.25">
      <c r="A149" s="279">
        <v>23</v>
      </c>
      <c r="B149" s="285" t="s">
        <v>323</v>
      </c>
      <c r="C149" s="62">
        <v>4500</v>
      </c>
      <c r="D149" s="316">
        <v>1602.87</v>
      </c>
      <c r="E149" s="62">
        <v>497</v>
      </c>
      <c r="F149" s="61"/>
      <c r="G149" s="289">
        <f t="shared" si="24"/>
        <v>497</v>
      </c>
      <c r="H149" s="61"/>
      <c r="I149" s="251">
        <f t="shared" si="25"/>
        <v>497</v>
      </c>
      <c r="J149" s="251">
        <f t="shared" si="26"/>
        <v>2236500</v>
      </c>
      <c r="K149" s="290">
        <f t="shared" si="27"/>
        <v>796626.3899999999</v>
      </c>
      <c r="L149" s="215"/>
    </row>
    <row r="150" spans="1:12" x14ac:dyDescent="0.25">
      <c r="A150" s="279">
        <v>24</v>
      </c>
      <c r="B150" s="285" t="s">
        <v>324</v>
      </c>
      <c r="C150" s="62">
        <v>4500</v>
      </c>
      <c r="D150" s="316">
        <v>1602.87</v>
      </c>
      <c r="E150" s="62">
        <v>497</v>
      </c>
      <c r="F150" s="61"/>
      <c r="G150" s="289">
        <f t="shared" si="24"/>
        <v>497</v>
      </c>
      <c r="H150" s="61"/>
      <c r="I150" s="251">
        <f t="shared" si="25"/>
        <v>497</v>
      </c>
      <c r="J150" s="251">
        <f t="shared" si="26"/>
        <v>2236500</v>
      </c>
      <c r="K150" s="290">
        <f t="shared" si="27"/>
        <v>796626.3899999999</v>
      </c>
      <c r="L150" s="215"/>
    </row>
    <row r="151" spans="1:12" x14ac:dyDescent="0.25">
      <c r="A151" s="279">
        <v>25</v>
      </c>
      <c r="B151" s="285" t="s">
        <v>325</v>
      </c>
      <c r="C151" s="62">
        <v>4500</v>
      </c>
      <c r="D151" s="316">
        <v>1602.87</v>
      </c>
      <c r="E151" s="62">
        <v>497</v>
      </c>
      <c r="F151" s="61"/>
      <c r="G151" s="289">
        <f t="shared" si="24"/>
        <v>497</v>
      </c>
      <c r="H151" s="61"/>
      <c r="I151" s="251">
        <f t="shared" si="25"/>
        <v>497</v>
      </c>
      <c r="J151" s="251">
        <f t="shared" si="26"/>
        <v>2236500</v>
      </c>
      <c r="K151" s="290">
        <f t="shared" si="27"/>
        <v>796626.3899999999</v>
      </c>
      <c r="L151" s="215"/>
    </row>
    <row r="152" spans="1:12" x14ac:dyDescent="0.25">
      <c r="A152" s="279">
        <v>26</v>
      </c>
      <c r="B152" s="285" t="s">
        <v>326</v>
      </c>
      <c r="C152" s="62">
        <v>4500</v>
      </c>
      <c r="D152" s="316">
        <v>1602.87</v>
      </c>
      <c r="E152" s="62">
        <v>497</v>
      </c>
      <c r="F152" s="61"/>
      <c r="G152" s="289">
        <f t="shared" si="24"/>
        <v>497</v>
      </c>
      <c r="H152" s="61"/>
      <c r="I152" s="251">
        <f t="shared" si="25"/>
        <v>497</v>
      </c>
      <c r="J152" s="251">
        <f t="shared" si="26"/>
        <v>2236500</v>
      </c>
      <c r="K152" s="290">
        <f t="shared" si="27"/>
        <v>796626.3899999999</v>
      </c>
      <c r="L152" s="215"/>
    </row>
    <row r="153" spans="1:12" x14ac:dyDescent="0.25">
      <c r="A153" s="279">
        <v>27</v>
      </c>
      <c r="B153" s="285" t="s">
        <v>327</v>
      </c>
      <c r="C153" s="62">
        <v>4500</v>
      </c>
      <c r="D153" s="316">
        <v>1602.87</v>
      </c>
      <c r="E153" s="62">
        <v>497</v>
      </c>
      <c r="F153" s="61"/>
      <c r="G153" s="289">
        <f t="shared" si="24"/>
        <v>497</v>
      </c>
      <c r="H153" s="61"/>
      <c r="I153" s="251">
        <f t="shared" si="25"/>
        <v>497</v>
      </c>
      <c r="J153" s="251">
        <f t="shared" si="26"/>
        <v>2236500</v>
      </c>
      <c r="K153" s="290">
        <f t="shared" si="27"/>
        <v>796626.3899999999</v>
      </c>
      <c r="L153" s="215"/>
    </row>
    <row r="154" spans="1:12" x14ac:dyDescent="0.25">
      <c r="A154" s="279">
        <v>28</v>
      </c>
      <c r="B154" s="285" t="s">
        <v>328</v>
      </c>
      <c r="C154" s="62">
        <v>4500</v>
      </c>
      <c r="D154" s="316">
        <v>1602.87</v>
      </c>
      <c r="E154" s="62">
        <v>497</v>
      </c>
      <c r="F154" s="61"/>
      <c r="G154" s="289">
        <f t="shared" si="24"/>
        <v>497</v>
      </c>
      <c r="H154" s="61"/>
      <c r="I154" s="251">
        <f t="shared" si="25"/>
        <v>497</v>
      </c>
      <c r="J154" s="251">
        <f t="shared" si="26"/>
        <v>2236500</v>
      </c>
      <c r="K154" s="290">
        <f t="shared" si="27"/>
        <v>796626.3899999999</v>
      </c>
      <c r="L154" s="215"/>
    </row>
    <row r="155" spans="1:12" x14ac:dyDescent="0.25">
      <c r="A155" s="279">
        <v>29</v>
      </c>
      <c r="B155" s="285" t="s">
        <v>329</v>
      </c>
      <c r="C155" s="62">
        <v>4500</v>
      </c>
      <c r="D155" s="316">
        <v>1602.87</v>
      </c>
      <c r="E155" s="62">
        <v>497</v>
      </c>
      <c r="F155" s="61"/>
      <c r="G155" s="289">
        <f t="shared" si="24"/>
        <v>497</v>
      </c>
      <c r="H155" s="61"/>
      <c r="I155" s="251">
        <f t="shared" si="25"/>
        <v>497</v>
      </c>
      <c r="J155" s="251">
        <f t="shared" si="26"/>
        <v>2236500</v>
      </c>
      <c r="K155" s="290">
        <f t="shared" si="27"/>
        <v>796626.3899999999</v>
      </c>
      <c r="L155" s="215"/>
    </row>
    <row r="156" spans="1:12" x14ac:dyDescent="0.25">
      <c r="A156" s="279">
        <v>30</v>
      </c>
      <c r="B156" s="285" t="s">
        <v>330</v>
      </c>
      <c r="C156" s="62">
        <v>4500</v>
      </c>
      <c r="D156" s="316">
        <v>1602.87</v>
      </c>
      <c r="E156" s="62">
        <v>497</v>
      </c>
      <c r="F156" s="61"/>
      <c r="G156" s="289">
        <f t="shared" si="24"/>
        <v>497</v>
      </c>
      <c r="H156" s="61"/>
      <c r="I156" s="251">
        <f t="shared" si="25"/>
        <v>497</v>
      </c>
      <c r="J156" s="251">
        <f t="shared" si="26"/>
        <v>2236500</v>
      </c>
      <c r="K156" s="290">
        <f t="shared" si="27"/>
        <v>796626.3899999999</v>
      </c>
      <c r="L156" s="215"/>
    </row>
    <row r="157" spans="1:12" x14ac:dyDescent="0.25">
      <c r="A157" s="279">
        <v>31</v>
      </c>
      <c r="B157" s="285" t="s">
        <v>331</v>
      </c>
      <c r="C157" s="62">
        <v>4500</v>
      </c>
      <c r="D157" s="316">
        <v>1602.87</v>
      </c>
      <c r="E157" s="62">
        <v>497</v>
      </c>
      <c r="F157" s="61"/>
      <c r="G157" s="289">
        <f t="shared" si="24"/>
        <v>497</v>
      </c>
      <c r="H157" s="61"/>
      <c r="I157" s="251">
        <f t="shared" si="25"/>
        <v>497</v>
      </c>
      <c r="J157" s="251">
        <f t="shared" si="26"/>
        <v>2236500</v>
      </c>
      <c r="K157" s="290">
        <f t="shared" si="27"/>
        <v>796626.3899999999</v>
      </c>
      <c r="L157" s="215"/>
    </row>
    <row r="158" spans="1:12" x14ac:dyDescent="0.25">
      <c r="A158" s="279">
        <v>32</v>
      </c>
      <c r="B158" s="285" t="s">
        <v>332</v>
      </c>
      <c r="C158" s="62">
        <v>4500</v>
      </c>
      <c r="D158" s="316">
        <v>1602.87</v>
      </c>
      <c r="E158" s="62">
        <v>497</v>
      </c>
      <c r="F158" s="61"/>
      <c r="G158" s="289">
        <f t="shared" si="24"/>
        <v>497</v>
      </c>
      <c r="H158" s="61"/>
      <c r="I158" s="251">
        <f t="shared" si="25"/>
        <v>497</v>
      </c>
      <c r="J158" s="251">
        <f t="shared" si="26"/>
        <v>2236500</v>
      </c>
      <c r="K158" s="290">
        <f t="shared" si="27"/>
        <v>796626.3899999999</v>
      </c>
      <c r="L158" s="215"/>
    </row>
    <row r="159" spans="1:12" x14ac:dyDescent="0.25">
      <c r="A159" s="279">
        <v>33</v>
      </c>
      <c r="B159" s="285" t="s">
        <v>333</v>
      </c>
      <c r="C159" s="62">
        <v>4500</v>
      </c>
      <c r="D159" s="316">
        <v>1602.87</v>
      </c>
      <c r="E159" s="62">
        <v>497</v>
      </c>
      <c r="F159" s="61"/>
      <c r="G159" s="289">
        <f t="shared" si="24"/>
        <v>497</v>
      </c>
      <c r="H159" s="61"/>
      <c r="I159" s="251">
        <f t="shared" si="25"/>
        <v>497</v>
      </c>
      <c r="J159" s="251">
        <f t="shared" si="26"/>
        <v>2236500</v>
      </c>
      <c r="K159" s="290">
        <f t="shared" si="27"/>
        <v>796626.3899999999</v>
      </c>
      <c r="L159" s="215"/>
    </row>
    <row r="160" spans="1:12" x14ac:dyDescent="0.25">
      <c r="A160" s="279">
        <v>34</v>
      </c>
      <c r="B160" s="61" t="s">
        <v>334</v>
      </c>
      <c r="C160" s="62">
        <v>5000</v>
      </c>
      <c r="D160" s="316">
        <v>1261.21</v>
      </c>
      <c r="E160" s="62">
        <v>0</v>
      </c>
      <c r="F160" s="61"/>
      <c r="G160" s="289">
        <f t="shared" si="24"/>
        <v>0</v>
      </c>
      <c r="H160" s="61">
        <f>48-48</f>
        <v>0</v>
      </c>
      <c r="I160" s="251">
        <f t="shared" si="25"/>
        <v>0</v>
      </c>
      <c r="J160" s="251">
        <f t="shared" si="26"/>
        <v>0</v>
      </c>
      <c r="K160" s="290">
        <f t="shared" si="27"/>
        <v>0</v>
      </c>
      <c r="L160" s="215"/>
    </row>
    <row r="161" spans="1:12" x14ac:dyDescent="0.25">
      <c r="A161" s="279">
        <v>35</v>
      </c>
      <c r="B161" s="285" t="s">
        <v>335</v>
      </c>
      <c r="C161" s="62">
        <v>2500</v>
      </c>
      <c r="D161" s="316">
        <v>626.58000000000004</v>
      </c>
      <c r="E161" s="62">
        <v>432</v>
      </c>
      <c r="F161" s="61"/>
      <c r="G161" s="289">
        <f t="shared" si="24"/>
        <v>432</v>
      </c>
      <c r="H161" s="61"/>
      <c r="I161" s="251">
        <f t="shared" si="25"/>
        <v>432</v>
      </c>
      <c r="J161" s="251">
        <f t="shared" si="26"/>
        <v>1080000</v>
      </c>
      <c r="K161" s="290">
        <f t="shared" si="27"/>
        <v>270682.56</v>
      </c>
      <c r="L161" s="227" t="s">
        <v>998</v>
      </c>
    </row>
    <row r="162" spans="1:12" x14ac:dyDescent="0.25">
      <c r="A162" s="279">
        <v>36</v>
      </c>
      <c r="B162" s="285" t="s">
        <v>336</v>
      </c>
      <c r="C162" s="62">
        <v>2500</v>
      </c>
      <c r="D162" s="316">
        <v>626.58000000000004</v>
      </c>
      <c r="E162" s="62">
        <v>432</v>
      </c>
      <c r="F162" s="61"/>
      <c r="G162" s="289">
        <f t="shared" si="24"/>
        <v>432</v>
      </c>
      <c r="H162" s="61"/>
      <c r="I162" s="251">
        <f t="shared" si="25"/>
        <v>432</v>
      </c>
      <c r="J162" s="251">
        <f t="shared" si="26"/>
        <v>1080000</v>
      </c>
      <c r="K162" s="290">
        <f t="shared" si="27"/>
        <v>270682.56</v>
      </c>
      <c r="L162" s="215"/>
    </row>
    <row r="163" spans="1:12" x14ac:dyDescent="0.25">
      <c r="A163" s="279">
        <v>37</v>
      </c>
      <c r="B163" s="285" t="s">
        <v>337</v>
      </c>
      <c r="C163" s="62">
        <v>2500</v>
      </c>
      <c r="D163" s="316">
        <v>626.58000000000004</v>
      </c>
      <c r="E163" s="62">
        <v>432</v>
      </c>
      <c r="F163" s="61"/>
      <c r="G163" s="289">
        <f t="shared" si="24"/>
        <v>432</v>
      </c>
      <c r="H163" s="61"/>
      <c r="I163" s="251">
        <f t="shared" si="25"/>
        <v>432</v>
      </c>
      <c r="J163" s="251">
        <f t="shared" si="26"/>
        <v>1080000</v>
      </c>
      <c r="K163" s="290">
        <f t="shared" si="27"/>
        <v>270682.56</v>
      </c>
      <c r="L163" s="215"/>
    </row>
    <row r="164" spans="1:12" x14ac:dyDescent="0.25">
      <c r="A164" s="279">
        <v>38</v>
      </c>
      <c r="B164" s="285" t="s">
        <v>338</v>
      </c>
      <c r="C164" s="62">
        <v>2500</v>
      </c>
      <c r="D164" s="316">
        <v>626.58000000000004</v>
      </c>
      <c r="E164" s="62">
        <v>432</v>
      </c>
      <c r="F164" s="61"/>
      <c r="G164" s="289">
        <f t="shared" si="24"/>
        <v>432</v>
      </c>
      <c r="H164" s="61"/>
      <c r="I164" s="251">
        <f t="shared" si="25"/>
        <v>432</v>
      </c>
      <c r="J164" s="251">
        <f t="shared" si="26"/>
        <v>1080000</v>
      </c>
      <c r="K164" s="290">
        <f t="shared" si="27"/>
        <v>270682.56</v>
      </c>
      <c r="L164" s="215"/>
    </row>
    <row r="165" spans="1:12" x14ac:dyDescent="0.25">
      <c r="A165" s="279">
        <v>39</v>
      </c>
      <c r="B165" s="285" t="s">
        <v>339</v>
      </c>
      <c r="C165" s="62">
        <v>2500</v>
      </c>
      <c r="D165" s="316">
        <v>626.58000000000004</v>
      </c>
      <c r="E165" s="62">
        <v>432</v>
      </c>
      <c r="F165" s="61"/>
      <c r="G165" s="289">
        <f t="shared" si="24"/>
        <v>432</v>
      </c>
      <c r="H165" s="61"/>
      <c r="I165" s="251">
        <f t="shared" si="25"/>
        <v>432</v>
      </c>
      <c r="J165" s="251">
        <f t="shared" si="26"/>
        <v>1080000</v>
      </c>
      <c r="K165" s="290">
        <f t="shared" si="27"/>
        <v>270682.56</v>
      </c>
      <c r="L165" s="215"/>
    </row>
    <row r="166" spans="1:12" x14ac:dyDescent="0.25">
      <c r="A166" s="279">
        <v>40</v>
      </c>
      <c r="B166" s="285" t="s">
        <v>340</v>
      </c>
      <c r="C166" s="62">
        <v>2500</v>
      </c>
      <c r="D166" s="316">
        <v>626.58000000000004</v>
      </c>
      <c r="E166" s="62">
        <v>432</v>
      </c>
      <c r="F166" s="61"/>
      <c r="G166" s="289">
        <f t="shared" si="24"/>
        <v>432</v>
      </c>
      <c r="H166" s="61"/>
      <c r="I166" s="251">
        <f t="shared" si="25"/>
        <v>432</v>
      </c>
      <c r="J166" s="251">
        <f t="shared" si="26"/>
        <v>1080000</v>
      </c>
      <c r="K166" s="290">
        <f t="shared" si="27"/>
        <v>270682.56</v>
      </c>
      <c r="L166" s="215"/>
    </row>
    <row r="167" spans="1:12" x14ac:dyDescent="0.25">
      <c r="A167" s="279">
        <v>41</v>
      </c>
      <c r="B167" s="285" t="s">
        <v>341</v>
      </c>
      <c r="C167" s="62">
        <v>2500</v>
      </c>
      <c r="D167" s="316">
        <v>626.58000000000004</v>
      </c>
      <c r="E167" s="62">
        <v>432</v>
      </c>
      <c r="F167" s="61"/>
      <c r="G167" s="289">
        <f t="shared" si="24"/>
        <v>432</v>
      </c>
      <c r="H167" s="61"/>
      <c r="I167" s="251">
        <f t="shared" si="25"/>
        <v>432</v>
      </c>
      <c r="J167" s="251">
        <f t="shared" si="26"/>
        <v>1080000</v>
      </c>
      <c r="K167" s="290">
        <f t="shared" si="27"/>
        <v>270682.56</v>
      </c>
      <c r="L167" s="215"/>
    </row>
    <row r="168" spans="1:12" x14ac:dyDescent="0.25">
      <c r="A168" s="279">
        <v>42</v>
      </c>
      <c r="B168" s="285" t="s">
        <v>342</v>
      </c>
      <c r="C168" s="62">
        <v>2500</v>
      </c>
      <c r="D168" s="316">
        <v>626.58000000000004</v>
      </c>
      <c r="E168" s="62">
        <v>432</v>
      </c>
      <c r="F168" s="61"/>
      <c r="G168" s="289">
        <f t="shared" si="24"/>
        <v>432</v>
      </c>
      <c r="H168" s="61"/>
      <c r="I168" s="251">
        <f t="shared" si="25"/>
        <v>432</v>
      </c>
      <c r="J168" s="251">
        <f t="shared" si="26"/>
        <v>1080000</v>
      </c>
      <c r="K168" s="290">
        <f t="shared" si="27"/>
        <v>270682.56</v>
      </c>
      <c r="L168" s="215"/>
    </row>
    <row r="169" spans="1:12" x14ac:dyDescent="0.25">
      <c r="A169" s="279">
        <v>43</v>
      </c>
      <c r="B169" s="285" t="s">
        <v>343</v>
      </c>
      <c r="C169" s="62">
        <v>2500</v>
      </c>
      <c r="D169" s="316">
        <v>626.58000000000004</v>
      </c>
      <c r="E169" s="62">
        <v>432</v>
      </c>
      <c r="F169" s="61"/>
      <c r="G169" s="289">
        <f t="shared" si="24"/>
        <v>432</v>
      </c>
      <c r="H169" s="61"/>
      <c r="I169" s="251">
        <f t="shared" si="25"/>
        <v>432</v>
      </c>
      <c r="J169" s="251">
        <f t="shared" si="26"/>
        <v>1080000</v>
      </c>
      <c r="K169" s="290">
        <f t="shared" si="27"/>
        <v>270682.56</v>
      </c>
      <c r="L169" s="215"/>
    </row>
    <row r="170" spans="1:12" x14ac:dyDescent="0.25">
      <c r="A170" s="279">
        <v>44</v>
      </c>
      <c r="B170" s="285" t="s">
        <v>344</v>
      </c>
      <c r="C170" s="62">
        <v>2500</v>
      </c>
      <c r="D170" s="316">
        <v>626.58000000000004</v>
      </c>
      <c r="E170" s="62">
        <v>432</v>
      </c>
      <c r="F170" s="61"/>
      <c r="G170" s="289">
        <f t="shared" si="24"/>
        <v>432</v>
      </c>
      <c r="H170" s="61"/>
      <c r="I170" s="251">
        <f t="shared" si="25"/>
        <v>432</v>
      </c>
      <c r="J170" s="251">
        <f t="shared" si="26"/>
        <v>1080000</v>
      </c>
      <c r="K170" s="290">
        <f t="shared" si="27"/>
        <v>270682.56</v>
      </c>
      <c r="L170" s="215"/>
    </row>
    <row r="171" spans="1:12" x14ac:dyDescent="0.25">
      <c r="A171" s="279">
        <v>45</v>
      </c>
      <c r="B171" s="285" t="s">
        <v>345</v>
      </c>
      <c r="C171" s="62">
        <v>2500</v>
      </c>
      <c r="D171" s="316">
        <v>626.58000000000004</v>
      </c>
      <c r="E171" s="62">
        <v>432</v>
      </c>
      <c r="F171" s="61"/>
      <c r="G171" s="289">
        <f t="shared" si="24"/>
        <v>432</v>
      </c>
      <c r="H171" s="61"/>
      <c r="I171" s="251">
        <f t="shared" si="25"/>
        <v>432</v>
      </c>
      <c r="J171" s="251">
        <f t="shared" si="26"/>
        <v>1080000</v>
      </c>
      <c r="K171" s="290">
        <f t="shared" si="27"/>
        <v>270682.56</v>
      </c>
      <c r="L171" s="215"/>
    </row>
    <row r="172" spans="1:12" x14ac:dyDescent="0.25">
      <c r="A172" s="279">
        <v>46</v>
      </c>
      <c r="B172" s="352" t="s">
        <v>346</v>
      </c>
      <c r="C172" s="62">
        <v>5000</v>
      </c>
      <c r="D172" s="316">
        <v>1386.26</v>
      </c>
      <c r="E172" s="62">
        <v>34</v>
      </c>
      <c r="F172" s="61"/>
      <c r="G172" s="289">
        <f t="shared" si="24"/>
        <v>34</v>
      </c>
      <c r="H172" s="61"/>
      <c r="I172" s="251">
        <f t="shared" si="25"/>
        <v>34</v>
      </c>
      <c r="J172" s="251">
        <f t="shared" si="26"/>
        <v>170000</v>
      </c>
      <c r="K172" s="290">
        <f t="shared" si="27"/>
        <v>47132.84</v>
      </c>
      <c r="L172" s="215"/>
    </row>
    <row r="173" spans="1:12" x14ac:dyDescent="0.25">
      <c r="A173" s="279">
        <v>47</v>
      </c>
      <c r="B173" s="61" t="s">
        <v>347</v>
      </c>
      <c r="C173" s="62">
        <v>12000</v>
      </c>
      <c r="D173" s="316">
        <v>1645.84</v>
      </c>
      <c r="E173" s="62">
        <v>170</v>
      </c>
      <c r="F173" s="61"/>
      <c r="G173" s="289">
        <f t="shared" si="24"/>
        <v>170</v>
      </c>
      <c r="H173" s="61"/>
      <c r="I173" s="251">
        <f t="shared" si="25"/>
        <v>170</v>
      </c>
      <c r="J173" s="251">
        <f t="shared" si="26"/>
        <v>2040000</v>
      </c>
      <c r="K173" s="290">
        <f t="shared" si="27"/>
        <v>279792.8</v>
      </c>
      <c r="L173" s="215"/>
    </row>
    <row r="174" spans="1:12" x14ac:dyDescent="0.25">
      <c r="A174" s="279">
        <v>48</v>
      </c>
      <c r="B174" s="61" t="s">
        <v>348</v>
      </c>
      <c r="C174" s="62">
        <v>12000</v>
      </c>
      <c r="D174" s="316">
        <v>1595</v>
      </c>
      <c r="E174" s="62">
        <v>207</v>
      </c>
      <c r="F174" s="61"/>
      <c r="G174" s="289">
        <f t="shared" si="24"/>
        <v>207</v>
      </c>
      <c r="H174" s="61"/>
      <c r="I174" s="251">
        <f t="shared" si="25"/>
        <v>207</v>
      </c>
      <c r="J174" s="251">
        <f t="shared" si="26"/>
        <v>2484000</v>
      </c>
      <c r="K174" s="290">
        <f t="shared" si="27"/>
        <v>330165</v>
      </c>
      <c r="L174" s="215"/>
    </row>
    <row r="175" spans="1:12" x14ac:dyDescent="0.25">
      <c r="A175" s="279">
        <v>49</v>
      </c>
      <c r="B175" s="61" t="s">
        <v>349</v>
      </c>
      <c r="C175" s="62">
        <v>2000</v>
      </c>
      <c r="D175" s="316">
        <v>1127.5</v>
      </c>
      <c r="E175" s="62">
        <v>176</v>
      </c>
      <c r="F175" s="61"/>
      <c r="G175" s="289">
        <f t="shared" si="24"/>
        <v>176</v>
      </c>
      <c r="H175" s="61"/>
      <c r="I175" s="251">
        <f t="shared" si="25"/>
        <v>176</v>
      </c>
      <c r="J175" s="251">
        <f t="shared" si="26"/>
        <v>352000</v>
      </c>
      <c r="K175" s="290">
        <f t="shared" si="27"/>
        <v>198440</v>
      </c>
      <c r="L175" s="215"/>
    </row>
    <row r="176" spans="1:12" x14ac:dyDescent="0.25">
      <c r="A176" s="279">
        <v>50</v>
      </c>
      <c r="B176" s="61" t="s">
        <v>350</v>
      </c>
      <c r="C176" s="62">
        <v>30000</v>
      </c>
      <c r="D176" s="316">
        <v>4030</v>
      </c>
      <c r="E176" s="62">
        <v>173</v>
      </c>
      <c r="F176" s="61"/>
      <c r="G176" s="289">
        <f t="shared" si="24"/>
        <v>173</v>
      </c>
      <c r="H176" s="61"/>
      <c r="I176" s="251">
        <f t="shared" si="25"/>
        <v>173</v>
      </c>
      <c r="J176" s="251">
        <f t="shared" si="26"/>
        <v>5190000</v>
      </c>
      <c r="K176" s="290">
        <f t="shared" si="27"/>
        <v>697190</v>
      </c>
      <c r="L176" s="215"/>
    </row>
    <row r="177" spans="1:12" x14ac:dyDescent="0.25">
      <c r="A177" s="279">
        <v>51</v>
      </c>
      <c r="B177" s="61" t="s">
        <v>351</v>
      </c>
      <c r="C177" s="62">
        <v>7000</v>
      </c>
      <c r="D177" s="316">
        <v>1229.56</v>
      </c>
      <c r="E177" s="62">
        <v>43</v>
      </c>
      <c r="F177" s="61"/>
      <c r="G177" s="289">
        <f t="shared" si="24"/>
        <v>43</v>
      </c>
      <c r="H177" s="61"/>
      <c r="I177" s="251">
        <f t="shared" si="25"/>
        <v>43</v>
      </c>
      <c r="J177" s="251">
        <f t="shared" si="26"/>
        <v>301000</v>
      </c>
      <c r="K177" s="290">
        <f t="shared" si="27"/>
        <v>52871.079999999994</v>
      </c>
      <c r="L177" s="215"/>
    </row>
    <row r="178" spans="1:12" x14ac:dyDescent="0.25">
      <c r="A178" s="279">
        <v>52</v>
      </c>
      <c r="B178" s="61" t="s">
        <v>352</v>
      </c>
      <c r="C178" s="62">
        <v>30000</v>
      </c>
      <c r="D178" s="316">
        <v>4510</v>
      </c>
      <c r="E178" s="62">
        <v>177</v>
      </c>
      <c r="F178" s="61"/>
      <c r="G178" s="289">
        <f t="shared" si="24"/>
        <v>177</v>
      </c>
      <c r="H178" s="61"/>
      <c r="I178" s="251">
        <f t="shared" si="25"/>
        <v>177</v>
      </c>
      <c r="J178" s="251">
        <f t="shared" si="26"/>
        <v>5310000</v>
      </c>
      <c r="K178" s="290">
        <f t="shared" si="27"/>
        <v>798270</v>
      </c>
      <c r="L178" s="215"/>
    </row>
    <row r="179" spans="1:12" x14ac:dyDescent="0.25">
      <c r="A179" s="279">
        <v>53</v>
      </c>
      <c r="B179" s="61" t="s">
        <v>353</v>
      </c>
      <c r="C179" s="62">
        <v>5000</v>
      </c>
      <c r="D179" s="316">
        <v>1431.5</v>
      </c>
      <c r="E179" s="62">
        <v>161</v>
      </c>
      <c r="F179" s="61"/>
      <c r="G179" s="289">
        <f t="shared" si="24"/>
        <v>161</v>
      </c>
      <c r="H179" s="61"/>
      <c r="I179" s="251">
        <f t="shared" si="25"/>
        <v>161</v>
      </c>
      <c r="J179" s="251">
        <f t="shared" si="26"/>
        <v>805000</v>
      </c>
      <c r="K179" s="290">
        <f t="shared" si="27"/>
        <v>230471.5</v>
      </c>
      <c r="L179" s="215"/>
    </row>
    <row r="180" spans="1:12" x14ac:dyDescent="0.25">
      <c r="A180" s="279">
        <v>54</v>
      </c>
      <c r="B180" s="61" t="s">
        <v>354</v>
      </c>
      <c r="C180" s="62">
        <v>8000</v>
      </c>
      <c r="D180" s="316">
        <v>1565.82</v>
      </c>
      <c r="E180" s="62">
        <v>178</v>
      </c>
      <c r="F180" s="61"/>
      <c r="G180" s="289">
        <f t="shared" si="24"/>
        <v>178</v>
      </c>
      <c r="H180" s="61"/>
      <c r="I180" s="251">
        <f t="shared" si="25"/>
        <v>178</v>
      </c>
      <c r="J180" s="251">
        <f t="shared" si="26"/>
        <v>1424000</v>
      </c>
      <c r="K180" s="290">
        <f t="shared" si="27"/>
        <v>278715.95999999996</v>
      </c>
      <c r="L180" s="215"/>
    </row>
    <row r="181" spans="1:12" ht="15.75" thickBot="1" x14ac:dyDescent="0.3">
      <c r="A181" s="280">
        <v>55</v>
      </c>
      <c r="B181" s="281" t="s">
        <v>355</v>
      </c>
      <c r="C181" s="282">
        <v>42000</v>
      </c>
      <c r="D181" s="317"/>
      <c r="E181" s="282">
        <v>0</v>
      </c>
      <c r="F181" s="281"/>
      <c r="G181" s="295">
        <f t="shared" si="24"/>
        <v>0</v>
      </c>
      <c r="H181" s="61">
        <f>7-7</f>
        <v>0</v>
      </c>
      <c r="I181" s="322">
        <f t="shared" si="25"/>
        <v>0</v>
      </c>
      <c r="J181" s="322">
        <f t="shared" si="26"/>
        <v>0</v>
      </c>
      <c r="K181" s="323">
        <f t="shared" si="27"/>
        <v>0</v>
      </c>
      <c r="L181" s="215"/>
    </row>
    <row r="182" spans="1:12" ht="15.75" thickBot="1" x14ac:dyDescent="0.3">
      <c r="A182" s="313"/>
      <c r="B182" s="96" t="s">
        <v>665</v>
      </c>
      <c r="C182" s="296"/>
      <c r="D182" s="97"/>
      <c r="E182" s="97">
        <f t="shared" ref="E182:K182" si="28">SUM(E127:E181)</f>
        <v>15106</v>
      </c>
      <c r="F182" s="97">
        <f t="shared" si="28"/>
        <v>0</v>
      </c>
      <c r="G182" s="97">
        <f t="shared" si="28"/>
        <v>15106</v>
      </c>
      <c r="H182" s="97">
        <f t="shared" si="28"/>
        <v>0</v>
      </c>
      <c r="I182" s="97">
        <f t="shared" si="28"/>
        <v>15106</v>
      </c>
      <c r="J182" s="97">
        <f t="shared" si="28"/>
        <v>86695500</v>
      </c>
      <c r="K182" s="297">
        <f t="shared" si="28"/>
        <v>21095980.699999999</v>
      </c>
      <c r="L182" s="151"/>
    </row>
    <row r="183" spans="1:12" ht="16.5" customHeight="1" thickBot="1" x14ac:dyDescent="0.3">
      <c r="A183" s="298"/>
      <c r="B183" s="138"/>
      <c r="C183" s="139"/>
      <c r="D183" s="140"/>
      <c r="E183" s="141"/>
      <c r="F183" s="138"/>
      <c r="G183" s="141"/>
      <c r="H183" s="141"/>
      <c r="I183" s="141"/>
      <c r="J183" s="141"/>
      <c r="K183" s="140"/>
      <c r="L183" s="140"/>
    </row>
    <row r="184" spans="1:12" ht="15.75" thickBot="1" x14ac:dyDescent="0.3">
      <c r="A184" s="418" t="s">
        <v>653</v>
      </c>
      <c r="B184" s="421" t="s">
        <v>704</v>
      </c>
      <c r="C184" s="421" t="s">
        <v>1</v>
      </c>
      <c r="D184" s="422" t="s">
        <v>645</v>
      </c>
      <c r="E184" s="423" t="s">
        <v>19</v>
      </c>
      <c r="F184" s="423"/>
      <c r="G184" s="423"/>
      <c r="H184" s="423"/>
      <c r="I184" s="423"/>
      <c r="J184" s="416" t="s">
        <v>20</v>
      </c>
      <c r="K184" s="418" t="s">
        <v>598</v>
      </c>
      <c r="L184" s="213"/>
    </row>
    <row r="185" spans="1:12" ht="30.75" thickBot="1" x14ac:dyDescent="0.3">
      <c r="A185" s="420"/>
      <c r="B185" s="421"/>
      <c r="C185" s="421"/>
      <c r="D185" s="422"/>
      <c r="E185" s="272" t="s">
        <v>21</v>
      </c>
      <c r="F185" s="272" t="s">
        <v>596</v>
      </c>
      <c r="G185" s="272" t="s">
        <v>597</v>
      </c>
      <c r="H185" s="272" t="s">
        <v>585</v>
      </c>
      <c r="I185" s="272" t="s">
        <v>597</v>
      </c>
      <c r="J185" s="417"/>
      <c r="K185" s="419"/>
      <c r="L185" s="213"/>
    </row>
    <row r="186" spans="1:12" ht="15.75" thickBot="1" x14ac:dyDescent="0.3">
      <c r="A186" s="419"/>
      <c r="B186" s="273">
        <v>1</v>
      </c>
      <c r="C186" s="273">
        <v>2</v>
      </c>
      <c r="D186" s="273">
        <v>3</v>
      </c>
      <c r="E186" s="274">
        <v>4</v>
      </c>
      <c r="F186" s="274">
        <f>+E186+1</f>
        <v>5</v>
      </c>
      <c r="G186" s="274" t="s">
        <v>648</v>
      </c>
      <c r="H186" s="274">
        <v>7</v>
      </c>
      <c r="I186" s="275" t="s">
        <v>647</v>
      </c>
      <c r="J186" s="287" t="s">
        <v>646</v>
      </c>
      <c r="K186" s="287" t="s">
        <v>649</v>
      </c>
      <c r="L186" s="214"/>
    </row>
    <row r="187" spans="1:12" x14ac:dyDescent="0.25">
      <c r="A187" s="288"/>
      <c r="B187" s="276" t="s">
        <v>705</v>
      </c>
      <c r="C187" s="288"/>
      <c r="D187" s="288"/>
      <c r="E187" s="288"/>
      <c r="F187" s="288"/>
      <c r="G187" s="288"/>
      <c r="H187" s="288"/>
      <c r="I187" s="288"/>
      <c r="J187" s="288"/>
      <c r="K187" s="288"/>
      <c r="L187" s="114"/>
    </row>
    <row r="188" spans="1:12" x14ac:dyDescent="0.25">
      <c r="A188" s="279">
        <v>1</v>
      </c>
      <c r="B188" s="61" t="s">
        <v>356</v>
      </c>
      <c r="C188" s="62">
        <v>8000</v>
      </c>
      <c r="D188" s="316">
        <v>2246.88</v>
      </c>
      <c r="E188" s="62">
        <v>74</v>
      </c>
      <c r="F188" s="61"/>
      <c r="G188" s="289">
        <f t="shared" ref="G188:G223" si="29">+E188+F188</f>
        <v>74</v>
      </c>
      <c r="H188" s="61"/>
      <c r="I188" s="251">
        <f t="shared" ref="I188:I223" si="30">+G188-H188</f>
        <v>74</v>
      </c>
      <c r="J188" s="251">
        <f t="shared" ref="J188:J223" si="31">I188*C188</f>
        <v>592000</v>
      </c>
      <c r="K188" s="290">
        <f t="shared" ref="K188:K223" si="32">+D188*I188</f>
        <v>166269.12</v>
      </c>
      <c r="L188" s="215"/>
    </row>
    <row r="189" spans="1:12" x14ac:dyDescent="0.25">
      <c r="A189" s="279">
        <v>2</v>
      </c>
      <c r="B189" s="61" t="s">
        <v>357</v>
      </c>
      <c r="C189" s="62">
        <v>12000</v>
      </c>
      <c r="D189" s="316">
        <v>3610</v>
      </c>
      <c r="E189" s="62">
        <v>172</v>
      </c>
      <c r="F189" s="61"/>
      <c r="G189" s="289">
        <f t="shared" si="29"/>
        <v>172</v>
      </c>
      <c r="H189" s="61"/>
      <c r="I189" s="251">
        <f t="shared" si="30"/>
        <v>172</v>
      </c>
      <c r="J189" s="251">
        <f t="shared" si="31"/>
        <v>2064000</v>
      </c>
      <c r="K189" s="290">
        <f t="shared" si="32"/>
        <v>620920</v>
      </c>
      <c r="L189" s="215"/>
    </row>
    <row r="190" spans="1:12" x14ac:dyDescent="0.25">
      <c r="A190" s="279">
        <v>3</v>
      </c>
      <c r="B190" s="61" t="s">
        <v>358</v>
      </c>
      <c r="C190" s="62">
        <v>8000</v>
      </c>
      <c r="D190" s="316">
        <v>9962.5</v>
      </c>
      <c r="E190" s="62">
        <v>126</v>
      </c>
      <c r="F190" s="61"/>
      <c r="G190" s="289">
        <f t="shared" si="29"/>
        <v>126</v>
      </c>
      <c r="H190" s="61"/>
      <c r="I190" s="251">
        <f t="shared" si="30"/>
        <v>126</v>
      </c>
      <c r="J190" s="251">
        <f t="shared" si="31"/>
        <v>1008000</v>
      </c>
      <c r="K190" s="290">
        <f t="shared" si="32"/>
        <v>1255275</v>
      </c>
      <c r="L190" s="215"/>
    </row>
    <row r="191" spans="1:12" x14ac:dyDescent="0.25">
      <c r="A191" s="279">
        <v>4</v>
      </c>
      <c r="B191" s="61" t="s">
        <v>359</v>
      </c>
      <c r="C191" s="62">
        <v>8000</v>
      </c>
      <c r="D191" s="316">
        <v>1598.82</v>
      </c>
      <c r="E191" s="62">
        <v>99</v>
      </c>
      <c r="F191" s="61"/>
      <c r="G191" s="289">
        <f t="shared" si="29"/>
        <v>99</v>
      </c>
      <c r="H191" s="61"/>
      <c r="I191" s="251">
        <f t="shared" si="30"/>
        <v>99</v>
      </c>
      <c r="J191" s="251">
        <f t="shared" si="31"/>
        <v>792000</v>
      </c>
      <c r="K191" s="290">
        <f t="shared" si="32"/>
        <v>158283.18</v>
      </c>
      <c r="L191" s="215"/>
    </row>
    <row r="192" spans="1:12" x14ac:dyDescent="0.25">
      <c r="A192" s="279">
        <v>5</v>
      </c>
      <c r="B192" s="61" t="s">
        <v>360</v>
      </c>
      <c r="C192" s="62">
        <v>7000</v>
      </c>
      <c r="D192" s="316">
        <v>1942.41</v>
      </c>
      <c r="E192" s="62">
        <v>237</v>
      </c>
      <c r="F192" s="61"/>
      <c r="G192" s="289">
        <f t="shared" si="29"/>
        <v>237</v>
      </c>
      <c r="H192" s="61"/>
      <c r="I192" s="251">
        <f t="shared" si="30"/>
        <v>237</v>
      </c>
      <c r="J192" s="251">
        <f t="shared" si="31"/>
        <v>1659000</v>
      </c>
      <c r="K192" s="290">
        <f t="shared" si="32"/>
        <v>460351.17000000004</v>
      </c>
      <c r="L192" s="215"/>
    </row>
    <row r="193" spans="1:12" x14ac:dyDescent="0.25">
      <c r="A193" s="279">
        <v>6</v>
      </c>
      <c r="B193" s="61" t="s">
        <v>361</v>
      </c>
      <c r="C193" s="62">
        <v>12000</v>
      </c>
      <c r="D193" s="316">
        <v>2078.08</v>
      </c>
      <c r="E193" s="62">
        <v>214</v>
      </c>
      <c r="F193" s="61"/>
      <c r="G193" s="289">
        <f t="shared" si="29"/>
        <v>214</v>
      </c>
      <c r="H193" s="61"/>
      <c r="I193" s="251">
        <f t="shared" si="30"/>
        <v>214</v>
      </c>
      <c r="J193" s="251">
        <f t="shared" si="31"/>
        <v>2568000</v>
      </c>
      <c r="K193" s="290">
        <f t="shared" si="32"/>
        <v>444709.12</v>
      </c>
      <c r="L193" s="215"/>
    </row>
    <row r="194" spans="1:12" x14ac:dyDescent="0.25">
      <c r="A194" s="279">
        <v>7</v>
      </c>
      <c r="B194" s="61" t="s">
        <v>362</v>
      </c>
      <c r="C194" s="62">
        <v>5000</v>
      </c>
      <c r="D194" s="316">
        <v>1363.04</v>
      </c>
      <c r="E194" s="62">
        <v>0</v>
      </c>
      <c r="F194" s="61"/>
      <c r="G194" s="289">
        <f t="shared" si="29"/>
        <v>0</v>
      </c>
      <c r="H194" s="61">
        <f>32-32</f>
        <v>0</v>
      </c>
      <c r="I194" s="251">
        <f t="shared" si="30"/>
        <v>0</v>
      </c>
      <c r="J194" s="251">
        <f t="shared" si="31"/>
        <v>0</v>
      </c>
      <c r="K194" s="290">
        <f t="shared" si="32"/>
        <v>0</v>
      </c>
      <c r="L194" s="215"/>
    </row>
    <row r="195" spans="1:12" x14ac:dyDescent="0.25">
      <c r="A195" s="279">
        <v>8</v>
      </c>
      <c r="B195" s="61" t="s">
        <v>363</v>
      </c>
      <c r="C195" s="62">
        <v>15000</v>
      </c>
      <c r="D195" s="316">
        <v>2982.32</v>
      </c>
      <c r="E195" s="62">
        <v>85</v>
      </c>
      <c r="F195" s="61"/>
      <c r="G195" s="289">
        <f t="shared" si="29"/>
        <v>85</v>
      </c>
      <c r="H195" s="61"/>
      <c r="I195" s="251">
        <f t="shared" si="30"/>
        <v>85</v>
      </c>
      <c r="J195" s="251">
        <f t="shared" si="31"/>
        <v>1275000</v>
      </c>
      <c r="K195" s="290">
        <f t="shared" si="32"/>
        <v>253497.2</v>
      </c>
      <c r="L195" s="215"/>
    </row>
    <row r="196" spans="1:12" x14ac:dyDescent="0.25">
      <c r="A196" s="279">
        <v>9</v>
      </c>
      <c r="B196" s="61" t="s">
        <v>739</v>
      </c>
      <c r="C196" s="62">
        <v>9500</v>
      </c>
      <c r="D196" s="316">
        <v>1621.12</v>
      </c>
      <c r="E196" s="62">
        <v>162</v>
      </c>
      <c r="F196" s="61"/>
      <c r="G196" s="289">
        <f t="shared" si="29"/>
        <v>162</v>
      </c>
      <c r="H196" s="61"/>
      <c r="I196" s="251">
        <f t="shared" si="30"/>
        <v>162</v>
      </c>
      <c r="J196" s="251">
        <f t="shared" si="31"/>
        <v>1539000</v>
      </c>
      <c r="K196" s="290">
        <f t="shared" si="32"/>
        <v>262621.44</v>
      </c>
      <c r="L196" s="215"/>
    </row>
    <row r="197" spans="1:12" x14ac:dyDescent="0.25">
      <c r="A197" s="279">
        <v>10</v>
      </c>
      <c r="B197" s="61" t="s">
        <v>364</v>
      </c>
      <c r="C197" s="62">
        <v>17000</v>
      </c>
      <c r="D197" s="316">
        <v>2620</v>
      </c>
      <c r="E197" s="62">
        <v>249</v>
      </c>
      <c r="F197" s="61"/>
      <c r="G197" s="289">
        <f t="shared" si="29"/>
        <v>249</v>
      </c>
      <c r="H197" s="61"/>
      <c r="I197" s="251">
        <f t="shared" si="30"/>
        <v>249</v>
      </c>
      <c r="J197" s="251">
        <f t="shared" si="31"/>
        <v>4233000</v>
      </c>
      <c r="K197" s="290">
        <f t="shared" si="32"/>
        <v>652380</v>
      </c>
      <c r="L197" s="215"/>
    </row>
    <row r="198" spans="1:12" x14ac:dyDescent="0.25">
      <c r="A198" s="279">
        <v>11</v>
      </c>
      <c r="B198" s="61" t="s">
        <v>740</v>
      </c>
      <c r="C198" s="62">
        <v>12000</v>
      </c>
      <c r="D198" s="316">
        <v>1216.74</v>
      </c>
      <c r="E198" s="62">
        <v>117</v>
      </c>
      <c r="F198" s="61"/>
      <c r="G198" s="289">
        <f t="shared" si="29"/>
        <v>117</v>
      </c>
      <c r="H198" s="61"/>
      <c r="I198" s="251">
        <f t="shared" si="30"/>
        <v>117</v>
      </c>
      <c r="J198" s="251">
        <f t="shared" si="31"/>
        <v>1404000</v>
      </c>
      <c r="K198" s="290">
        <f t="shared" si="32"/>
        <v>142358.57999999999</v>
      </c>
      <c r="L198" s="215"/>
    </row>
    <row r="199" spans="1:12" x14ac:dyDescent="0.25">
      <c r="A199" s="279">
        <v>12</v>
      </c>
      <c r="B199" s="61" t="s">
        <v>365</v>
      </c>
      <c r="C199" s="62">
        <v>7000</v>
      </c>
      <c r="D199" s="316">
        <v>1584.92</v>
      </c>
      <c r="E199" s="62">
        <v>1042</v>
      </c>
      <c r="F199" s="61"/>
      <c r="G199" s="289">
        <f t="shared" si="29"/>
        <v>1042</v>
      </c>
      <c r="H199" s="61"/>
      <c r="I199" s="251">
        <f t="shared" si="30"/>
        <v>1042</v>
      </c>
      <c r="J199" s="251">
        <f t="shared" si="31"/>
        <v>7294000</v>
      </c>
      <c r="K199" s="290">
        <f t="shared" si="32"/>
        <v>1651486.6400000001</v>
      </c>
      <c r="L199" s="215"/>
    </row>
    <row r="200" spans="1:12" x14ac:dyDescent="0.25">
      <c r="A200" s="279">
        <v>13</v>
      </c>
      <c r="B200" s="61" t="s">
        <v>317</v>
      </c>
      <c r="C200" s="62">
        <v>6500</v>
      </c>
      <c r="D200" s="316">
        <v>1591.69</v>
      </c>
      <c r="E200" s="62">
        <v>157</v>
      </c>
      <c r="F200" s="61"/>
      <c r="G200" s="289">
        <f t="shared" si="29"/>
        <v>157</v>
      </c>
      <c r="H200" s="61"/>
      <c r="I200" s="251">
        <f t="shared" si="30"/>
        <v>157</v>
      </c>
      <c r="J200" s="251">
        <f t="shared" si="31"/>
        <v>1020500</v>
      </c>
      <c r="K200" s="290">
        <f t="shared" si="32"/>
        <v>249895.33000000002</v>
      </c>
      <c r="L200" s="215"/>
    </row>
    <row r="201" spans="1:12" x14ac:dyDescent="0.25">
      <c r="A201" s="279">
        <v>14</v>
      </c>
      <c r="B201" s="285" t="s">
        <v>318</v>
      </c>
      <c r="C201" s="62">
        <v>7000</v>
      </c>
      <c r="D201" s="316">
        <v>1755.58</v>
      </c>
      <c r="E201" s="62">
        <v>200</v>
      </c>
      <c r="F201" s="61"/>
      <c r="G201" s="289">
        <f t="shared" si="29"/>
        <v>200</v>
      </c>
      <c r="H201" s="61"/>
      <c r="I201" s="251">
        <f t="shared" si="30"/>
        <v>200</v>
      </c>
      <c r="J201" s="251">
        <f t="shared" si="31"/>
        <v>1400000</v>
      </c>
      <c r="K201" s="290">
        <f t="shared" si="32"/>
        <v>351116</v>
      </c>
      <c r="L201" s="215"/>
    </row>
    <row r="202" spans="1:12" x14ac:dyDescent="0.25">
      <c r="A202" s="279">
        <v>15</v>
      </c>
      <c r="B202" s="285" t="s">
        <v>366</v>
      </c>
      <c r="C202" s="62">
        <v>6500</v>
      </c>
      <c r="D202" s="316">
        <v>1524.46</v>
      </c>
      <c r="E202" s="62">
        <v>0</v>
      </c>
      <c r="F202" s="61"/>
      <c r="G202" s="289">
        <f t="shared" si="29"/>
        <v>0</v>
      </c>
      <c r="H202" s="61">
        <f>6-6</f>
        <v>0</v>
      </c>
      <c r="I202" s="251">
        <f t="shared" si="30"/>
        <v>0</v>
      </c>
      <c r="J202" s="251">
        <f t="shared" si="31"/>
        <v>0</v>
      </c>
      <c r="K202" s="290">
        <f t="shared" si="32"/>
        <v>0</v>
      </c>
      <c r="L202" s="215"/>
    </row>
    <row r="203" spans="1:12" x14ac:dyDescent="0.25">
      <c r="A203" s="279">
        <v>16</v>
      </c>
      <c r="B203" s="285" t="s">
        <v>367</v>
      </c>
      <c r="C203" s="62">
        <v>12000</v>
      </c>
      <c r="D203" s="316">
        <v>1982.38</v>
      </c>
      <c r="E203" s="62">
        <v>89</v>
      </c>
      <c r="F203" s="61"/>
      <c r="G203" s="289">
        <f t="shared" si="29"/>
        <v>89</v>
      </c>
      <c r="H203" s="61"/>
      <c r="I203" s="251">
        <f t="shared" si="30"/>
        <v>89</v>
      </c>
      <c r="J203" s="251">
        <f t="shared" si="31"/>
        <v>1068000</v>
      </c>
      <c r="K203" s="290">
        <f t="shared" si="32"/>
        <v>176431.82</v>
      </c>
      <c r="L203" s="215"/>
    </row>
    <row r="204" spans="1:12" x14ac:dyDescent="0.25">
      <c r="A204" s="279">
        <v>17</v>
      </c>
      <c r="B204" s="285" t="s">
        <v>368</v>
      </c>
      <c r="C204" s="62">
        <v>5000</v>
      </c>
      <c r="D204" s="316">
        <v>1175.17</v>
      </c>
      <c r="E204" s="62">
        <v>82</v>
      </c>
      <c r="F204" s="61"/>
      <c r="G204" s="289">
        <f t="shared" si="29"/>
        <v>82</v>
      </c>
      <c r="H204" s="61"/>
      <c r="I204" s="251">
        <f t="shared" si="30"/>
        <v>82</v>
      </c>
      <c r="J204" s="251">
        <f t="shared" si="31"/>
        <v>410000</v>
      </c>
      <c r="K204" s="290">
        <f t="shared" si="32"/>
        <v>96363.94</v>
      </c>
      <c r="L204" s="215"/>
    </row>
    <row r="205" spans="1:12" x14ac:dyDescent="0.25">
      <c r="A205" s="279">
        <v>18</v>
      </c>
      <c r="B205" s="285" t="s">
        <v>369</v>
      </c>
      <c r="C205" s="62">
        <v>5000</v>
      </c>
      <c r="D205" s="316">
        <v>1277.32</v>
      </c>
      <c r="E205" s="62">
        <v>141</v>
      </c>
      <c r="F205" s="61"/>
      <c r="G205" s="289">
        <f t="shared" si="29"/>
        <v>141</v>
      </c>
      <c r="H205" s="61"/>
      <c r="I205" s="251">
        <f t="shared" si="30"/>
        <v>141</v>
      </c>
      <c r="J205" s="251">
        <f t="shared" si="31"/>
        <v>705000</v>
      </c>
      <c r="K205" s="290">
        <f t="shared" si="32"/>
        <v>180102.12</v>
      </c>
      <c r="L205" s="215"/>
    </row>
    <row r="206" spans="1:12" x14ac:dyDescent="0.25">
      <c r="A206" s="279">
        <v>19</v>
      </c>
      <c r="B206" s="358" t="s">
        <v>370</v>
      </c>
      <c r="C206" s="62">
        <v>13000</v>
      </c>
      <c r="D206" s="316">
        <v>2915</v>
      </c>
      <c r="E206" s="62">
        <v>10</v>
      </c>
      <c r="F206" s="61"/>
      <c r="G206" s="289">
        <f t="shared" si="29"/>
        <v>10</v>
      </c>
      <c r="H206" s="61"/>
      <c r="I206" s="251">
        <f t="shared" si="30"/>
        <v>10</v>
      </c>
      <c r="J206" s="251">
        <f t="shared" si="31"/>
        <v>130000</v>
      </c>
      <c r="K206" s="290">
        <f t="shared" si="32"/>
        <v>29150</v>
      </c>
      <c r="L206" s="215"/>
    </row>
    <row r="207" spans="1:12" x14ac:dyDescent="0.25">
      <c r="A207" s="279">
        <v>20</v>
      </c>
      <c r="B207" s="61" t="s">
        <v>371</v>
      </c>
      <c r="C207" s="62">
        <v>11000</v>
      </c>
      <c r="D207" s="316">
        <v>1708.7</v>
      </c>
      <c r="E207" s="62">
        <v>203</v>
      </c>
      <c r="F207" s="61"/>
      <c r="G207" s="289">
        <f t="shared" si="29"/>
        <v>203</v>
      </c>
      <c r="H207" s="61"/>
      <c r="I207" s="251">
        <f t="shared" si="30"/>
        <v>203</v>
      </c>
      <c r="J207" s="251">
        <f t="shared" si="31"/>
        <v>2233000</v>
      </c>
      <c r="K207" s="290">
        <f t="shared" si="32"/>
        <v>346866.10000000003</v>
      </c>
      <c r="L207" s="215"/>
    </row>
    <row r="208" spans="1:12" x14ac:dyDescent="0.25">
      <c r="A208" s="279">
        <v>21</v>
      </c>
      <c r="B208" s="61" t="s">
        <v>372</v>
      </c>
      <c r="C208" s="62">
        <v>5000</v>
      </c>
      <c r="D208" s="316">
        <v>1277.32</v>
      </c>
      <c r="E208" s="62">
        <v>56</v>
      </c>
      <c r="F208" s="61"/>
      <c r="G208" s="289">
        <f t="shared" si="29"/>
        <v>56</v>
      </c>
      <c r="H208" s="61"/>
      <c r="I208" s="251">
        <f t="shared" si="30"/>
        <v>56</v>
      </c>
      <c r="J208" s="251">
        <f t="shared" si="31"/>
        <v>280000</v>
      </c>
      <c r="K208" s="290">
        <f t="shared" si="32"/>
        <v>71529.919999999998</v>
      </c>
      <c r="L208" s="215"/>
    </row>
    <row r="209" spans="1:12" x14ac:dyDescent="0.25">
      <c r="A209" s="279">
        <v>22</v>
      </c>
      <c r="B209" s="61" t="s">
        <v>260</v>
      </c>
      <c r="C209" s="62">
        <v>5000</v>
      </c>
      <c r="D209" s="316">
        <v>1277.32</v>
      </c>
      <c r="E209" s="62">
        <v>74</v>
      </c>
      <c r="F209" s="61"/>
      <c r="G209" s="289">
        <f t="shared" si="29"/>
        <v>74</v>
      </c>
      <c r="H209" s="61"/>
      <c r="I209" s="251">
        <f t="shared" si="30"/>
        <v>74</v>
      </c>
      <c r="J209" s="251">
        <f t="shared" si="31"/>
        <v>370000</v>
      </c>
      <c r="K209" s="290">
        <f t="shared" si="32"/>
        <v>94521.68</v>
      </c>
      <c r="L209" s="215"/>
    </row>
    <row r="210" spans="1:12" x14ac:dyDescent="0.25">
      <c r="A210" s="279">
        <v>23</v>
      </c>
      <c r="B210" s="61" t="s">
        <v>373</v>
      </c>
      <c r="C210" s="62">
        <v>5000</v>
      </c>
      <c r="D210" s="316">
        <v>1277.32</v>
      </c>
      <c r="E210" s="62">
        <v>83</v>
      </c>
      <c r="F210" s="61"/>
      <c r="G210" s="289">
        <f t="shared" si="29"/>
        <v>83</v>
      </c>
      <c r="H210" s="61"/>
      <c r="I210" s="251">
        <f t="shared" si="30"/>
        <v>83</v>
      </c>
      <c r="J210" s="251">
        <f t="shared" si="31"/>
        <v>415000</v>
      </c>
      <c r="K210" s="290">
        <f t="shared" si="32"/>
        <v>106017.56</v>
      </c>
      <c r="L210" s="215"/>
    </row>
    <row r="211" spans="1:12" x14ac:dyDescent="0.25">
      <c r="A211" s="279">
        <v>24</v>
      </c>
      <c r="B211" s="61" t="s">
        <v>374</v>
      </c>
      <c r="C211" s="62">
        <v>19000</v>
      </c>
      <c r="D211" s="316">
        <v>2938.8</v>
      </c>
      <c r="E211" s="62">
        <v>466</v>
      </c>
      <c r="F211" s="61"/>
      <c r="G211" s="289">
        <f t="shared" si="29"/>
        <v>466</v>
      </c>
      <c r="H211" s="61"/>
      <c r="I211" s="251">
        <f t="shared" si="30"/>
        <v>466</v>
      </c>
      <c r="J211" s="251">
        <f t="shared" si="31"/>
        <v>8854000</v>
      </c>
      <c r="K211" s="290">
        <f t="shared" si="32"/>
        <v>1369480.8</v>
      </c>
      <c r="L211" s="215"/>
    </row>
    <row r="212" spans="1:12" x14ac:dyDescent="0.25">
      <c r="A212" s="279">
        <v>25</v>
      </c>
      <c r="B212" s="61" t="s">
        <v>375</v>
      </c>
      <c r="C212" s="62">
        <v>8000</v>
      </c>
      <c r="D212" s="316">
        <v>1682.02</v>
      </c>
      <c r="E212" s="62">
        <v>191</v>
      </c>
      <c r="F212" s="61"/>
      <c r="G212" s="289">
        <f t="shared" si="29"/>
        <v>191</v>
      </c>
      <c r="H212" s="61"/>
      <c r="I212" s="251">
        <f t="shared" si="30"/>
        <v>191</v>
      </c>
      <c r="J212" s="251">
        <f t="shared" si="31"/>
        <v>1528000</v>
      </c>
      <c r="K212" s="290">
        <f t="shared" si="32"/>
        <v>321265.82</v>
      </c>
      <c r="L212" s="215"/>
    </row>
    <row r="213" spans="1:12" x14ac:dyDescent="0.25">
      <c r="A213" s="279">
        <v>26</v>
      </c>
      <c r="B213" s="61" t="s">
        <v>376</v>
      </c>
      <c r="C213" s="62">
        <v>5000</v>
      </c>
      <c r="D213" s="316">
        <v>1363.04</v>
      </c>
      <c r="E213" s="62">
        <v>123</v>
      </c>
      <c r="F213" s="61"/>
      <c r="G213" s="289">
        <f t="shared" si="29"/>
        <v>123</v>
      </c>
      <c r="H213" s="61"/>
      <c r="I213" s="251">
        <f t="shared" si="30"/>
        <v>123</v>
      </c>
      <c r="J213" s="251">
        <f t="shared" si="31"/>
        <v>615000</v>
      </c>
      <c r="K213" s="290">
        <f t="shared" si="32"/>
        <v>167653.91999999998</v>
      </c>
      <c r="L213" s="215"/>
    </row>
    <row r="214" spans="1:12" x14ac:dyDescent="0.25">
      <c r="A214" s="279">
        <v>27</v>
      </c>
      <c r="B214" s="61" t="s">
        <v>377</v>
      </c>
      <c r="C214" s="62">
        <v>5000</v>
      </c>
      <c r="D214" s="316">
        <v>1277.32</v>
      </c>
      <c r="E214" s="62">
        <v>70</v>
      </c>
      <c r="F214" s="61"/>
      <c r="G214" s="289">
        <f t="shared" si="29"/>
        <v>70</v>
      </c>
      <c r="H214" s="61"/>
      <c r="I214" s="251">
        <f t="shared" si="30"/>
        <v>70</v>
      </c>
      <c r="J214" s="251">
        <f t="shared" si="31"/>
        <v>350000</v>
      </c>
      <c r="K214" s="290">
        <f t="shared" si="32"/>
        <v>89412.4</v>
      </c>
      <c r="L214" s="215"/>
    </row>
    <row r="215" spans="1:12" x14ac:dyDescent="0.25">
      <c r="A215" s="279">
        <v>28</v>
      </c>
      <c r="B215" s="358" t="s">
        <v>378</v>
      </c>
      <c r="C215" s="62">
        <v>27500</v>
      </c>
      <c r="D215" s="316">
        <v>7683.28</v>
      </c>
      <c r="E215" s="62">
        <v>96</v>
      </c>
      <c r="F215" s="61"/>
      <c r="G215" s="289">
        <f t="shared" si="29"/>
        <v>96</v>
      </c>
      <c r="H215" s="61"/>
      <c r="I215" s="251">
        <f t="shared" si="30"/>
        <v>96</v>
      </c>
      <c r="J215" s="251">
        <f t="shared" si="31"/>
        <v>2640000</v>
      </c>
      <c r="K215" s="290">
        <f t="shared" si="32"/>
        <v>737594.88</v>
      </c>
      <c r="L215" s="227" t="s">
        <v>998</v>
      </c>
    </row>
    <row r="216" spans="1:12" x14ac:dyDescent="0.25">
      <c r="A216" s="279">
        <v>29</v>
      </c>
      <c r="B216" s="285" t="s">
        <v>379</v>
      </c>
      <c r="C216" s="62">
        <v>49500</v>
      </c>
      <c r="D216" s="316">
        <v>14681.75</v>
      </c>
      <c r="E216" s="62">
        <v>279</v>
      </c>
      <c r="F216" s="61"/>
      <c r="G216" s="289">
        <f t="shared" si="29"/>
        <v>279</v>
      </c>
      <c r="H216" s="61"/>
      <c r="I216" s="251">
        <f t="shared" si="30"/>
        <v>279</v>
      </c>
      <c r="J216" s="251">
        <f t="shared" si="31"/>
        <v>13810500</v>
      </c>
      <c r="K216" s="290">
        <f t="shared" si="32"/>
        <v>4096208.25</v>
      </c>
      <c r="L216" s="215"/>
    </row>
    <row r="217" spans="1:12" x14ac:dyDescent="0.25">
      <c r="A217" s="279">
        <v>30</v>
      </c>
      <c r="B217" s="61" t="s">
        <v>380</v>
      </c>
      <c r="C217" s="62">
        <v>5000</v>
      </c>
      <c r="D217" s="316">
        <v>1395.17</v>
      </c>
      <c r="E217" s="62">
        <v>88</v>
      </c>
      <c r="F217" s="61"/>
      <c r="G217" s="289">
        <f t="shared" si="29"/>
        <v>88</v>
      </c>
      <c r="H217" s="61"/>
      <c r="I217" s="251">
        <f t="shared" si="30"/>
        <v>88</v>
      </c>
      <c r="J217" s="251">
        <f t="shared" si="31"/>
        <v>440000</v>
      </c>
      <c r="K217" s="290">
        <f t="shared" si="32"/>
        <v>122774.96</v>
      </c>
      <c r="L217" s="215"/>
    </row>
    <row r="218" spans="1:12" x14ac:dyDescent="0.25">
      <c r="A218" s="279">
        <v>31</v>
      </c>
      <c r="B218" s="285" t="s">
        <v>381</v>
      </c>
      <c r="C218" s="62">
        <v>17500</v>
      </c>
      <c r="D218" s="316">
        <v>2003.92</v>
      </c>
      <c r="E218" s="62">
        <v>112</v>
      </c>
      <c r="F218" s="61"/>
      <c r="G218" s="289">
        <f t="shared" si="29"/>
        <v>112</v>
      </c>
      <c r="H218" s="61"/>
      <c r="I218" s="251">
        <f t="shared" si="30"/>
        <v>112</v>
      </c>
      <c r="J218" s="251">
        <f t="shared" si="31"/>
        <v>1960000</v>
      </c>
      <c r="K218" s="290">
        <f t="shared" si="32"/>
        <v>224439.04000000001</v>
      </c>
      <c r="L218" s="215"/>
    </row>
    <row r="219" spans="1:12" x14ac:dyDescent="0.25">
      <c r="A219" s="279">
        <v>32</v>
      </c>
      <c r="B219" s="285" t="s">
        <v>382</v>
      </c>
      <c r="C219" s="62">
        <v>33000</v>
      </c>
      <c r="D219" s="316">
        <v>21893.919999999998</v>
      </c>
      <c r="E219" s="62">
        <v>90</v>
      </c>
      <c r="F219" s="61"/>
      <c r="G219" s="289">
        <f t="shared" si="29"/>
        <v>90</v>
      </c>
      <c r="H219" s="61"/>
      <c r="I219" s="251">
        <f t="shared" si="30"/>
        <v>90</v>
      </c>
      <c r="J219" s="251">
        <f t="shared" si="31"/>
        <v>2970000</v>
      </c>
      <c r="K219" s="290">
        <f t="shared" si="32"/>
        <v>1970452.7999999998</v>
      </c>
      <c r="L219" s="215"/>
    </row>
    <row r="220" spans="1:12" x14ac:dyDescent="0.25">
      <c r="A220" s="279">
        <v>33</v>
      </c>
      <c r="B220" s="61" t="s">
        <v>383</v>
      </c>
      <c r="C220" s="62">
        <v>31500</v>
      </c>
      <c r="D220" s="316">
        <f>5153.5+1760</f>
        <v>6913.5</v>
      </c>
      <c r="E220" s="62">
        <v>95</v>
      </c>
      <c r="F220" s="61"/>
      <c r="G220" s="289">
        <f t="shared" si="29"/>
        <v>95</v>
      </c>
      <c r="H220" s="61"/>
      <c r="I220" s="251">
        <f t="shared" si="30"/>
        <v>95</v>
      </c>
      <c r="J220" s="251">
        <f t="shared" si="31"/>
        <v>2992500</v>
      </c>
      <c r="K220" s="290">
        <f t="shared" si="32"/>
        <v>656782.5</v>
      </c>
      <c r="L220" s="215"/>
    </row>
    <row r="221" spans="1:12" x14ac:dyDescent="0.25">
      <c r="A221" s="279">
        <v>34</v>
      </c>
      <c r="B221" s="61" t="s">
        <v>384</v>
      </c>
      <c r="C221" s="62">
        <v>5000</v>
      </c>
      <c r="D221" s="316">
        <f>1100+177.32</f>
        <v>1277.32</v>
      </c>
      <c r="E221" s="62">
        <v>2092</v>
      </c>
      <c r="F221" s="61"/>
      <c r="G221" s="289">
        <f t="shared" si="29"/>
        <v>2092</v>
      </c>
      <c r="H221" s="61"/>
      <c r="I221" s="251">
        <f t="shared" si="30"/>
        <v>2092</v>
      </c>
      <c r="J221" s="251">
        <f t="shared" si="31"/>
        <v>10460000</v>
      </c>
      <c r="K221" s="290">
        <f t="shared" si="32"/>
        <v>2672153.44</v>
      </c>
      <c r="L221" s="215"/>
    </row>
    <row r="222" spans="1:12" x14ac:dyDescent="0.25">
      <c r="A222" s="279">
        <v>35</v>
      </c>
      <c r="B222" s="61" t="s">
        <v>385</v>
      </c>
      <c r="C222" s="62">
        <v>6500</v>
      </c>
      <c r="D222" s="316">
        <v>1369.08</v>
      </c>
      <c r="E222" s="62">
        <v>115</v>
      </c>
      <c r="F222" s="61"/>
      <c r="G222" s="289">
        <f t="shared" si="29"/>
        <v>115</v>
      </c>
      <c r="H222" s="61"/>
      <c r="I222" s="251">
        <f t="shared" si="30"/>
        <v>115</v>
      </c>
      <c r="J222" s="251">
        <f t="shared" si="31"/>
        <v>747500</v>
      </c>
      <c r="K222" s="290">
        <f t="shared" si="32"/>
        <v>157444.19999999998</v>
      </c>
      <c r="L222" s="215"/>
    </row>
    <row r="223" spans="1:12" ht="15.75" thickBot="1" x14ac:dyDescent="0.3">
      <c r="A223" s="280">
        <v>36</v>
      </c>
      <c r="B223" s="281" t="s">
        <v>386</v>
      </c>
      <c r="C223" s="282">
        <v>11000</v>
      </c>
      <c r="D223" s="317">
        <v>1473.16</v>
      </c>
      <c r="E223" s="282">
        <v>26</v>
      </c>
      <c r="F223" s="281"/>
      <c r="G223" s="295">
        <f t="shared" si="29"/>
        <v>26</v>
      </c>
      <c r="H223" s="281"/>
      <c r="I223" s="322">
        <f t="shared" si="30"/>
        <v>26</v>
      </c>
      <c r="J223" s="322">
        <f t="shared" si="31"/>
        <v>286000</v>
      </c>
      <c r="K223" s="323">
        <f t="shared" si="32"/>
        <v>38302.160000000003</v>
      </c>
      <c r="L223" s="215"/>
    </row>
    <row r="224" spans="1:12" ht="15.75" thickBot="1" x14ac:dyDescent="0.3">
      <c r="A224" s="313"/>
      <c r="B224" s="96" t="s">
        <v>666</v>
      </c>
      <c r="C224" s="296"/>
      <c r="D224" s="296"/>
      <c r="E224" s="97">
        <f t="shared" ref="E224:K224" si="33">SUM(E188:E223)</f>
        <v>7515</v>
      </c>
      <c r="F224" s="97">
        <f t="shared" si="33"/>
        <v>0</v>
      </c>
      <c r="G224" s="97">
        <f t="shared" si="33"/>
        <v>7515</v>
      </c>
      <c r="H224" s="97">
        <f t="shared" si="33"/>
        <v>0</v>
      </c>
      <c r="I224" s="97">
        <f t="shared" si="33"/>
        <v>7515</v>
      </c>
      <c r="J224" s="97">
        <f t="shared" si="33"/>
        <v>80113000</v>
      </c>
      <c r="K224" s="297">
        <f t="shared" si="33"/>
        <v>20394111.090000004</v>
      </c>
      <c r="L224" s="151"/>
    </row>
    <row r="225" spans="1:12" ht="15.75" thickBot="1" x14ac:dyDescent="0.3">
      <c r="A225" s="298"/>
      <c r="B225" s="138"/>
      <c r="C225" s="139"/>
      <c r="D225" s="140"/>
      <c r="E225" s="141"/>
      <c r="F225" s="138"/>
      <c r="G225" s="141"/>
      <c r="H225" s="141"/>
      <c r="I225" s="141"/>
      <c r="J225" s="141"/>
      <c r="K225" s="140"/>
      <c r="L225" s="140"/>
    </row>
    <row r="226" spans="1:12" ht="15.75" thickBot="1" x14ac:dyDescent="0.3">
      <c r="A226" s="418" t="s">
        <v>653</v>
      </c>
      <c r="B226" s="421" t="s">
        <v>704</v>
      </c>
      <c r="C226" s="421" t="s">
        <v>1</v>
      </c>
      <c r="D226" s="422" t="s">
        <v>645</v>
      </c>
      <c r="E226" s="423" t="s">
        <v>19</v>
      </c>
      <c r="F226" s="423"/>
      <c r="G226" s="423"/>
      <c r="H226" s="423"/>
      <c r="I226" s="423"/>
      <c r="J226" s="416" t="s">
        <v>20</v>
      </c>
      <c r="K226" s="418" t="s">
        <v>598</v>
      </c>
      <c r="L226" s="213"/>
    </row>
    <row r="227" spans="1:12" ht="30.75" thickBot="1" x14ac:dyDescent="0.3">
      <c r="A227" s="420"/>
      <c r="B227" s="421"/>
      <c r="C227" s="421"/>
      <c r="D227" s="422"/>
      <c r="E227" s="272" t="s">
        <v>21</v>
      </c>
      <c r="F227" s="272" t="s">
        <v>596</v>
      </c>
      <c r="G227" s="272" t="s">
        <v>597</v>
      </c>
      <c r="H227" s="272" t="s">
        <v>585</v>
      </c>
      <c r="I227" s="272" t="s">
        <v>597</v>
      </c>
      <c r="J227" s="417"/>
      <c r="K227" s="419"/>
      <c r="L227" s="213"/>
    </row>
    <row r="228" spans="1:12" ht="15.75" thickBot="1" x14ac:dyDescent="0.3">
      <c r="A228" s="419"/>
      <c r="B228" s="273">
        <v>1</v>
      </c>
      <c r="C228" s="273">
        <v>2</v>
      </c>
      <c r="D228" s="273">
        <v>3</v>
      </c>
      <c r="E228" s="274">
        <v>4</v>
      </c>
      <c r="F228" s="274">
        <f>+E228+1</f>
        <v>5</v>
      </c>
      <c r="G228" s="274" t="s">
        <v>648</v>
      </c>
      <c r="H228" s="274">
        <v>7</v>
      </c>
      <c r="I228" s="275" t="s">
        <v>647</v>
      </c>
      <c r="J228" s="287" t="s">
        <v>646</v>
      </c>
      <c r="K228" s="287" t="s">
        <v>649</v>
      </c>
      <c r="L228" s="214"/>
    </row>
    <row r="229" spans="1:12" x14ac:dyDescent="0.25">
      <c r="A229" s="288"/>
      <c r="B229" s="276" t="s">
        <v>700</v>
      </c>
      <c r="C229" s="288"/>
      <c r="D229" s="288"/>
      <c r="E229" s="288"/>
      <c r="F229" s="288"/>
      <c r="G229" s="288"/>
      <c r="H229" s="288"/>
      <c r="I229" s="288"/>
      <c r="J229" s="288"/>
      <c r="K229" s="288"/>
      <c r="L229" s="114"/>
    </row>
    <row r="230" spans="1:12" x14ac:dyDescent="0.25">
      <c r="A230" s="279">
        <v>1</v>
      </c>
      <c r="B230" s="61" t="s">
        <v>387</v>
      </c>
      <c r="C230" s="62">
        <v>7000</v>
      </c>
      <c r="D230" s="316">
        <f>600.3+1375</f>
        <v>1975.3</v>
      </c>
      <c r="E230" s="62">
        <v>5</v>
      </c>
      <c r="F230" s="61"/>
      <c r="G230" s="289">
        <f t="shared" ref="G230:G251" si="34">+E230+F230</f>
        <v>5</v>
      </c>
      <c r="H230" s="61"/>
      <c r="I230" s="251">
        <f t="shared" ref="I230:I251" si="35">+G230-H230</f>
        <v>5</v>
      </c>
      <c r="J230" s="251">
        <f t="shared" ref="J230:J251" si="36">I230*C230</f>
        <v>35000</v>
      </c>
      <c r="K230" s="290">
        <f t="shared" ref="K230:K251" si="37">+D230*I230</f>
        <v>9876.5</v>
      </c>
      <c r="L230" s="215"/>
    </row>
    <row r="231" spans="1:12" x14ac:dyDescent="0.25">
      <c r="A231" s="279">
        <v>2</v>
      </c>
      <c r="B231" s="358" t="s">
        <v>388</v>
      </c>
      <c r="C231" s="62">
        <v>14500</v>
      </c>
      <c r="D231" s="316">
        <f>1375+177.1</f>
        <v>1552.1</v>
      </c>
      <c r="E231" s="62">
        <v>10</v>
      </c>
      <c r="F231" s="61"/>
      <c r="G231" s="289">
        <f t="shared" si="34"/>
        <v>10</v>
      </c>
      <c r="H231" s="61"/>
      <c r="I231" s="251">
        <f t="shared" si="35"/>
        <v>10</v>
      </c>
      <c r="J231" s="251">
        <f t="shared" si="36"/>
        <v>145000</v>
      </c>
      <c r="K231" s="290">
        <f t="shared" si="37"/>
        <v>15521</v>
      </c>
      <c r="L231" s="215"/>
    </row>
    <row r="232" spans="1:12" x14ac:dyDescent="0.25">
      <c r="A232" s="279">
        <v>3</v>
      </c>
      <c r="B232" s="358" t="s">
        <v>389</v>
      </c>
      <c r="C232" s="62">
        <v>19000</v>
      </c>
      <c r="D232" s="316">
        <f>82.22*6+3135</f>
        <v>3628.32</v>
      </c>
      <c r="E232" s="62">
        <v>25</v>
      </c>
      <c r="F232" s="61"/>
      <c r="G232" s="289">
        <f t="shared" si="34"/>
        <v>25</v>
      </c>
      <c r="H232" s="61"/>
      <c r="I232" s="251">
        <f t="shared" si="35"/>
        <v>25</v>
      </c>
      <c r="J232" s="251">
        <f t="shared" si="36"/>
        <v>475000</v>
      </c>
      <c r="K232" s="290">
        <f t="shared" si="37"/>
        <v>90708</v>
      </c>
      <c r="L232" s="215"/>
    </row>
    <row r="233" spans="1:12" x14ac:dyDescent="0.25">
      <c r="A233" s="279">
        <v>4</v>
      </c>
      <c r="B233" s="358" t="s">
        <v>390</v>
      </c>
      <c r="C233" s="62">
        <v>14000</v>
      </c>
      <c r="D233" s="316">
        <f>3135+582.69+582.69</f>
        <v>4300.38</v>
      </c>
      <c r="E233" s="62">
        <v>25</v>
      </c>
      <c r="F233" s="61"/>
      <c r="G233" s="289">
        <f t="shared" si="34"/>
        <v>25</v>
      </c>
      <c r="H233" s="61"/>
      <c r="I233" s="251">
        <f t="shared" si="35"/>
        <v>25</v>
      </c>
      <c r="J233" s="251">
        <f t="shared" si="36"/>
        <v>350000</v>
      </c>
      <c r="K233" s="290">
        <f t="shared" si="37"/>
        <v>107509.5</v>
      </c>
      <c r="L233" s="215"/>
    </row>
    <row r="234" spans="1:12" x14ac:dyDescent="0.25">
      <c r="A234" s="279">
        <v>5</v>
      </c>
      <c r="B234" s="61" t="s">
        <v>391</v>
      </c>
      <c r="C234" s="62">
        <v>8000</v>
      </c>
      <c r="D234" s="316">
        <f>1760+4*176.31</f>
        <v>2465.2399999999998</v>
      </c>
      <c r="E234" s="62">
        <v>125</v>
      </c>
      <c r="F234" s="61"/>
      <c r="G234" s="289">
        <f t="shared" si="34"/>
        <v>125</v>
      </c>
      <c r="H234" s="61"/>
      <c r="I234" s="251">
        <f t="shared" si="35"/>
        <v>125</v>
      </c>
      <c r="J234" s="251">
        <f t="shared" si="36"/>
        <v>1000000</v>
      </c>
      <c r="K234" s="290">
        <f t="shared" si="37"/>
        <v>308155</v>
      </c>
      <c r="L234" s="215"/>
    </row>
    <row r="235" spans="1:12" x14ac:dyDescent="0.25">
      <c r="A235" s="279">
        <v>6</v>
      </c>
      <c r="B235" s="61" t="s">
        <v>317</v>
      </c>
      <c r="C235" s="62">
        <v>6500</v>
      </c>
      <c r="D235" s="316">
        <f>131.72*3+1760</f>
        <v>2155.16</v>
      </c>
      <c r="E235" s="62">
        <v>135</v>
      </c>
      <c r="F235" s="61"/>
      <c r="G235" s="289">
        <f t="shared" si="34"/>
        <v>135</v>
      </c>
      <c r="H235" s="61"/>
      <c r="I235" s="251">
        <f t="shared" si="35"/>
        <v>135</v>
      </c>
      <c r="J235" s="251">
        <f t="shared" si="36"/>
        <v>877500</v>
      </c>
      <c r="K235" s="290">
        <f t="shared" si="37"/>
        <v>290946.59999999998</v>
      </c>
      <c r="L235" s="215"/>
    </row>
    <row r="236" spans="1:12" x14ac:dyDescent="0.25">
      <c r="A236" s="279">
        <v>7</v>
      </c>
      <c r="B236" s="61" t="s">
        <v>392</v>
      </c>
      <c r="C236" s="62">
        <v>7000</v>
      </c>
      <c r="D236" s="316">
        <f>539.53+1760</f>
        <v>2299.5299999999997</v>
      </c>
      <c r="E236" s="62">
        <v>135</v>
      </c>
      <c r="F236" s="61"/>
      <c r="G236" s="289">
        <f t="shared" si="34"/>
        <v>135</v>
      </c>
      <c r="H236" s="61"/>
      <c r="I236" s="251">
        <f t="shared" si="35"/>
        <v>135</v>
      </c>
      <c r="J236" s="251">
        <f t="shared" si="36"/>
        <v>945000</v>
      </c>
      <c r="K236" s="290">
        <f t="shared" si="37"/>
        <v>310436.55</v>
      </c>
      <c r="L236" s="215"/>
    </row>
    <row r="237" spans="1:12" x14ac:dyDescent="0.25">
      <c r="A237" s="279">
        <v>8</v>
      </c>
      <c r="B237" s="61" t="s">
        <v>393</v>
      </c>
      <c r="C237" s="62">
        <v>6500</v>
      </c>
      <c r="D237" s="316">
        <f>1760+3*170.53</f>
        <v>2271.59</v>
      </c>
      <c r="E237" s="62">
        <v>50</v>
      </c>
      <c r="F237" s="61"/>
      <c r="G237" s="289">
        <f t="shared" si="34"/>
        <v>50</v>
      </c>
      <c r="H237" s="61"/>
      <c r="I237" s="251">
        <f t="shared" si="35"/>
        <v>50</v>
      </c>
      <c r="J237" s="251">
        <f t="shared" si="36"/>
        <v>325000</v>
      </c>
      <c r="K237" s="290">
        <f t="shared" si="37"/>
        <v>113579.5</v>
      </c>
      <c r="L237" s="215"/>
    </row>
    <row r="238" spans="1:12" x14ac:dyDescent="0.25">
      <c r="A238" s="279">
        <v>9</v>
      </c>
      <c r="B238" s="61" t="s">
        <v>394</v>
      </c>
      <c r="C238" s="62">
        <v>14000</v>
      </c>
      <c r="D238" s="316">
        <f>4400+1282.4</f>
        <v>5682.4</v>
      </c>
      <c r="E238" s="62">
        <v>110</v>
      </c>
      <c r="F238" s="61"/>
      <c r="G238" s="289">
        <f t="shared" si="34"/>
        <v>110</v>
      </c>
      <c r="H238" s="61"/>
      <c r="I238" s="251">
        <f t="shared" si="35"/>
        <v>110</v>
      </c>
      <c r="J238" s="251">
        <f t="shared" si="36"/>
        <v>1540000</v>
      </c>
      <c r="K238" s="290">
        <f t="shared" si="37"/>
        <v>625064</v>
      </c>
      <c r="L238" s="215"/>
    </row>
    <row r="239" spans="1:12" x14ac:dyDescent="0.25">
      <c r="A239" s="279">
        <v>10</v>
      </c>
      <c r="B239" s="61" t="s">
        <v>395</v>
      </c>
      <c r="C239" s="62">
        <v>5000</v>
      </c>
      <c r="D239" s="316">
        <f>192.39+2200</f>
        <v>2392.39</v>
      </c>
      <c r="E239" s="62">
        <v>25</v>
      </c>
      <c r="F239" s="61"/>
      <c r="G239" s="289">
        <f t="shared" si="34"/>
        <v>25</v>
      </c>
      <c r="H239" s="61"/>
      <c r="I239" s="251">
        <f t="shared" si="35"/>
        <v>25</v>
      </c>
      <c r="J239" s="251">
        <f t="shared" si="36"/>
        <v>125000</v>
      </c>
      <c r="K239" s="290">
        <f t="shared" si="37"/>
        <v>59809.75</v>
      </c>
      <c r="L239" s="215"/>
    </row>
    <row r="240" spans="1:12" x14ac:dyDescent="0.25">
      <c r="A240" s="279">
        <v>11</v>
      </c>
      <c r="B240" s="285" t="s">
        <v>396</v>
      </c>
      <c r="C240" s="62">
        <v>7000</v>
      </c>
      <c r="D240" s="316">
        <f>328.16+3960</f>
        <v>4288.16</v>
      </c>
      <c r="E240" s="62">
        <v>0</v>
      </c>
      <c r="F240" s="61"/>
      <c r="G240" s="289">
        <f t="shared" si="34"/>
        <v>0</v>
      </c>
      <c r="H240" s="61">
        <f>15-15</f>
        <v>0</v>
      </c>
      <c r="I240" s="251">
        <f t="shared" si="35"/>
        <v>0</v>
      </c>
      <c r="J240" s="251">
        <f t="shared" si="36"/>
        <v>0</v>
      </c>
      <c r="K240" s="290">
        <f t="shared" si="37"/>
        <v>0</v>
      </c>
      <c r="L240" s="215"/>
    </row>
    <row r="241" spans="1:12" x14ac:dyDescent="0.25">
      <c r="A241" s="279">
        <v>12</v>
      </c>
      <c r="B241" s="285" t="s">
        <v>397</v>
      </c>
      <c r="C241" s="62">
        <v>7000</v>
      </c>
      <c r="D241" s="316">
        <f>3960+735.57</f>
        <v>4695.57</v>
      </c>
      <c r="E241" s="62">
        <v>50</v>
      </c>
      <c r="F241" s="61"/>
      <c r="G241" s="289">
        <f t="shared" si="34"/>
        <v>50</v>
      </c>
      <c r="H241" s="61"/>
      <c r="I241" s="251">
        <f t="shared" si="35"/>
        <v>50</v>
      </c>
      <c r="J241" s="251">
        <f t="shared" si="36"/>
        <v>350000</v>
      </c>
      <c r="K241" s="290">
        <f t="shared" si="37"/>
        <v>234778.5</v>
      </c>
      <c r="L241" s="215"/>
    </row>
    <row r="242" spans="1:12" x14ac:dyDescent="0.25">
      <c r="A242" s="279">
        <v>13</v>
      </c>
      <c r="B242" s="61" t="s">
        <v>398</v>
      </c>
      <c r="C242" s="62">
        <v>5000</v>
      </c>
      <c r="D242" s="316">
        <v>1842.39</v>
      </c>
      <c r="E242" s="62">
        <v>0</v>
      </c>
      <c r="F242" s="61"/>
      <c r="G242" s="289">
        <f t="shared" si="34"/>
        <v>0</v>
      </c>
      <c r="H242" s="61">
        <f>10-10</f>
        <v>0</v>
      </c>
      <c r="I242" s="251">
        <f t="shared" si="35"/>
        <v>0</v>
      </c>
      <c r="J242" s="251">
        <f t="shared" si="36"/>
        <v>0</v>
      </c>
      <c r="K242" s="290">
        <f t="shared" si="37"/>
        <v>0</v>
      </c>
      <c r="L242" s="215"/>
    </row>
    <row r="243" spans="1:12" x14ac:dyDescent="0.25">
      <c r="A243" s="279">
        <v>14</v>
      </c>
      <c r="B243" s="352" t="s">
        <v>399</v>
      </c>
      <c r="C243" s="62">
        <v>7000</v>
      </c>
      <c r="D243" s="316">
        <f>182.09*4+1760</f>
        <v>2488.36</v>
      </c>
      <c r="E243" s="62">
        <v>100</v>
      </c>
      <c r="F243" s="61"/>
      <c r="G243" s="289">
        <f t="shared" si="34"/>
        <v>100</v>
      </c>
      <c r="H243" s="61">
        <f>64-64</f>
        <v>0</v>
      </c>
      <c r="I243" s="251">
        <f t="shared" si="35"/>
        <v>100</v>
      </c>
      <c r="J243" s="251">
        <f t="shared" si="36"/>
        <v>700000</v>
      </c>
      <c r="K243" s="290">
        <f t="shared" si="37"/>
        <v>248836</v>
      </c>
      <c r="L243" s="215"/>
    </row>
    <row r="244" spans="1:12" x14ac:dyDescent="0.25">
      <c r="A244" s="279">
        <v>15</v>
      </c>
      <c r="B244" s="352" t="s">
        <v>400</v>
      </c>
      <c r="C244" s="62">
        <v>7000</v>
      </c>
      <c r="D244" s="316">
        <f>634.7+1760</f>
        <v>2394.6999999999998</v>
      </c>
      <c r="E244" s="62">
        <v>165</v>
      </c>
      <c r="F244" s="61"/>
      <c r="G244" s="289">
        <f t="shared" si="34"/>
        <v>165</v>
      </c>
      <c r="H244" s="61"/>
      <c r="I244" s="251">
        <f t="shared" si="35"/>
        <v>165</v>
      </c>
      <c r="J244" s="251">
        <f t="shared" si="36"/>
        <v>1155000</v>
      </c>
      <c r="K244" s="290">
        <f t="shared" si="37"/>
        <v>395125.49999999994</v>
      </c>
      <c r="L244" s="215"/>
    </row>
    <row r="245" spans="1:12" x14ac:dyDescent="0.25">
      <c r="A245" s="279">
        <v>16</v>
      </c>
      <c r="B245" s="352" t="s">
        <v>401</v>
      </c>
      <c r="C245" s="62">
        <v>8000</v>
      </c>
      <c r="D245" s="316">
        <f>136.57*2+2050</f>
        <v>2323.14</v>
      </c>
      <c r="E245" s="62">
        <v>50</v>
      </c>
      <c r="F245" s="61"/>
      <c r="G245" s="289">
        <f t="shared" si="34"/>
        <v>50</v>
      </c>
      <c r="H245" s="61"/>
      <c r="I245" s="251">
        <f t="shared" si="35"/>
        <v>50</v>
      </c>
      <c r="J245" s="251">
        <f t="shared" si="36"/>
        <v>400000</v>
      </c>
      <c r="K245" s="290">
        <f t="shared" si="37"/>
        <v>116157</v>
      </c>
      <c r="L245" s="215"/>
    </row>
    <row r="246" spans="1:12" x14ac:dyDescent="0.25">
      <c r="A246" s="279">
        <v>17</v>
      </c>
      <c r="B246" s="61" t="s">
        <v>402</v>
      </c>
      <c r="C246" s="62">
        <v>20000</v>
      </c>
      <c r="D246" s="316">
        <f>2860+116.35*11</f>
        <v>4139.8500000000004</v>
      </c>
      <c r="E246" s="62">
        <v>90</v>
      </c>
      <c r="F246" s="61"/>
      <c r="G246" s="289">
        <f t="shared" si="34"/>
        <v>90</v>
      </c>
      <c r="H246" s="61"/>
      <c r="I246" s="251">
        <f t="shared" si="35"/>
        <v>90</v>
      </c>
      <c r="J246" s="251">
        <f t="shared" si="36"/>
        <v>1800000</v>
      </c>
      <c r="K246" s="290">
        <f t="shared" si="37"/>
        <v>372586.50000000006</v>
      </c>
      <c r="L246" s="215"/>
    </row>
    <row r="247" spans="1:12" x14ac:dyDescent="0.25">
      <c r="A247" s="279">
        <v>18</v>
      </c>
      <c r="B247" s="61" t="s">
        <v>403</v>
      </c>
      <c r="C247" s="62">
        <v>5000</v>
      </c>
      <c r="D247" s="316">
        <f>111.78*2+1760</f>
        <v>1983.56</v>
      </c>
      <c r="E247" s="62">
        <v>50</v>
      </c>
      <c r="F247" s="61"/>
      <c r="G247" s="289">
        <f t="shared" si="34"/>
        <v>50</v>
      </c>
      <c r="H247" s="61"/>
      <c r="I247" s="251">
        <f t="shared" si="35"/>
        <v>50</v>
      </c>
      <c r="J247" s="251">
        <f t="shared" si="36"/>
        <v>250000</v>
      </c>
      <c r="K247" s="290">
        <f t="shared" si="37"/>
        <v>99178</v>
      </c>
      <c r="L247" s="215"/>
    </row>
    <row r="248" spans="1:12" x14ac:dyDescent="0.25">
      <c r="A248" s="279">
        <v>19</v>
      </c>
      <c r="B248" s="61" t="s">
        <v>404</v>
      </c>
      <c r="C248" s="62">
        <v>7000</v>
      </c>
      <c r="D248" s="316">
        <f>1650+872.71</f>
        <v>2522.71</v>
      </c>
      <c r="E248" s="62">
        <v>25</v>
      </c>
      <c r="F248" s="61"/>
      <c r="G248" s="289">
        <f t="shared" si="34"/>
        <v>25</v>
      </c>
      <c r="H248" s="61"/>
      <c r="I248" s="251">
        <f t="shared" si="35"/>
        <v>25</v>
      </c>
      <c r="J248" s="251">
        <f t="shared" si="36"/>
        <v>175000</v>
      </c>
      <c r="K248" s="290">
        <f t="shared" si="37"/>
        <v>63067.75</v>
      </c>
      <c r="L248" s="215"/>
    </row>
    <row r="249" spans="1:12" x14ac:dyDescent="0.25">
      <c r="A249" s="279">
        <v>20</v>
      </c>
      <c r="B249" s="61" t="s">
        <v>405</v>
      </c>
      <c r="C249" s="62">
        <v>5000</v>
      </c>
      <c r="D249" s="316">
        <f>1650+192.39</f>
        <v>1842.3899999999999</v>
      </c>
      <c r="E249" s="62">
        <v>25</v>
      </c>
      <c r="F249" s="61"/>
      <c r="G249" s="289">
        <f t="shared" si="34"/>
        <v>25</v>
      </c>
      <c r="H249" s="61"/>
      <c r="I249" s="251">
        <f t="shared" si="35"/>
        <v>25</v>
      </c>
      <c r="J249" s="251">
        <f t="shared" si="36"/>
        <v>125000</v>
      </c>
      <c r="K249" s="290">
        <f t="shared" si="37"/>
        <v>46059.75</v>
      </c>
      <c r="L249" s="215"/>
    </row>
    <row r="250" spans="1:12" x14ac:dyDescent="0.25">
      <c r="A250" s="279">
        <v>21</v>
      </c>
      <c r="B250" s="61" t="s">
        <v>406</v>
      </c>
      <c r="C250" s="62">
        <v>4000</v>
      </c>
      <c r="D250" s="316">
        <f>1760+177.2</f>
        <v>1937.2</v>
      </c>
      <c r="E250" s="62">
        <v>10</v>
      </c>
      <c r="F250" s="61"/>
      <c r="G250" s="289">
        <f t="shared" si="34"/>
        <v>10</v>
      </c>
      <c r="H250" s="61"/>
      <c r="I250" s="251">
        <f t="shared" si="35"/>
        <v>10</v>
      </c>
      <c r="J250" s="251">
        <f t="shared" si="36"/>
        <v>40000</v>
      </c>
      <c r="K250" s="290">
        <f t="shared" si="37"/>
        <v>19372</v>
      </c>
      <c r="L250" s="215"/>
    </row>
    <row r="251" spans="1:12" ht="15.75" thickBot="1" x14ac:dyDescent="0.3">
      <c r="A251" s="338">
        <v>22</v>
      </c>
      <c r="B251" s="90" t="s">
        <v>407</v>
      </c>
      <c r="C251" s="91">
        <v>38500</v>
      </c>
      <c r="D251" s="351">
        <f>1540*11+11*231.84</f>
        <v>19490.240000000002</v>
      </c>
      <c r="E251" s="91">
        <v>59</v>
      </c>
      <c r="F251" s="90"/>
      <c r="G251" s="300">
        <f t="shared" si="34"/>
        <v>59</v>
      </c>
      <c r="H251" s="90"/>
      <c r="I251" s="292">
        <f t="shared" si="35"/>
        <v>59</v>
      </c>
      <c r="J251" s="292">
        <f t="shared" si="36"/>
        <v>2271500</v>
      </c>
      <c r="K251" s="293">
        <f t="shared" si="37"/>
        <v>1149924.1600000001</v>
      </c>
      <c r="L251" s="215"/>
    </row>
    <row r="252" spans="1:12" ht="15.75" thickBot="1" x14ac:dyDescent="0.3">
      <c r="A252" s="313"/>
      <c r="B252" s="96" t="s">
        <v>669</v>
      </c>
      <c r="C252" s="296"/>
      <c r="D252" s="296"/>
      <c r="E252" s="97">
        <f t="shared" ref="E252:K252" si="38">SUM(E230:E251)</f>
        <v>1269</v>
      </c>
      <c r="F252" s="97">
        <f t="shared" si="38"/>
        <v>0</v>
      </c>
      <c r="G252" s="97">
        <f t="shared" si="38"/>
        <v>1269</v>
      </c>
      <c r="H252" s="97">
        <f t="shared" si="38"/>
        <v>0</v>
      </c>
      <c r="I252" s="97">
        <f t="shared" si="38"/>
        <v>1269</v>
      </c>
      <c r="J252" s="97">
        <f t="shared" si="38"/>
        <v>13084000</v>
      </c>
      <c r="K252" s="297">
        <f t="shared" si="38"/>
        <v>4676691.5600000005</v>
      </c>
      <c r="L252" s="151"/>
    </row>
    <row r="253" spans="1:12" ht="15.75" thickBot="1" x14ac:dyDescent="0.3">
      <c r="A253" s="298"/>
      <c r="B253" s="138"/>
      <c r="C253" s="139"/>
      <c r="D253" s="140"/>
      <c r="E253" s="141"/>
      <c r="F253" s="138"/>
      <c r="G253" s="141"/>
      <c r="H253" s="141"/>
      <c r="I253" s="141"/>
      <c r="J253" s="141"/>
      <c r="K253" s="140"/>
      <c r="L253" s="140"/>
    </row>
    <row r="254" spans="1:12" ht="15.75" thickBot="1" x14ac:dyDescent="0.3">
      <c r="A254" s="418" t="s">
        <v>653</v>
      </c>
      <c r="B254" s="421" t="s">
        <v>704</v>
      </c>
      <c r="C254" s="421" t="s">
        <v>1</v>
      </c>
      <c r="D254" s="422" t="s">
        <v>645</v>
      </c>
      <c r="E254" s="423" t="s">
        <v>19</v>
      </c>
      <c r="F254" s="423"/>
      <c r="G254" s="423"/>
      <c r="H254" s="423"/>
      <c r="I254" s="423"/>
      <c r="J254" s="416" t="s">
        <v>20</v>
      </c>
      <c r="K254" s="418" t="s">
        <v>598</v>
      </c>
      <c r="L254" s="213"/>
    </row>
    <row r="255" spans="1:12" ht="30.75" thickBot="1" x14ac:dyDescent="0.3">
      <c r="A255" s="420"/>
      <c r="B255" s="421"/>
      <c r="C255" s="421"/>
      <c r="D255" s="422"/>
      <c r="E255" s="272" t="s">
        <v>21</v>
      </c>
      <c r="F255" s="272" t="s">
        <v>596</v>
      </c>
      <c r="G255" s="272" t="s">
        <v>597</v>
      </c>
      <c r="H255" s="272" t="s">
        <v>585</v>
      </c>
      <c r="I255" s="272" t="s">
        <v>597</v>
      </c>
      <c r="J255" s="417"/>
      <c r="K255" s="419"/>
      <c r="L255" s="213"/>
    </row>
    <row r="256" spans="1:12" ht="15.75" thickBot="1" x14ac:dyDescent="0.3">
      <c r="A256" s="419"/>
      <c r="B256" s="273">
        <v>1</v>
      </c>
      <c r="C256" s="273">
        <v>2</v>
      </c>
      <c r="D256" s="273">
        <v>3</v>
      </c>
      <c r="E256" s="274">
        <v>4</v>
      </c>
      <c r="F256" s="274">
        <f>+E256+1</f>
        <v>5</v>
      </c>
      <c r="G256" s="274" t="s">
        <v>648</v>
      </c>
      <c r="H256" s="274">
        <v>7</v>
      </c>
      <c r="I256" s="275" t="s">
        <v>647</v>
      </c>
      <c r="J256" s="287" t="s">
        <v>646</v>
      </c>
      <c r="K256" s="287" t="s">
        <v>649</v>
      </c>
      <c r="L256" s="214"/>
    </row>
    <row r="257" spans="1:12" x14ac:dyDescent="0.25">
      <c r="A257" s="288"/>
      <c r="B257" s="276" t="s">
        <v>702</v>
      </c>
      <c r="C257" s="288"/>
      <c r="D257" s="288"/>
      <c r="E257" s="288"/>
      <c r="F257" s="288"/>
      <c r="G257" s="288"/>
      <c r="H257" s="288"/>
      <c r="I257" s="288"/>
      <c r="J257" s="288"/>
      <c r="K257" s="288"/>
      <c r="L257" s="114"/>
    </row>
    <row r="258" spans="1:12" x14ac:dyDescent="0.25">
      <c r="A258" s="279">
        <v>1</v>
      </c>
      <c r="B258" s="61" t="s">
        <v>408</v>
      </c>
      <c r="C258" s="62">
        <v>11000</v>
      </c>
      <c r="D258" s="316">
        <v>2154.44</v>
      </c>
      <c r="E258" s="62">
        <v>236</v>
      </c>
      <c r="F258" s="61">
        <f>192-192+(31-31)</f>
        <v>0</v>
      </c>
      <c r="G258" s="289">
        <f t="shared" ref="G258:G289" si="39">+E258+F258</f>
        <v>236</v>
      </c>
      <c r="H258" s="61"/>
      <c r="I258" s="251">
        <f t="shared" ref="I258:I287" si="40">+G258-H258</f>
        <v>236</v>
      </c>
      <c r="J258" s="251">
        <f t="shared" ref="J258:J287" si="41">I258*C258</f>
        <v>2596000</v>
      </c>
      <c r="K258" s="290">
        <f t="shared" ref="K258:K287" si="42">+D258*I258</f>
        <v>508447.84</v>
      </c>
      <c r="L258" s="215"/>
    </row>
    <row r="259" spans="1:12" x14ac:dyDescent="0.25">
      <c r="A259" s="279">
        <v>2</v>
      </c>
      <c r="B259" s="61" t="s">
        <v>409</v>
      </c>
      <c r="C259" s="62">
        <v>7000</v>
      </c>
      <c r="D259" s="316">
        <v>2593.21</v>
      </c>
      <c r="E259" s="62">
        <v>310</v>
      </c>
      <c r="F259" s="61">
        <f>198-198+(79-79)</f>
        <v>0</v>
      </c>
      <c r="G259" s="289">
        <f t="shared" si="39"/>
        <v>310</v>
      </c>
      <c r="H259" s="61"/>
      <c r="I259" s="251">
        <f t="shared" si="40"/>
        <v>310</v>
      </c>
      <c r="J259" s="251">
        <f t="shared" si="41"/>
        <v>2170000</v>
      </c>
      <c r="K259" s="290">
        <f t="shared" si="42"/>
        <v>803895.1</v>
      </c>
      <c r="L259" s="215"/>
    </row>
    <row r="260" spans="1:12" x14ac:dyDescent="0.25">
      <c r="A260" s="279">
        <v>3</v>
      </c>
      <c r="B260" s="61" t="s">
        <v>410</v>
      </c>
      <c r="C260" s="62">
        <v>8000</v>
      </c>
      <c r="D260" s="316">
        <v>2094.84</v>
      </c>
      <c r="E260" s="62">
        <v>1270</v>
      </c>
      <c r="F260" s="61">
        <f>490+14-504+(676-676)</f>
        <v>0</v>
      </c>
      <c r="G260" s="289">
        <f t="shared" si="39"/>
        <v>1270</v>
      </c>
      <c r="H260" s="61"/>
      <c r="I260" s="251">
        <f t="shared" si="40"/>
        <v>1270</v>
      </c>
      <c r="J260" s="251">
        <f t="shared" si="41"/>
        <v>10160000</v>
      </c>
      <c r="K260" s="290">
        <f t="shared" si="42"/>
        <v>2660446.8000000003</v>
      </c>
      <c r="L260" s="215"/>
    </row>
    <row r="261" spans="1:12" x14ac:dyDescent="0.25">
      <c r="A261" s="279">
        <v>4</v>
      </c>
      <c r="B261" s="61" t="s">
        <v>411</v>
      </c>
      <c r="C261" s="62">
        <v>10000</v>
      </c>
      <c r="D261" s="316">
        <v>4514.84</v>
      </c>
      <c r="E261" s="62">
        <v>174</v>
      </c>
      <c r="F261" s="61"/>
      <c r="G261" s="289">
        <f t="shared" si="39"/>
        <v>174</v>
      </c>
      <c r="H261" s="61"/>
      <c r="I261" s="251">
        <f t="shared" si="40"/>
        <v>174</v>
      </c>
      <c r="J261" s="251">
        <f t="shared" si="41"/>
        <v>1740000</v>
      </c>
      <c r="K261" s="290">
        <f t="shared" si="42"/>
        <v>785582.16</v>
      </c>
      <c r="L261" s="227" t="s">
        <v>998</v>
      </c>
    </row>
    <row r="262" spans="1:12" x14ac:dyDescent="0.25">
      <c r="A262" s="279">
        <v>5</v>
      </c>
      <c r="B262" s="352" t="s">
        <v>412</v>
      </c>
      <c r="C262" s="62">
        <v>6000</v>
      </c>
      <c r="D262" s="316">
        <v>2106.4</v>
      </c>
      <c r="E262" s="62">
        <v>866</v>
      </c>
      <c r="F262" s="61">
        <f>374+8-382+(479-479)</f>
        <v>0</v>
      </c>
      <c r="G262" s="289">
        <f t="shared" si="39"/>
        <v>866</v>
      </c>
      <c r="H262" s="61"/>
      <c r="I262" s="251">
        <f t="shared" si="40"/>
        <v>866</v>
      </c>
      <c r="J262" s="251">
        <f t="shared" si="41"/>
        <v>5196000</v>
      </c>
      <c r="K262" s="290">
        <f t="shared" si="42"/>
        <v>1824142.4000000001</v>
      </c>
      <c r="L262" s="215"/>
    </row>
    <row r="263" spans="1:12" x14ac:dyDescent="0.25">
      <c r="A263" s="279">
        <v>6</v>
      </c>
      <c r="B263" s="61" t="s">
        <v>413</v>
      </c>
      <c r="C263" s="62">
        <v>7000</v>
      </c>
      <c r="D263" s="316">
        <v>2830.73</v>
      </c>
      <c r="E263" s="62">
        <v>495</v>
      </c>
      <c r="F263" s="61">
        <f>233-233+(212-212)</f>
        <v>0</v>
      </c>
      <c r="G263" s="289">
        <f t="shared" si="39"/>
        <v>495</v>
      </c>
      <c r="H263" s="61"/>
      <c r="I263" s="251">
        <f t="shared" si="40"/>
        <v>495</v>
      </c>
      <c r="J263" s="251">
        <f t="shared" si="41"/>
        <v>3465000</v>
      </c>
      <c r="K263" s="290">
        <f t="shared" si="42"/>
        <v>1401211.35</v>
      </c>
      <c r="L263" s="215"/>
    </row>
    <row r="264" spans="1:12" x14ac:dyDescent="0.25">
      <c r="A264" s="279">
        <v>7</v>
      </c>
      <c r="B264" s="352" t="s">
        <v>414</v>
      </c>
      <c r="C264" s="62">
        <v>7000</v>
      </c>
      <c r="D264" s="316">
        <v>2002.06</v>
      </c>
      <c r="E264" s="62">
        <v>1071</v>
      </c>
      <c r="F264" s="61">
        <f>202+8-210+(661-661)</f>
        <v>0</v>
      </c>
      <c r="G264" s="289">
        <f t="shared" si="39"/>
        <v>1071</v>
      </c>
      <c r="H264" s="61"/>
      <c r="I264" s="251">
        <f t="shared" si="40"/>
        <v>1071</v>
      </c>
      <c r="J264" s="251">
        <f t="shared" si="41"/>
        <v>7497000</v>
      </c>
      <c r="K264" s="290">
        <f t="shared" si="42"/>
        <v>2144206.2599999998</v>
      </c>
      <c r="L264" s="215"/>
    </row>
    <row r="265" spans="1:12" x14ac:dyDescent="0.25">
      <c r="A265" s="279">
        <v>8</v>
      </c>
      <c r="B265" s="61" t="s">
        <v>415</v>
      </c>
      <c r="C265" s="62">
        <v>5000</v>
      </c>
      <c r="D265" s="316">
        <v>1646.07</v>
      </c>
      <c r="E265" s="62">
        <v>684</v>
      </c>
      <c r="F265" s="61">
        <f>163-163+(471-471)</f>
        <v>0</v>
      </c>
      <c r="G265" s="289">
        <f t="shared" si="39"/>
        <v>684</v>
      </c>
      <c r="H265" s="61"/>
      <c r="I265" s="251">
        <f t="shared" si="40"/>
        <v>684</v>
      </c>
      <c r="J265" s="251">
        <f t="shared" si="41"/>
        <v>3420000</v>
      </c>
      <c r="K265" s="290">
        <f t="shared" si="42"/>
        <v>1125911.8799999999</v>
      </c>
      <c r="L265" s="215"/>
    </row>
    <row r="266" spans="1:12" x14ac:dyDescent="0.25">
      <c r="A266" s="279">
        <v>9</v>
      </c>
      <c r="B266" s="61" t="s">
        <v>317</v>
      </c>
      <c r="C266" s="62">
        <v>7000</v>
      </c>
      <c r="D266" s="316">
        <v>1955.38</v>
      </c>
      <c r="E266" s="62">
        <v>1270</v>
      </c>
      <c r="F266" s="61">
        <f>608+15-623+(607-607)</f>
        <v>0</v>
      </c>
      <c r="G266" s="289">
        <f t="shared" si="39"/>
        <v>1270</v>
      </c>
      <c r="H266" s="61"/>
      <c r="I266" s="251">
        <f t="shared" si="40"/>
        <v>1270</v>
      </c>
      <c r="J266" s="251">
        <f t="shared" si="41"/>
        <v>8890000</v>
      </c>
      <c r="K266" s="290">
        <f t="shared" si="42"/>
        <v>2483332.6</v>
      </c>
      <c r="L266" s="215"/>
    </row>
    <row r="267" spans="1:12" x14ac:dyDescent="0.25">
      <c r="A267" s="279">
        <v>10</v>
      </c>
      <c r="B267" s="61" t="s">
        <v>318</v>
      </c>
      <c r="C267" s="62">
        <v>7000</v>
      </c>
      <c r="D267" s="316">
        <v>1458.95</v>
      </c>
      <c r="E267" s="62">
        <v>1199</v>
      </c>
      <c r="F267" s="61">
        <f>422+9-431+(728-728)</f>
        <v>0</v>
      </c>
      <c r="G267" s="289">
        <f t="shared" si="39"/>
        <v>1199</v>
      </c>
      <c r="H267" s="61"/>
      <c r="I267" s="251">
        <f t="shared" si="40"/>
        <v>1199</v>
      </c>
      <c r="J267" s="251">
        <f t="shared" si="41"/>
        <v>8393000</v>
      </c>
      <c r="K267" s="290">
        <f t="shared" si="42"/>
        <v>1749281.05</v>
      </c>
      <c r="L267" s="215"/>
    </row>
    <row r="268" spans="1:12" x14ac:dyDescent="0.25">
      <c r="A268" s="279">
        <v>11</v>
      </c>
      <c r="B268" s="61" t="s">
        <v>416</v>
      </c>
      <c r="C268" s="62">
        <v>5000</v>
      </c>
      <c r="D268" s="316">
        <f>1320+(3542/8)</f>
        <v>1762.75</v>
      </c>
      <c r="E268" s="62">
        <v>3365</v>
      </c>
      <c r="F268" s="61">
        <f>260-260+(505-505)</f>
        <v>0</v>
      </c>
      <c r="G268" s="289">
        <f t="shared" si="39"/>
        <v>3365</v>
      </c>
      <c r="H268" s="61"/>
      <c r="I268" s="251">
        <f t="shared" si="40"/>
        <v>3365</v>
      </c>
      <c r="J268" s="251">
        <f t="shared" si="41"/>
        <v>16825000</v>
      </c>
      <c r="K268" s="290">
        <f t="shared" si="42"/>
        <v>5931653.75</v>
      </c>
      <c r="L268" s="215"/>
    </row>
    <row r="269" spans="1:12" x14ac:dyDescent="0.25">
      <c r="A269" s="279">
        <v>12</v>
      </c>
      <c r="B269" s="61" t="s">
        <v>417</v>
      </c>
      <c r="C269" s="62">
        <v>12000</v>
      </c>
      <c r="D269" s="316">
        <v>2253.37</v>
      </c>
      <c r="E269" s="62">
        <v>929</v>
      </c>
      <c r="F269" s="61">
        <f>387-387+(542-542)</f>
        <v>0</v>
      </c>
      <c r="G269" s="289">
        <f t="shared" si="39"/>
        <v>929</v>
      </c>
      <c r="H269" s="61">
        <f>50-50</f>
        <v>0</v>
      </c>
      <c r="I269" s="251">
        <f t="shared" si="40"/>
        <v>929</v>
      </c>
      <c r="J269" s="251">
        <f t="shared" si="41"/>
        <v>11148000</v>
      </c>
      <c r="K269" s="290">
        <f t="shared" si="42"/>
        <v>2093380.73</v>
      </c>
      <c r="L269" s="215"/>
    </row>
    <row r="270" spans="1:12" x14ac:dyDescent="0.25">
      <c r="A270" s="279">
        <v>13</v>
      </c>
      <c r="B270" s="61" t="s">
        <v>418</v>
      </c>
      <c r="C270" s="62">
        <v>9500</v>
      </c>
      <c r="D270" s="316">
        <v>2051.96</v>
      </c>
      <c r="E270" s="62">
        <v>1158</v>
      </c>
      <c r="F270" s="61">
        <f>(338+21-359)+(739-739)</f>
        <v>0</v>
      </c>
      <c r="G270" s="289">
        <f t="shared" si="39"/>
        <v>1158</v>
      </c>
      <c r="H270" s="61"/>
      <c r="I270" s="251">
        <f t="shared" si="40"/>
        <v>1158</v>
      </c>
      <c r="J270" s="251">
        <f t="shared" si="41"/>
        <v>11001000</v>
      </c>
      <c r="K270" s="290">
        <f t="shared" si="42"/>
        <v>2376169.6800000002</v>
      </c>
      <c r="L270" s="215"/>
    </row>
    <row r="271" spans="1:12" x14ac:dyDescent="0.25">
      <c r="A271" s="279">
        <v>14</v>
      </c>
      <c r="B271" s="61" t="s">
        <v>419</v>
      </c>
      <c r="C271" s="62">
        <v>7000</v>
      </c>
      <c r="D271" s="316">
        <v>1743.66</v>
      </c>
      <c r="E271" s="62">
        <v>1204</v>
      </c>
      <c r="F271" s="61">
        <f>631+19-650+(494-494)</f>
        <v>0</v>
      </c>
      <c r="G271" s="289">
        <f t="shared" si="39"/>
        <v>1204</v>
      </c>
      <c r="H271" s="61"/>
      <c r="I271" s="251">
        <f t="shared" si="40"/>
        <v>1204</v>
      </c>
      <c r="J271" s="251">
        <f t="shared" si="41"/>
        <v>8428000</v>
      </c>
      <c r="K271" s="290">
        <f t="shared" si="42"/>
        <v>2099366.64</v>
      </c>
      <c r="L271" s="215"/>
    </row>
    <row r="272" spans="1:12" x14ac:dyDescent="0.25">
      <c r="A272" s="279">
        <v>15</v>
      </c>
      <c r="B272" s="61" t="s">
        <v>420</v>
      </c>
      <c r="C272" s="62">
        <v>13500</v>
      </c>
      <c r="D272" s="316">
        <v>1935.04</v>
      </c>
      <c r="E272" s="62">
        <v>1577</v>
      </c>
      <c r="F272" s="61">
        <f>689-689+(788-788)</f>
        <v>0</v>
      </c>
      <c r="G272" s="289">
        <f t="shared" si="39"/>
        <v>1577</v>
      </c>
      <c r="H272" s="61"/>
      <c r="I272" s="251">
        <f t="shared" si="40"/>
        <v>1577</v>
      </c>
      <c r="J272" s="251">
        <f t="shared" si="41"/>
        <v>21289500</v>
      </c>
      <c r="K272" s="290">
        <f t="shared" si="42"/>
        <v>3051558.08</v>
      </c>
      <c r="L272" s="215"/>
    </row>
    <row r="273" spans="1:14" x14ac:dyDescent="0.25">
      <c r="A273" s="279">
        <v>16</v>
      </c>
      <c r="B273" s="61" t="s">
        <v>421</v>
      </c>
      <c r="C273" s="62">
        <v>24000</v>
      </c>
      <c r="D273" s="316">
        <v>3985.2</v>
      </c>
      <c r="E273" s="62">
        <v>2139</v>
      </c>
      <c r="F273" s="61">
        <f>565+29-594+(1435-1435)</f>
        <v>0</v>
      </c>
      <c r="G273" s="289">
        <f t="shared" si="39"/>
        <v>2139</v>
      </c>
      <c r="H273" s="61"/>
      <c r="I273" s="251">
        <f t="shared" si="40"/>
        <v>2139</v>
      </c>
      <c r="J273" s="251">
        <f t="shared" si="41"/>
        <v>51336000</v>
      </c>
      <c r="K273" s="290">
        <f t="shared" si="42"/>
        <v>8524342.7999999989</v>
      </c>
      <c r="L273" s="215"/>
    </row>
    <row r="274" spans="1:14" x14ac:dyDescent="0.25">
      <c r="A274" s="279">
        <v>17</v>
      </c>
      <c r="B274" s="61" t="s">
        <v>422</v>
      </c>
      <c r="C274" s="62">
        <v>5000</v>
      </c>
      <c r="D274" s="316">
        <v>1786.46</v>
      </c>
      <c r="E274" s="62">
        <v>656</v>
      </c>
      <c r="F274" s="61">
        <f>224-224+(90-90)</f>
        <v>0</v>
      </c>
      <c r="G274" s="289">
        <f t="shared" si="39"/>
        <v>656</v>
      </c>
      <c r="H274" s="61"/>
      <c r="I274" s="251">
        <f t="shared" si="40"/>
        <v>656</v>
      </c>
      <c r="J274" s="251">
        <f t="shared" si="41"/>
        <v>3280000</v>
      </c>
      <c r="K274" s="290">
        <f t="shared" si="42"/>
        <v>1171917.76</v>
      </c>
      <c r="L274" s="215">
        <f>80*4</f>
        <v>320</v>
      </c>
      <c r="M274" s="40">
        <v>22</v>
      </c>
      <c r="N274" s="142">
        <f>+L274+M274</f>
        <v>342</v>
      </c>
    </row>
    <row r="275" spans="1:14" x14ac:dyDescent="0.25">
      <c r="A275" s="279">
        <v>18</v>
      </c>
      <c r="B275" s="61" t="s">
        <v>423</v>
      </c>
      <c r="C275" s="62">
        <v>7000</v>
      </c>
      <c r="D275" s="316">
        <v>1980.78</v>
      </c>
      <c r="E275" s="62">
        <v>1647</v>
      </c>
      <c r="F275" s="61">
        <f>(735+26-761)+(841-841)</f>
        <v>0</v>
      </c>
      <c r="G275" s="289">
        <f t="shared" si="39"/>
        <v>1647</v>
      </c>
      <c r="H275" s="61"/>
      <c r="I275" s="251">
        <f t="shared" si="40"/>
        <v>1647</v>
      </c>
      <c r="J275" s="251">
        <f t="shared" si="41"/>
        <v>11529000</v>
      </c>
      <c r="K275" s="290">
        <f t="shared" si="42"/>
        <v>3262344.66</v>
      </c>
      <c r="L275" s="215"/>
    </row>
    <row r="276" spans="1:14" x14ac:dyDescent="0.25">
      <c r="A276" s="279">
        <v>19</v>
      </c>
      <c r="B276" s="61" t="s">
        <v>1142</v>
      </c>
      <c r="C276" s="62">
        <v>5000</v>
      </c>
      <c r="D276" s="316">
        <v>1848.18</v>
      </c>
      <c r="E276" s="62">
        <v>911</v>
      </c>
      <c r="F276" s="61">
        <f>+(31-31)</f>
        <v>0</v>
      </c>
      <c r="G276" s="289">
        <f t="shared" si="39"/>
        <v>911</v>
      </c>
      <c r="H276" s="61"/>
      <c r="I276" s="251">
        <f t="shared" si="40"/>
        <v>911</v>
      </c>
      <c r="J276" s="251">
        <f t="shared" si="41"/>
        <v>4555000</v>
      </c>
      <c r="K276" s="290">
        <f t="shared" si="42"/>
        <v>1683691.98</v>
      </c>
      <c r="L276" s="215"/>
    </row>
    <row r="277" spans="1:14" x14ac:dyDescent="0.25">
      <c r="A277" s="279">
        <v>20</v>
      </c>
      <c r="B277" s="61" t="s">
        <v>424</v>
      </c>
      <c r="C277" s="62">
        <v>5000</v>
      </c>
      <c r="D277" s="316">
        <v>1881.84</v>
      </c>
      <c r="E277" s="62">
        <v>621</v>
      </c>
      <c r="F277" s="61">
        <f>221-221</f>
        <v>0</v>
      </c>
      <c r="G277" s="289">
        <f t="shared" si="39"/>
        <v>621</v>
      </c>
      <c r="H277" s="61"/>
      <c r="I277" s="251">
        <f t="shared" si="40"/>
        <v>621</v>
      </c>
      <c r="J277" s="251">
        <f t="shared" si="41"/>
        <v>3105000</v>
      </c>
      <c r="K277" s="290">
        <f t="shared" si="42"/>
        <v>1168622.6399999999</v>
      </c>
      <c r="L277" s="215"/>
    </row>
    <row r="278" spans="1:14" x14ac:dyDescent="0.25">
      <c r="A278" s="279">
        <v>21</v>
      </c>
      <c r="B278" s="61" t="s">
        <v>425</v>
      </c>
      <c r="C278" s="62">
        <v>12000</v>
      </c>
      <c r="D278" s="316">
        <v>2204.1999999999998</v>
      </c>
      <c r="E278" s="62">
        <v>1370</v>
      </c>
      <c r="F278" s="61">
        <f>268+3-271+(1079-1079)</f>
        <v>0</v>
      </c>
      <c r="G278" s="289">
        <f t="shared" si="39"/>
        <v>1370</v>
      </c>
      <c r="H278" s="61"/>
      <c r="I278" s="251">
        <f t="shared" si="40"/>
        <v>1370</v>
      </c>
      <c r="J278" s="251">
        <f t="shared" si="41"/>
        <v>16440000</v>
      </c>
      <c r="K278" s="290">
        <f t="shared" si="42"/>
        <v>3019753.9999999995</v>
      </c>
      <c r="L278" s="215"/>
    </row>
    <row r="279" spans="1:14" x14ac:dyDescent="0.25">
      <c r="A279" s="279">
        <v>22</v>
      </c>
      <c r="B279" s="61" t="s">
        <v>426</v>
      </c>
      <c r="C279" s="62">
        <v>7000</v>
      </c>
      <c r="D279" s="316">
        <v>3488.55</v>
      </c>
      <c r="E279" s="62">
        <v>2186</v>
      </c>
      <c r="F279" s="61"/>
      <c r="G279" s="289">
        <f t="shared" si="39"/>
        <v>2186</v>
      </c>
      <c r="H279" s="61"/>
      <c r="I279" s="251">
        <f t="shared" si="40"/>
        <v>2186</v>
      </c>
      <c r="J279" s="251">
        <f t="shared" si="41"/>
        <v>15302000</v>
      </c>
      <c r="K279" s="290">
        <f t="shared" si="42"/>
        <v>7625970.3000000007</v>
      </c>
      <c r="L279" s="215"/>
    </row>
    <row r="280" spans="1:14" x14ac:dyDescent="0.25">
      <c r="A280" s="279">
        <v>23</v>
      </c>
      <c r="B280" s="61" t="s">
        <v>427</v>
      </c>
      <c r="C280" s="62">
        <v>19000</v>
      </c>
      <c r="D280" s="316">
        <v>2353.6999999999998</v>
      </c>
      <c r="E280" s="62">
        <v>1904</v>
      </c>
      <c r="F280" s="61">
        <f>1428/2-714+(1160-1160)</f>
        <v>0</v>
      </c>
      <c r="G280" s="289">
        <f t="shared" si="39"/>
        <v>1904</v>
      </c>
      <c r="H280" s="61"/>
      <c r="I280" s="251">
        <f t="shared" si="40"/>
        <v>1904</v>
      </c>
      <c r="J280" s="251">
        <f t="shared" si="41"/>
        <v>36176000</v>
      </c>
      <c r="K280" s="290">
        <f t="shared" si="42"/>
        <v>4481444.8</v>
      </c>
      <c r="L280" s="252" t="s">
        <v>1100</v>
      </c>
    </row>
    <row r="281" spans="1:14" x14ac:dyDescent="0.25">
      <c r="A281" s="279">
        <v>24</v>
      </c>
      <c r="B281" s="61" t="s">
        <v>428</v>
      </c>
      <c r="C281" s="62">
        <v>14500</v>
      </c>
      <c r="D281" s="316">
        <v>4092.45</v>
      </c>
      <c r="E281" s="62">
        <v>1902</v>
      </c>
      <c r="F281" s="61">
        <f>(388+6-394)+(1193-1193)</f>
        <v>0</v>
      </c>
      <c r="G281" s="289">
        <f t="shared" si="39"/>
        <v>1902</v>
      </c>
      <c r="H281" s="61"/>
      <c r="I281" s="251">
        <f t="shared" si="40"/>
        <v>1902</v>
      </c>
      <c r="J281" s="251">
        <f t="shared" si="41"/>
        <v>27579000</v>
      </c>
      <c r="K281" s="290">
        <f t="shared" si="42"/>
        <v>7783839.8999999994</v>
      </c>
      <c r="L281" s="215"/>
    </row>
    <row r="282" spans="1:14" x14ac:dyDescent="0.25">
      <c r="A282" s="279">
        <v>25</v>
      </c>
      <c r="B282" s="61" t="s">
        <v>429</v>
      </c>
      <c r="C282" s="62">
        <v>12000</v>
      </c>
      <c r="D282" s="316">
        <v>2369.37</v>
      </c>
      <c r="E282" s="62">
        <v>1983</v>
      </c>
      <c r="F282" s="61">
        <f>808-808</f>
        <v>0</v>
      </c>
      <c r="G282" s="289">
        <f t="shared" si="39"/>
        <v>1983</v>
      </c>
      <c r="H282" s="61"/>
      <c r="I282" s="251">
        <f t="shared" si="40"/>
        <v>1983</v>
      </c>
      <c r="J282" s="251">
        <f t="shared" si="41"/>
        <v>23796000</v>
      </c>
      <c r="K282" s="290">
        <f t="shared" si="42"/>
        <v>4698460.71</v>
      </c>
      <c r="L282" s="215"/>
    </row>
    <row r="283" spans="1:14" x14ac:dyDescent="0.25">
      <c r="A283" s="279">
        <v>26</v>
      </c>
      <c r="B283" s="61" t="s">
        <v>430</v>
      </c>
      <c r="C283" s="62">
        <v>7000</v>
      </c>
      <c r="D283" s="316">
        <v>1955.38</v>
      </c>
      <c r="E283" s="62">
        <v>1669</v>
      </c>
      <c r="F283" s="61">
        <f>147+135-282+(1272-1272)</f>
        <v>0</v>
      </c>
      <c r="G283" s="289">
        <f t="shared" si="39"/>
        <v>1669</v>
      </c>
      <c r="H283" s="61"/>
      <c r="I283" s="251">
        <f t="shared" si="40"/>
        <v>1669</v>
      </c>
      <c r="J283" s="251">
        <f t="shared" si="41"/>
        <v>11683000</v>
      </c>
      <c r="K283" s="290">
        <f t="shared" si="42"/>
        <v>3263529.22</v>
      </c>
      <c r="L283" s="215"/>
    </row>
    <row r="284" spans="1:14" x14ac:dyDescent="0.25">
      <c r="A284" s="279">
        <v>27</v>
      </c>
      <c r="B284" s="61" t="s">
        <v>431</v>
      </c>
      <c r="C284" s="62">
        <v>12000</v>
      </c>
      <c r="D284" s="316">
        <v>2321.0700000000002</v>
      </c>
      <c r="E284" s="62">
        <v>1569</v>
      </c>
      <c r="F284" s="61">
        <f>184+124-308+(1186-1186)</f>
        <v>0</v>
      </c>
      <c r="G284" s="289">
        <f t="shared" si="39"/>
        <v>1569</v>
      </c>
      <c r="H284" s="61"/>
      <c r="I284" s="251">
        <f t="shared" si="40"/>
        <v>1569</v>
      </c>
      <c r="J284" s="251">
        <f t="shared" si="41"/>
        <v>18828000</v>
      </c>
      <c r="K284" s="290">
        <f t="shared" si="42"/>
        <v>3641758.83</v>
      </c>
      <c r="L284" s="215"/>
    </row>
    <row r="285" spans="1:14" x14ac:dyDescent="0.25">
      <c r="A285" s="279">
        <v>28</v>
      </c>
      <c r="B285" s="61" t="s">
        <v>432</v>
      </c>
      <c r="C285" s="62">
        <v>11000</v>
      </c>
      <c r="D285" s="316">
        <f>495+98.95+(1416.8/8)</f>
        <v>771.05000000000007</v>
      </c>
      <c r="E285" s="62">
        <v>630</v>
      </c>
      <c r="F285" s="61"/>
      <c r="G285" s="289">
        <f t="shared" si="39"/>
        <v>630</v>
      </c>
      <c r="H285" s="61"/>
      <c r="I285" s="251">
        <f t="shared" si="40"/>
        <v>630</v>
      </c>
      <c r="J285" s="251">
        <f t="shared" si="41"/>
        <v>6930000</v>
      </c>
      <c r="K285" s="290">
        <f t="shared" si="42"/>
        <v>485761.50000000006</v>
      </c>
      <c r="L285" s="215"/>
    </row>
    <row r="286" spans="1:14" x14ac:dyDescent="0.25">
      <c r="A286" s="279">
        <v>29</v>
      </c>
      <c r="B286" s="61" t="s">
        <v>433</v>
      </c>
      <c r="C286" s="62">
        <v>11000</v>
      </c>
      <c r="D286" s="316">
        <f>495+98.95+(1416.8/8)</f>
        <v>771.05000000000007</v>
      </c>
      <c r="E286" s="62">
        <v>626</v>
      </c>
      <c r="F286" s="61"/>
      <c r="G286" s="289">
        <f t="shared" si="39"/>
        <v>626</v>
      </c>
      <c r="H286" s="61"/>
      <c r="I286" s="251">
        <f t="shared" si="40"/>
        <v>626</v>
      </c>
      <c r="J286" s="251">
        <f t="shared" si="41"/>
        <v>6886000</v>
      </c>
      <c r="K286" s="290">
        <f t="shared" si="42"/>
        <v>482677.30000000005</v>
      </c>
      <c r="L286" s="215"/>
    </row>
    <row r="287" spans="1:14" x14ac:dyDescent="0.25">
      <c r="A287" s="279">
        <v>30</v>
      </c>
      <c r="B287" s="61" t="s">
        <v>434</v>
      </c>
      <c r="C287" s="62">
        <v>11000</v>
      </c>
      <c r="D287" s="316">
        <f>495+98.95+(1416.8/8)</f>
        <v>771.05000000000007</v>
      </c>
      <c r="E287" s="62">
        <v>631</v>
      </c>
      <c r="F287" s="61"/>
      <c r="G287" s="289">
        <f t="shared" si="39"/>
        <v>631</v>
      </c>
      <c r="H287" s="61"/>
      <c r="I287" s="251">
        <f t="shared" si="40"/>
        <v>631</v>
      </c>
      <c r="J287" s="251">
        <f t="shared" si="41"/>
        <v>6941000</v>
      </c>
      <c r="K287" s="290">
        <f t="shared" si="42"/>
        <v>486532.55000000005</v>
      </c>
      <c r="L287" s="215"/>
    </row>
    <row r="288" spans="1:14" x14ac:dyDescent="0.25">
      <c r="A288" s="279">
        <v>31</v>
      </c>
      <c r="B288" s="61" t="s">
        <v>1097</v>
      </c>
      <c r="C288" s="62">
        <v>14500</v>
      </c>
      <c r="D288" s="260">
        <v>2231.4499999999998</v>
      </c>
      <c r="E288" s="62">
        <v>1352</v>
      </c>
      <c r="F288" s="61">
        <f>503+27-530+(822-822)</f>
        <v>0</v>
      </c>
      <c r="G288" s="289">
        <f t="shared" si="39"/>
        <v>1352</v>
      </c>
      <c r="H288" s="61"/>
      <c r="I288" s="251">
        <f>+G288-H288</f>
        <v>1352</v>
      </c>
      <c r="J288" s="251">
        <f>I288*C288</f>
        <v>19604000</v>
      </c>
      <c r="K288" s="290">
        <f>+D288*I288</f>
        <v>3016920.4</v>
      </c>
      <c r="L288" s="215"/>
    </row>
    <row r="289" spans="1:12" x14ac:dyDescent="0.25">
      <c r="A289" s="279">
        <v>32</v>
      </c>
      <c r="B289" s="61" t="s">
        <v>1098</v>
      </c>
      <c r="C289" s="62">
        <v>7000</v>
      </c>
      <c r="D289" s="260">
        <v>1491.15</v>
      </c>
      <c r="E289" s="62">
        <v>1703</v>
      </c>
      <c r="F289" s="61">
        <f>1198-1198+(505-505)</f>
        <v>0</v>
      </c>
      <c r="G289" s="289">
        <f t="shared" si="39"/>
        <v>1703</v>
      </c>
      <c r="H289" s="61"/>
      <c r="I289" s="251">
        <f>+G289-H289</f>
        <v>1703</v>
      </c>
      <c r="J289" s="251">
        <f>I289*C289</f>
        <v>11921000</v>
      </c>
      <c r="K289" s="290">
        <f>+D289*I289</f>
        <v>2539428.4500000002</v>
      </c>
      <c r="L289" s="215"/>
    </row>
    <row r="290" spans="1:12" x14ac:dyDescent="0.25">
      <c r="A290" s="279">
        <v>33</v>
      </c>
      <c r="B290" s="61" t="s">
        <v>1101</v>
      </c>
      <c r="C290" s="62">
        <v>7000</v>
      </c>
      <c r="D290" s="261">
        <v>2002.78</v>
      </c>
      <c r="E290" s="62">
        <v>1313</v>
      </c>
      <c r="F290" s="61">
        <f>348+8-356+(957-957)</f>
        <v>0</v>
      </c>
      <c r="G290" s="289">
        <f t="shared" ref="G290:G323" si="43">+E290+F290</f>
        <v>1313</v>
      </c>
      <c r="H290" s="61"/>
      <c r="I290" s="251">
        <f t="shared" ref="I290:I323" si="44">+G290-H290</f>
        <v>1313</v>
      </c>
      <c r="J290" s="251">
        <f t="shared" ref="J290:J323" si="45">I290*C290</f>
        <v>9191000</v>
      </c>
      <c r="K290" s="290">
        <f t="shared" ref="K290:K323" si="46">+D290*I290</f>
        <v>2629650.14</v>
      </c>
      <c r="L290" s="227" t="s">
        <v>1099</v>
      </c>
    </row>
    <row r="291" spans="1:12" x14ac:dyDescent="0.25">
      <c r="A291" s="279">
        <v>34</v>
      </c>
      <c r="B291" s="61" t="s">
        <v>1102</v>
      </c>
      <c r="C291" s="62">
        <v>5000</v>
      </c>
      <c r="D291" s="261">
        <v>2377.3200000000002</v>
      </c>
      <c r="E291" s="62">
        <v>346</v>
      </c>
      <c r="F291" s="61">
        <f>280-280+(66-66)</f>
        <v>0</v>
      </c>
      <c r="G291" s="289">
        <f t="shared" si="43"/>
        <v>346</v>
      </c>
      <c r="H291" s="61"/>
      <c r="I291" s="251">
        <f t="shared" si="44"/>
        <v>346</v>
      </c>
      <c r="J291" s="251">
        <f t="shared" si="45"/>
        <v>1730000</v>
      </c>
      <c r="K291" s="290">
        <f t="shared" si="46"/>
        <v>822552.72000000009</v>
      </c>
      <c r="L291" s="215"/>
    </row>
    <row r="292" spans="1:12" x14ac:dyDescent="0.25">
      <c r="A292" s="279">
        <v>35</v>
      </c>
      <c r="B292" s="61" t="s">
        <v>1103</v>
      </c>
      <c r="C292" s="62">
        <v>5000</v>
      </c>
      <c r="D292" s="260">
        <v>2377.3200000000002</v>
      </c>
      <c r="E292" s="62">
        <v>100</v>
      </c>
      <c r="F292" s="61">
        <f>37-37+63-63</f>
        <v>0</v>
      </c>
      <c r="G292" s="289">
        <f t="shared" si="43"/>
        <v>100</v>
      </c>
      <c r="H292" s="61"/>
      <c r="I292" s="251">
        <f t="shared" si="44"/>
        <v>100</v>
      </c>
      <c r="J292" s="251">
        <f t="shared" si="45"/>
        <v>500000</v>
      </c>
      <c r="K292" s="290">
        <f t="shared" si="46"/>
        <v>237732.00000000003</v>
      </c>
      <c r="L292" s="215"/>
    </row>
    <row r="293" spans="1:12" x14ac:dyDescent="0.25">
      <c r="A293" s="279">
        <v>36</v>
      </c>
      <c r="B293" s="90" t="s">
        <v>1104</v>
      </c>
      <c r="C293" s="91">
        <v>4500</v>
      </c>
      <c r="D293" s="260">
        <v>1491.15</v>
      </c>
      <c r="E293" s="62">
        <v>1424</v>
      </c>
      <c r="F293" s="61">
        <f>(221+90-311)+1113-1113</f>
        <v>0</v>
      </c>
      <c r="G293" s="289">
        <f t="shared" si="43"/>
        <v>1424</v>
      </c>
      <c r="H293" s="61"/>
      <c r="I293" s="251">
        <f t="shared" si="44"/>
        <v>1424</v>
      </c>
      <c r="J293" s="251">
        <f t="shared" si="45"/>
        <v>6408000</v>
      </c>
      <c r="K293" s="290">
        <f t="shared" si="46"/>
        <v>2123397.6</v>
      </c>
      <c r="L293" s="215"/>
    </row>
    <row r="294" spans="1:12" x14ac:dyDescent="0.25">
      <c r="A294" s="279">
        <v>37</v>
      </c>
      <c r="B294" s="90" t="s">
        <v>1105</v>
      </c>
      <c r="C294" s="91">
        <v>4500</v>
      </c>
      <c r="D294" s="260">
        <v>1491.15</v>
      </c>
      <c r="E294" s="62">
        <v>1403</v>
      </c>
      <c r="F294" s="61">
        <f>(210+90-300)+1103-1103</f>
        <v>0</v>
      </c>
      <c r="G294" s="289">
        <f t="shared" si="43"/>
        <v>1403</v>
      </c>
      <c r="H294" s="61"/>
      <c r="I294" s="251">
        <f t="shared" si="44"/>
        <v>1403</v>
      </c>
      <c r="J294" s="251">
        <f t="shared" si="45"/>
        <v>6313500</v>
      </c>
      <c r="K294" s="290">
        <f t="shared" si="46"/>
        <v>2092083.4500000002</v>
      </c>
      <c r="L294" s="215"/>
    </row>
    <row r="295" spans="1:12" x14ac:dyDescent="0.25">
      <c r="A295" s="279">
        <v>38</v>
      </c>
      <c r="B295" s="90" t="s">
        <v>1106</v>
      </c>
      <c r="C295" s="91">
        <v>4500</v>
      </c>
      <c r="D295" s="260">
        <v>1491.15</v>
      </c>
      <c r="E295" s="62">
        <v>1421</v>
      </c>
      <c r="F295" s="61">
        <f>(202+90-292)+1093+36-1129</f>
        <v>0</v>
      </c>
      <c r="G295" s="289">
        <f t="shared" si="43"/>
        <v>1421</v>
      </c>
      <c r="H295" s="61"/>
      <c r="I295" s="251">
        <f t="shared" si="44"/>
        <v>1421</v>
      </c>
      <c r="J295" s="251">
        <f t="shared" si="45"/>
        <v>6394500</v>
      </c>
      <c r="K295" s="290">
        <f t="shared" si="46"/>
        <v>2118924.15</v>
      </c>
      <c r="L295" s="215"/>
    </row>
    <row r="296" spans="1:12" x14ac:dyDescent="0.25">
      <c r="A296" s="279">
        <v>39</v>
      </c>
      <c r="B296" s="90" t="s">
        <v>1107</v>
      </c>
      <c r="C296" s="91">
        <v>4500</v>
      </c>
      <c r="D296" s="260">
        <v>1491.15</v>
      </c>
      <c r="E296" s="62">
        <v>381</v>
      </c>
      <c r="F296" s="61">
        <f>291+90-381</f>
        <v>0</v>
      </c>
      <c r="G296" s="289">
        <f t="shared" si="43"/>
        <v>381</v>
      </c>
      <c r="H296" s="61"/>
      <c r="I296" s="251">
        <f t="shared" si="44"/>
        <v>381</v>
      </c>
      <c r="J296" s="251">
        <f t="shared" si="45"/>
        <v>1714500</v>
      </c>
      <c r="K296" s="290">
        <f t="shared" si="46"/>
        <v>568128.15</v>
      </c>
      <c r="L296" s="215"/>
    </row>
    <row r="297" spans="1:12" x14ac:dyDescent="0.25">
      <c r="A297" s="279">
        <v>40</v>
      </c>
      <c r="B297" s="90" t="s">
        <v>1108</v>
      </c>
      <c r="C297" s="91">
        <v>4500</v>
      </c>
      <c r="D297" s="260">
        <v>1491.15</v>
      </c>
      <c r="E297" s="62">
        <v>271</v>
      </c>
      <c r="F297" s="61">
        <f>181+90-271</f>
        <v>0</v>
      </c>
      <c r="G297" s="289">
        <f t="shared" si="43"/>
        <v>271</v>
      </c>
      <c r="H297" s="61"/>
      <c r="I297" s="251">
        <f t="shared" si="44"/>
        <v>271</v>
      </c>
      <c r="J297" s="251">
        <f t="shared" si="45"/>
        <v>1219500</v>
      </c>
      <c r="K297" s="290">
        <f t="shared" si="46"/>
        <v>404101.65</v>
      </c>
      <c r="L297" s="215"/>
    </row>
    <row r="298" spans="1:12" x14ac:dyDescent="0.25">
      <c r="A298" s="279">
        <v>41</v>
      </c>
      <c r="B298" s="90" t="s">
        <v>1109</v>
      </c>
      <c r="C298" s="91">
        <v>4500</v>
      </c>
      <c r="D298" s="260">
        <v>1491.15</v>
      </c>
      <c r="E298" s="62">
        <v>261</v>
      </c>
      <c r="F298" s="61">
        <f>171+90-261</f>
        <v>0</v>
      </c>
      <c r="G298" s="289">
        <f t="shared" si="43"/>
        <v>261</v>
      </c>
      <c r="H298" s="61"/>
      <c r="I298" s="251">
        <f t="shared" si="44"/>
        <v>261</v>
      </c>
      <c r="J298" s="251">
        <f t="shared" si="45"/>
        <v>1174500</v>
      </c>
      <c r="K298" s="290">
        <f t="shared" si="46"/>
        <v>389190.15</v>
      </c>
      <c r="L298" s="215"/>
    </row>
    <row r="299" spans="1:12" x14ac:dyDescent="0.25">
      <c r="A299" s="279">
        <v>42</v>
      </c>
      <c r="B299" s="90" t="s">
        <v>1110</v>
      </c>
      <c r="C299" s="91">
        <v>4500</v>
      </c>
      <c r="D299" s="260">
        <v>1491.15</v>
      </c>
      <c r="E299" s="62">
        <v>1355</v>
      </c>
      <c r="F299" s="61">
        <f>(296+90-386)+969-969</f>
        <v>0</v>
      </c>
      <c r="G299" s="289">
        <f t="shared" si="43"/>
        <v>1355</v>
      </c>
      <c r="H299" s="61"/>
      <c r="I299" s="251">
        <f t="shared" si="44"/>
        <v>1355</v>
      </c>
      <c r="J299" s="251">
        <f t="shared" si="45"/>
        <v>6097500</v>
      </c>
      <c r="K299" s="290">
        <f t="shared" si="46"/>
        <v>2020508.2500000002</v>
      </c>
      <c r="L299" s="215"/>
    </row>
    <row r="300" spans="1:12" x14ac:dyDescent="0.25">
      <c r="A300" s="279">
        <v>43</v>
      </c>
      <c r="B300" s="90" t="s">
        <v>1111</v>
      </c>
      <c r="C300" s="91">
        <v>4500</v>
      </c>
      <c r="D300" s="260">
        <v>1491.15</v>
      </c>
      <c r="E300" s="62">
        <v>1414</v>
      </c>
      <c r="F300" s="61">
        <f>(249+90-339)+1075-1075</f>
        <v>0</v>
      </c>
      <c r="G300" s="289">
        <f>+E300+F300</f>
        <v>1414</v>
      </c>
      <c r="H300" s="61"/>
      <c r="I300" s="251">
        <f>+G300-H300</f>
        <v>1414</v>
      </c>
      <c r="J300" s="251">
        <f>I300*C300</f>
        <v>6363000</v>
      </c>
      <c r="K300" s="290">
        <f>+D300*I300</f>
        <v>2108486.1</v>
      </c>
      <c r="L300" s="215"/>
    </row>
    <row r="301" spans="1:12" x14ac:dyDescent="0.25">
      <c r="A301" s="279">
        <v>44</v>
      </c>
      <c r="B301" s="90" t="s">
        <v>1112</v>
      </c>
      <c r="C301" s="91">
        <v>4500</v>
      </c>
      <c r="D301" s="260">
        <v>1491.15</v>
      </c>
      <c r="E301" s="62">
        <v>1414</v>
      </c>
      <c r="F301" s="61">
        <f>(219+90-309)+1105-1105</f>
        <v>0</v>
      </c>
      <c r="G301" s="289">
        <f>+E301+F301</f>
        <v>1414</v>
      </c>
      <c r="H301" s="61"/>
      <c r="I301" s="251">
        <f>+G301-H301</f>
        <v>1414</v>
      </c>
      <c r="J301" s="251">
        <f>I301*C301</f>
        <v>6363000</v>
      </c>
      <c r="K301" s="290">
        <f>+D301*I301</f>
        <v>2108486.1</v>
      </c>
      <c r="L301" s="215"/>
    </row>
    <row r="302" spans="1:12" x14ac:dyDescent="0.25">
      <c r="A302" s="279">
        <v>45</v>
      </c>
      <c r="B302" s="90" t="s">
        <v>1113</v>
      </c>
      <c r="C302" s="91">
        <v>4500</v>
      </c>
      <c r="D302" s="260">
        <v>1491.15</v>
      </c>
      <c r="E302" s="62">
        <v>1415</v>
      </c>
      <c r="F302" s="61">
        <f>(308+90-398)+1017-1017</f>
        <v>0</v>
      </c>
      <c r="G302" s="289">
        <f>+E302+F302</f>
        <v>1415</v>
      </c>
      <c r="H302" s="61"/>
      <c r="I302" s="251">
        <f>+G302-H302</f>
        <v>1415</v>
      </c>
      <c r="J302" s="251">
        <f>I302*C302</f>
        <v>6367500</v>
      </c>
      <c r="K302" s="290">
        <f>+D302*I302</f>
        <v>2109977.25</v>
      </c>
      <c r="L302" s="215"/>
    </row>
    <row r="303" spans="1:12" x14ac:dyDescent="0.25">
      <c r="A303" s="279">
        <v>46</v>
      </c>
      <c r="B303" s="90" t="s">
        <v>1114</v>
      </c>
      <c r="C303" s="91">
        <v>4500</v>
      </c>
      <c r="D303" s="260">
        <v>1491.15</v>
      </c>
      <c r="E303" s="62">
        <v>1416</v>
      </c>
      <c r="F303" s="61">
        <f>(218+90-308)+1108-1108</f>
        <v>0</v>
      </c>
      <c r="G303" s="289">
        <f t="shared" ref="G303:G310" si="47">+E303+F303</f>
        <v>1416</v>
      </c>
      <c r="H303" s="61"/>
      <c r="I303" s="251">
        <f t="shared" ref="I303:I310" si="48">+G303-H303</f>
        <v>1416</v>
      </c>
      <c r="J303" s="251">
        <f t="shared" ref="J303:J310" si="49">I303*C303</f>
        <v>6372000</v>
      </c>
      <c r="K303" s="290">
        <f t="shared" ref="K303:K310" si="50">+D303*I303</f>
        <v>2111468.4</v>
      </c>
      <c r="L303" s="215"/>
    </row>
    <row r="304" spans="1:12" x14ac:dyDescent="0.25">
      <c r="A304" s="279">
        <v>47</v>
      </c>
      <c r="B304" s="90" t="s">
        <v>1115</v>
      </c>
      <c r="C304" s="91">
        <v>4500</v>
      </c>
      <c r="D304" s="260">
        <v>1491.15</v>
      </c>
      <c r="E304" s="62">
        <v>1422</v>
      </c>
      <c r="F304" s="61">
        <f>151+90-241+1181-1181</f>
        <v>0</v>
      </c>
      <c r="G304" s="289">
        <f t="shared" si="47"/>
        <v>1422</v>
      </c>
      <c r="H304" s="61"/>
      <c r="I304" s="251">
        <f t="shared" si="48"/>
        <v>1422</v>
      </c>
      <c r="J304" s="251">
        <f t="shared" si="49"/>
        <v>6399000</v>
      </c>
      <c r="K304" s="290">
        <f t="shared" si="50"/>
        <v>2120415.3000000003</v>
      </c>
      <c r="L304" s="215"/>
    </row>
    <row r="305" spans="1:12" x14ac:dyDescent="0.25">
      <c r="A305" s="279">
        <v>48</v>
      </c>
      <c r="B305" s="90" t="s">
        <v>1116</v>
      </c>
      <c r="C305" s="91">
        <v>4500</v>
      </c>
      <c r="D305" s="260">
        <v>1491.15</v>
      </c>
      <c r="E305" s="62">
        <v>1432</v>
      </c>
      <c r="F305" s="61">
        <f>(152+90-242)+1190-1190</f>
        <v>0</v>
      </c>
      <c r="G305" s="289">
        <f t="shared" si="47"/>
        <v>1432</v>
      </c>
      <c r="H305" s="61"/>
      <c r="I305" s="251">
        <f t="shared" si="48"/>
        <v>1432</v>
      </c>
      <c r="J305" s="251">
        <f t="shared" si="49"/>
        <v>6444000</v>
      </c>
      <c r="K305" s="290">
        <f t="shared" si="50"/>
        <v>2135326.8000000003</v>
      </c>
      <c r="L305" s="215"/>
    </row>
    <row r="306" spans="1:12" x14ac:dyDescent="0.25">
      <c r="A306" s="279">
        <v>49</v>
      </c>
      <c r="B306" s="90" t="s">
        <v>1117</v>
      </c>
      <c r="C306" s="91">
        <v>4500</v>
      </c>
      <c r="D306" s="260">
        <v>1491.15</v>
      </c>
      <c r="E306" s="62">
        <v>1407</v>
      </c>
      <c r="F306" s="61">
        <f>198+90-288+1119-1119</f>
        <v>0</v>
      </c>
      <c r="G306" s="289">
        <f t="shared" si="47"/>
        <v>1407</v>
      </c>
      <c r="H306" s="61"/>
      <c r="I306" s="251">
        <f t="shared" si="48"/>
        <v>1407</v>
      </c>
      <c r="J306" s="251">
        <f t="shared" si="49"/>
        <v>6331500</v>
      </c>
      <c r="K306" s="290">
        <f t="shared" si="50"/>
        <v>2098048.0500000003</v>
      </c>
      <c r="L306" s="215"/>
    </row>
    <row r="307" spans="1:12" x14ac:dyDescent="0.25">
      <c r="A307" s="279">
        <v>50</v>
      </c>
      <c r="B307" s="90" t="s">
        <v>1118</v>
      </c>
      <c r="C307" s="91">
        <v>4500</v>
      </c>
      <c r="D307" s="260">
        <v>1491.15</v>
      </c>
      <c r="E307" s="62">
        <v>1362</v>
      </c>
      <c r="F307" s="61">
        <f>(237+90-327)+1035-1035</f>
        <v>0</v>
      </c>
      <c r="G307" s="289">
        <f t="shared" si="47"/>
        <v>1362</v>
      </c>
      <c r="H307" s="61"/>
      <c r="I307" s="251">
        <f t="shared" si="48"/>
        <v>1362</v>
      </c>
      <c r="J307" s="251">
        <f t="shared" si="49"/>
        <v>6129000</v>
      </c>
      <c r="K307" s="290">
        <f t="shared" si="50"/>
        <v>2030946.3</v>
      </c>
      <c r="L307" s="215"/>
    </row>
    <row r="308" spans="1:12" x14ac:dyDescent="0.25">
      <c r="A308" s="279">
        <v>51</v>
      </c>
      <c r="B308" s="90" t="s">
        <v>1119</v>
      </c>
      <c r="C308" s="91">
        <v>4500</v>
      </c>
      <c r="D308" s="260">
        <v>1491.15</v>
      </c>
      <c r="E308" s="62">
        <v>1407</v>
      </c>
      <c r="F308" s="61">
        <f>(290+90-380)+1027-1027</f>
        <v>0</v>
      </c>
      <c r="G308" s="289">
        <f t="shared" si="47"/>
        <v>1407</v>
      </c>
      <c r="H308" s="61"/>
      <c r="I308" s="251">
        <f t="shared" si="48"/>
        <v>1407</v>
      </c>
      <c r="J308" s="251">
        <f t="shared" si="49"/>
        <v>6331500</v>
      </c>
      <c r="K308" s="290">
        <f t="shared" si="50"/>
        <v>2098048.0500000003</v>
      </c>
      <c r="L308" s="215"/>
    </row>
    <row r="309" spans="1:12" x14ac:dyDescent="0.25">
      <c r="A309" s="279">
        <v>52</v>
      </c>
      <c r="B309" s="90" t="s">
        <v>1120</v>
      </c>
      <c r="C309" s="91">
        <v>4500</v>
      </c>
      <c r="D309" s="260">
        <v>1491.15</v>
      </c>
      <c r="E309" s="62">
        <v>1424</v>
      </c>
      <c r="F309" s="61">
        <f>311+90-401+1023-1023</f>
        <v>0</v>
      </c>
      <c r="G309" s="289">
        <f t="shared" si="47"/>
        <v>1424</v>
      </c>
      <c r="H309" s="61"/>
      <c r="I309" s="251">
        <f t="shared" si="48"/>
        <v>1424</v>
      </c>
      <c r="J309" s="251">
        <f t="shared" si="49"/>
        <v>6408000</v>
      </c>
      <c r="K309" s="290">
        <f t="shared" si="50"/>
        <v>2123397.6</v>
      </c>
      <c r="L309" s="215"/>
    </row>
    <row r="310" spans="1:12" x14ac:dyDescent="0.25">
      <c r="A310" s="279">
        <v>53</v>
      </c>
      <c r="B310" s="90" t="s">
        <v>1121</v>
      </c>
      <c r="C310" s="91">
        <v>4500</v>
      </c>
      <c r="D310" s="260">
        <v>1491.15</v>
      </c>
      <c r="E310" s="62">
        <v>373</v>
      </c>
      <c r="F310" s="61">
        <f>283+90-373</f>
        <v>0</v>
      </c>
      <c r="G310" s="289">
        <f t="shared" si="47"/>
        <v>373</v>
      </c>
      <c r="H310" s="61"/>
      <c r="I310" s="251">
        <f t="shared" si="48"/>
        <v>373</v>
      </c>
      <c r="J310" s="251">
        <f t="shared" si="49"/>
        <v>1678500</v>
      </c>
      <c r="K310" s="290">
        <f t="shared" si="50"/>
        <v>556198.95000000007</v>
      </c>
      <c r="L310" s="215"/>
    </row>
    <row r="311" spans="1:12" x14ac:dyDescent="0.25">
      <c r="A311" s="279">
        <v>54</v>
      </c>
      <c r="B311" s="90" t="s">
        <v>1122</v>
      </c>
      <c r="C311" s="91">
        <v>4500</v>
      </c>
      <c r="D311" s="260">
        <v>1491.15</v>
      </c>
      <c r="E311" s="62">
        <v>312</v>
      </c>
      <c r="F311" s="61">
        <f>222+90-312</f>
        <v>0</v>
      </c>
      <c r="G311" s="289">
        <f>+E311+F311</f>
        <v>312</v>
      </c>
      <c r="H311" s="61"/>
      <c r="I311" s="251">
        <f>+G311-H311</f>
        <v>312</v>
      </c>
      <c r="J311" s="251">
        <f>I311*C311</f>
        <v>1404000</v>
      </c>
      <c r="K311" s="290">
        <f>+D311*I311</f>
        <v>465238.80000000005</v>
      </c>
      <c r="L311" s="215"/>
    </row>
    <row r="312" spans="1:12" x14ac:dyDescent="0.25">
      <c r="A312" s="279">
        <v>55</v>
      </c>
      <c r="B312" s="90" t="s">
        <v>1123</v>
      </c>
      <c r="C312" s="91">
        <v>4500</v>
      </c>
      <c r="D312" s="260">
        <v>1491.15</v>
      </c>
      <c r="E312" s="62">
        <v>1405</v>
      </c>
      <c r="F312" s="61">
        <f>(278+90-368)+1037-1037</f>
        <v>0</v>
      </c>
      <c r="G312" s="289">
        <f>+E312+F312</f>
        <v>1405</v>
      </c>
      <c r="H312" s="61"/>
      <c r="I312" s="251">
        <f>+G312-H312</f>
        <v>1405</v>
      </c>
      <c r="J312" s="251">
        <f>I312*C312</f>
        <v>6322500</v>
      </c>
      <c r="K312" s="290">
        <f>+D312*I312</f>
        <v>2095065.7500000002</v>
      </c>
      <c r="L312" s="215"/>
    </row>
    <row r="313" spans="1:12" x14ac:dyDescent="0.25">
      <c r="A313" s="279">
        <v>56</v>
      </c>
      <c r="B313" s="90" t="s">
        <v>1124</v>
      </c>
      <c r="C313" s="91">
        <v>4500</v>
      </c>
      <c r="D313" s="260">
        <v>1491.15</v>
      </c>
      <c r="E313" s="62">
        <v>1415</v>
      </c>
      <c r="F313" s="61">
        <f>(148+90-238)+1177-1177</f>
        <v>0</v>
      </c>
      <c r="G313" s="289">
        <f>+E313+F313</f>
        <v>1415</v>
      </c>
      <c r="H313" s="61"/>
      <c r="I313" s="251">
        <f>+G313-H313</f>
        <v>1415</v>
      </c>
      <c r="J313" s="251">
        <f>I313*C313</f>
        <v>6367500</v>
      </c>
      <c r="K313" s="290">
        <f>+D313*I313</f>
        <v>2109977.25</v>
      </c>
      <c r="L313" s="215"/>
    </row>
    <row r="314" spans="1:12" x14ac:dyDescent="0.25">
      <c r="A314" s="279">
        <v>57</v>
      </c>
      <c r="B314" s="90" t="s">
        <v>1125</v>
      </c>
      <c r="C314" s="91">
        <v>4500</v>
      </c>
      <c r="D314" s="260">
        <v>1491.15</v>
      </c>
      <c r="E314" s="62">
        <v>189</v>
      </c>
      <c r="F314" s="61">
        <f>99+90-189</f>
        <v>0</v>
      </c>
      <c r="G314" s="289">
        <f t="shared" si="43"/>
        <v>189</v>
      </c>
      <c r="H314" s="61"/>
      <c r="I314" s="251">
        <f t="shared" si="44"/>
        <v>189</v>
      </c>
      <c r="J314" s="251">
        <f t="shared" si="45"/>
        <v>850500</v>
      </c>
      <c r="K314" s="290">
        <f t="shared" si="46"/>
        <v>281827.35000000003</v>
      </c>
      <c r="L314" s="215"/>
    </row>
    <row r="315" spans="1:12" x14ac:dyDescent="0.25">
      <c r="A315" s="279">
        <v>58</v>
      </c>
      <c r="B315" s="90" t="s">
        <v>1126</v>
      </c>
      <c r="C315" s="91">
        <v>4500</v>
      </c>
      <c r="D315" s="260">
        <v>1491.15</v>
      </c>
      <c r="E315" s="62">
        <v>1366</v>
      </c>
      <c r="F315" s="61">
        <f>(120+90-210)+1156-1156</f>
        <v>0</v>
      </c>
      <c r="G315" s="289">
        <f t="shared" si="43"/>
        <v>1366</v>
      </c>
      <c r="H315" s="61"/>
      <c r="I315" s="251">
        <f t="shared" si="44"/>
        <v>1366</v>
      </c>
      <c r="J315" s="251">
        <f t="shared" si="45"/>
        <v>6147000</v>
      </c>
      <c r="K315" s="290">
        <f t="shared" si="46"/>
        <v>2036910.9000000001</v>
      </c>
      <c r="L315" s="215"/>
    </row>
    <row r="316" spans="1:12" x14ac:dyDescent="0.25">
      <c r="A316" s="279">
        <v>59</v>
      </c>
      <c r="B316" s="90" t="s">
        <v>1127</v>
      </c>
      <c r="C316" s="91">
        <v>4500</v>
      </c>
      <c r="D316" s="260">
        <v>1491.15</v>
      </c>
      <c r="E316" s="62">
        <v>1417</v>
      </c>
      <c r="F316" s="61">
        <f>(160+90-250)+1167-1167</f>
        <v>0</v>
      </c>
      <c r="G316" s="289">
        <f t="shared" si="43"/>
        <v>1417</v>
      </c>
      <c r="H316" s="61"/>
      <c r="I316" s="251">
        <f t="shared" si="44"/>
        <v>1417</v>
      </c>
      <c r="J316" s="251">
        <f t="shared" si="45"/>
        <v>6376500</v>
      </c>
      <c r="K316" s="290">
        <f t="shared" si="46"/>
        <v>2112959.5500000003</v>
      </c>
      <c r="L316" s="215"/>
    </row>
    <row r="317" spans="1:12" x14ac:dyDescent="0.25">
      <c r="A317" s="279">
        <v>60</v>
      </c>
      <c r="B317" s="61" t="s">
        <v>1150</v>
      </c>
      <c r="C317" s="62">
        <v>7500</v>
      </c>
      <c r="D317" s="316">
        <v>0</v>
      </c>
      <c r="E317" s="62">
        <v>102</v>
      </c>
      <c r="F317" s="61">
        <f>42-42+60-60</f>
        <v>0</v>
      </c>
      <c r="G317" s="289">
        <f t="shared" si="43"/>
        <v>102</v>
      </c>
      <c r="H317" s="61"/>
      <c r="I317" s="251">
        <f t="shared" si="44"/>
        <v>102</v>
      </c>
      <c r="J317" s="251">
        <f t="shared" si="45"/>
        <v>765000</v>
      </c>
      <c r="K317" s="290">
        <f t="shared" si="46"/>
        <v>0</v>
      </c>
      <c r="L317" s="215"/>
    </row>
    <row r="318" spans="1:12" x14ac:dyDescent="0.25">
      <c r="A318" s="279">
        <v>61</v>
      </c>
      <c r="B318" s="61" t="s">
        <v>1151</v>
      </c>
      <c r="C318" s="62">
        <v>5000</v>
      </c>
      <c r="D318" s="261">
        <v>2377.3200000000002</v>
      </c>
      <c r="E318" s="62">
        <v>135</v>
      </c>
      <c r="F318" s="61">
        <f>70-70+65-65</f>
        <v>0</v>
      </c>
      <c r="G318" s="289">
        <f t="shared" si="43"/>
        <v>135</v>
      </c>
      <c r="H318" s="61"/>
      <c r="I318" s="251">
        <f t="shared" si="44"/>
        <v>135</v>
      </c>
      <c r="J318" s="251">
        <f t="shared" si="45"/>
        <v>675000</v>
      </c>
      <c r="K318" s="290">
        <f t="shared" si="46"/>
        <v>320938.2</v>
      </c>
      <c r="L318" s="215"/>
    </row>
    <row r="319" spans="1:12" x14ac:dyDescent="0.25">
      <c r="A319" s="279">
        <v>62</v>
      </c>
      <c r="B319" s="61" t="s">
        <v>1152</v>
      </c>
      <c r="C319" s="62">
        <v>5000</v>
      </c>
      <c r="D319" s="261">
        <v>2377.3200000000002</v>
      </c>
      <c r="E319" s="62">
        <v>166</v>
      </c>
      <c r="F319" s="61">
        <f>110-110+56-56</f>
        <v>0</v>
      </c>
      <c r="G319" s="289">
        <f t="shared" si="43"/>
        <v>166</v>
      </c>
      <c r="H319" s="61"/>
      <c r="I319" s="251">
        <f t="shared" si="44"/>
        <v>166</v>
      </c>
      <c r="J319" s="251">
        <f t="shared" si="45"/>
        <v>830000</v>
      </c>
      <c r="K319" s="290">
        <f t="shared" si="46"/>
        <v>394635.12000000005</v>
      </c>
      <c r="L319" s="215"/>
    </row>
    <row r="320" spans="1:12" x14ac:dyDescent="0.25">
      <c r="A320" s="279">
        <v>63</v>
      </c>
      <c r="B320" s="352" t="s">
        <v>435</v>
      </c>
      <c r="C320" s="62">
        <v>5000</v>
      </c>
      <c r="D320" s="316">
        <v>2377.3200000000002</v>
      </c>
      <c r="E320" s="62">
        <v>250</v>
      </c>
      <c r="F320" s="61"/>
      <c r="G320" s="289">
        <f t="shared" si="43"/>
        <v>250</v>
      </c>
      <c r="H320" s="61"/>
      <c r="I320" s="251">
        <f t="shared" si="44"/>
        <v>250</v>
      </c>
      <c r="J320" s="251">
        <f t="shared" si="45"/>
        <v>1250000</v>
      </c>
      <c r="K320" s="290">
        <f t="shared" si="46"/>
        <v>594330</v>
      </c>
      <c r="L320" s="215"/>
    </row>
    <row r="321" spans="1:13" x14ac:dyDescent="0.25">
      <c r="A321" s="279">
        <v>64</v>
      </c>
      <c r="B321" s="352" t="s">
        <v>436</v>
      </c>
      <c r="C321" s="62">
        <v>5000</v>
      </c>
      <c r="D321" s="316">
        <v>2377.3200000000002</v>
      </c>
      <c r="E321" s="62">
        <v>42</v>
      </c>
      <c r="F321" s="61"/>
      <c r="G321" s="289">
        <f t="shared" si="43"/>
        <v>42</v>
      </c>
      <c r="H321" s="61"/>
      <c r="I321" s="251">
        <f t="shared" si="44"/>
        <v>42</v>
      </c>
      <c r="J321" s="251">
        <f t="shared" si="45"/>
        <v>210000</v>
      </c>
      <c r="K321" s="290">
        <f t="shared" si="46"/>
        <v>99847.44</v>
      </c>
      <c r="L321" s="215"/>
    </row>
    <row r="322" spans="1:13" x14ac:dyDescent="0.25">
      <c r="A322" s="279">
        <v>65</v>
      </c>
      <c r="B322" s="352" t="s">
        <v>437</v>
      </c>
      <c r="C322" s="62">
        <v>5000</v>
      </c>
      <c r="D322" s="316">
        <v>2377.3200000000002</v>
      </c>
      <c r="E322" s="62">
        <v>242</v>
      </c>
      <c r="F322" s="61"/>
      <c r="G322" s="289">
        <f t="shared" si="43"/>
        <v>242</v>
      </c>
      <c r="H322" s="61"/>
      <c r="I322" s="251">
        <f t="shared" si="44"/>
        <v>242</v>
      </c>
      <c r="J322" s="251">
        <f t="shared" si="45"/>
        <v>1210000</v>
      </c>
      <c r="K322" s="290">
        <f t="shared" si="46"/>
        <v>575311.44000000006</v>
      </c>
      <c r="L322" s="215"/>
    </row>
    <row r="323" spans="1:13" x14ac:dyDescent="0.25">
      <c r="A323" s="365">
        <v>66</v>
      </c>
      <c r="B323" s="353" t="s">
        <v>1218</v>
      </c>
      <c r="C323" s="354">
        <v>5000</v>
      </c>
      <c r="D323" s="355"/>
      <c r="E323" s="354">
        <v>911</v>
      </c>
      <c r="F323" s="353">
        <f>911-911</f>
        <v>0</v>
      </c>
      <c r="G323" s="366">
        <f t="shared" si="43"/>
        <v>911</v>
      </c>
      <c r="H323" s="353"/>
      <c r="I323" s="367">
        <f t="shared" si="44"/>
        <v>911</v>
      </c>
      <c r="J323" s="367">
        <f t="shared" si="45"/>
        <v>4555000</v>
      </c>
      <c r="K323" s="368">
        <f t="shared" si="46"/>
        <v>0</v>
      </c>
      <c r="L323" s="215"/>
    </row>
    <row r="324" spans="1:13" x14ac:dyDescent="0.25">
      <c r="A324" s="279">
        <v>67</v>
      </c>
      <c r="B324" s="61" t="s">
        <v>1219</v>
      </c>
      <c r="C324" s="62">
        <v>7500</v>
      </c>
      <c r="D324" s="316"/>
      <c r="E324" s="62">
        <v>153</v>
      </c>
      <c r="F324" s="61">
        <f>153-153</f>
        <v>0</v>
      </c>
      <c r="G324" s="366">
        <f>+E324+F324</f>
        <v>153</v>
      </c>
      <c r="H324" s="353"/>
      <c r="I324" s="367">
        <f>+G324-H324</f>
        <v>153</v>
      </c>
      <c r="J324" s="367">
        <f>I324*C324</f>
        <v>1147500</v>
      </c>
      <c r="K324" s="368">
        <f>+D324*I324</f>
        <v>0</v>
      </c>
      <c r="L324" s="215"/>
    </row>
    <row r="325" spans="1:13" x14ac:dyDescent="0.25">
      <c r="A325" s="279">
        <v>68</v>
      </c>
      <c r="B325" s="352" t="s">
        <v>1220</v>
      </c>
      <c r="C325" s="62">
        <v>5000</v>
      </c>
      <c r="D325" s="316"/>
      <c r="E325" s="62">
        <v>3</v>
      </c>
      <c r="F325" s="61">
        <f>3-3</f>
        <v>0</v>
      </c>
      <c r="G325" s="366">
        <f>+E325+F325</f>
        <v>3</v>
      </c>
      <c r="H325" s="353"/>
      <c r="I325" s="367">
        <f>+G325-H325</f>
        <v>3</v>
      </c>
      <c r="J325" s="367">
        <f>I325*C325</f>
        <v>15000</v>
      </c>
      <c r="K325" s="368">
        <f>+D325*I325</f>
        <v>0</v>
      </c>
      <c r="L325" s="215"/>
    </row>
    <row r="326" spans="1:13" x14ac:dyDescent="0.25">
      <c r="A326" s="279">
        <v>69</v>
      </c>
      <c r="B326" s="352" t="s">
        <v>1221</v>
      </c>
      <c r="C326" s="62">
        <v>5000</v>
      </c>
      <c r="D326" s="316"/>
      <c r="E326" s="62">
        <v>35</v>
      </c>
      <c r="F326" s="61">
        <f>35-35</f>
        <v>0</v>
      </c>
      <c r="G326" s="366">
        <f>+E326+F326</f>
        <v>35</v>
      </c>
      <c r="H326" s="353"/>
      <c r="I326" s="367">
        <f>+G326-H326</f>
        <v>35</v>
      </c>
      <c r="J326" s="367">
        <f>I326*C326</f>
        <v>175000</v>
      </c>
      <c r="K326" s="368">
        <f>+D326*I326</f>
        <v>0</v>
      </c>
      <c r="L326" s="215"/>
    </row>
    <row r="327" spans="1:13" ht="15.75" thickBot="1" x14ac:dyDescent="0.3">
      <c r="A327" s="280"/>
      <c r="B327" s="356"/>
      <c r="C327" s="282"/>
      <c r="D327" s="317"/>
      <c r="E327" s="282">
        <v>0</v>
      </c>
      <c r="F327" s="281"/>
      <c r="G327" s="366">
        <f>+E327+F327</f>
        <v>0</v>
      </c>
      <c r="H327" s="353"/>
      <c r="I327" s="367">
        <f>+G327-H327</f>
        <v>0</v>
      </c>
      <c r="J327" s="367">
        <f>I327*C327</f>
        <v>0</v>
      </c>
      <c r="K327" s="368">
        <f>+D327*I327</f>
        <v>0</v>
      </c>
      <c r="L327" s="215"/>
    </row>
    <row r="328" spans="1:13" ht="15.75" thickBot="1" x14ac:dyDescent="0.3">
      <c r="A328" s="313"/>
      <c r="B328" s="96" t="s">
        <v>670</v>
      </c>
      <c r="C328" s="296"/>
      <c r="D328" s="296"/>
      <c r="E328" s="97">
        <f t="shared" ref="E328:K328" si="51">SUM(E258:E327)</f>
        <v>70211</v>
      </c>
      <c r="F328" s="97">
        <f t="shared" si="51"/>
        <v>0</v>
      </c>
      <c r="G328" s="97">
        <f t="shared" si="51"/>
        <v>70211</v>
      </c>
      <c r="H328" s="97">
        <f t="shared" si="51"/>
        <v>0</v>
      </c>
      <c r="I328" s="97">
        <f t="shared" si="51"/>
        <v>70211</v>
      </c>
      <c r="J328" s="97">
        <f t="shared" si="51"/>
        <v>542340000</v>
      </c>
      <c r="K328" s="297">
        <f t="shared" si="51"/>
        <v>134469693.07999998</v>
      </c>
      <c r="L328" s="151"/>
    </row>
    <row r="329" spans="1:13" ht="15.75" thickBot="1" x14ac:dyDescent="0.3">
      <c r="A329" s="298"/>
      <c r="B329" s="138"/>
      <c r="C329" s="139"/>
      <c r="D329" s="140"/>
      <c r="E329" s="141"/>
      <c r="F329" s="138"/>
      <c r="G329" s="141"/>
      <c r="H329" s="141"/>
      <c r="I329" s="141"/>
      <c r="J329" s="141"/>
      <c r="K329" s="140"/>
      <c r="L329" s="140"/>
    </row>
    <row r="330" spans="1:13" ht="15.75" thickBot="1" x14ac:dyDescent="0.3">
      <c r="A330" s="418" t="s">
        <v>653</v>
      </c>
      <c r="B330" s="421" t="s">
        <v>704</v>
      </c>
      <c r="C330" s="421" t="s">
        <v>1</v>
      </c>
      <c r="D330" s="422" t="s">
        <v>645</v>
      </c>
      <c r="E330" s="423" t="s">
        <v>19</v>
      </c>
      <c r="F330" s="423"/>
      <c r="G330" s="423"/>
      <c r="H330" s="423"/>
      <c r="I330" s="423"/>
      <c r="J330" s="416" t="s">
        <v>20</v>
      </c>
      <c r="K330" s="418" t="s">
        <v>598</v>
      </c>
      <c r="L330" s="213"/>
    </row>
    <row r="331" spans="1:13" ht="30.75" thickBot="1" x14ac:dyDescent="0.3">
      <c r="A331" s="420"/>
      <c r="B331" s="421"/>
      <c r="C331" s="421"/>
      <c r="D331" s="422"/>
      <c r="E331" s="272" t="s">
        <v>21</v>
      </c>
      <c r="F331" s="272" t="s">
        <v>596</v>
      </c>
      <c r="G331" s="272" t="s">
        <v>597</v>
      </c>
      <c r="H331" s="272" t="s">
        <v>585</v>
      </c>
      <c r="I331" s="272" t="s">
        <v>597</v>
      </c>
      <c r="J331" s="417"/>
      <c r="K331" s="419"/>
      <c r="L331" s="213"/>
    </row>
    <row r="332" spans="1:13" ht="15.75" thickBot="1" x14ac:dyDescent="0.3">
      <c r="A332" s="419"/>
      <c r="B332" s="273">
        <v>1</v>
      </c>
      <c r="C332" s="273">
        <v>2</v>
      </c>
      <c r="D332" s="273">
        <v>3</v>
      </c>
      <c r="E332" s="274">
        <v>4</v>
      </c>
      <c r="F332" s="274">
        <f>+E332+1</f>
        <v>5</v>
      </c>
      <c r="G332" s="274" t="s">
        <v>648</v>
      </c>
      <c r="H332" s="274">
        <v>7</v>
      </c>
      <c r="I332" s="275" t="s">
        <v>647</v>
      </c>
      <c r="J332" s="287" t="s">
        <v>646</v>
      </c>
      <c r="K332" s="287" t="s">
        <v>649</v>
      </c>
      <c r="L332" s="214"/>
    </row>
    <row r="333" spans="1:13" x14ac:dyDescent="0.25">
      <c r="A333" s="288"/>
      <c r="B333" s="276" t="s">
        <v>706</v>
      </c>
      <c r="C333" s="288"/>
      <c r="D333" s="288"/>
      <c r="E333" s="288"/>
      <c r="F333" s="288"/>
      <c r="G333" s="288"/>
      <c r="H333" s="288"/>
      <c r="I333" s="288"/>
      <c r="J333" s="288"/>
      <c r="K333" s="288"/>
      <c r="L333" s="114"/>
    </row>
    <row r="334" spans="1:13" x14ac:dyDescent="0.25">
      <c r="A334" s="279">
        <v>1</v>
      </c>
      <c r="B334" s="61" t="s">
        <v>438</v>
      </c>
      <c r="C334" s="62">
        <v>9500</v>
      </c>
      <c r="D334" s="316">
        <v>2053.04</v>
      </c>
      <c r="E334" s="62">
        <v>146</v>
      </c>
      <c r="F334" s="61">
        <f>102-102+24-24</f>
        <v>0</v>
      </c>
      <c r="G334" s="289">
        <f t="shared" ref="G334:G345" si="52">+E334+F334</f>
        <v>146</v>
      </c>
      <c r="H334" s="61"/>
      <c r="I334" s="251">
        <f t="shared" ref="I334:I345" si="53">+G334-H334</f>
        <v>146</v>
      </c>
      <c r="J334" s="251">
        <f t="shared" ref="J334:J345" si="54">I334*C334</f>
        <v>1387000</v>
      </c>
      <c r="K334" s="290">
        <f t="shared" ref="K334:K345" si="55">+D334*I334</f>
        <v>299743.83999999997</v>
      </c>
      <c r="L334" s="215"/>
    </row>
    <row r="335" spans="1:13" x14ac:dyDescent="0.25">
      <c r="A335" s="279">
        <v>2</v>
      </c>
      <c r="B335" s="61" t="s">
        <v>439</v>
      </c>
      <c r="C335" s="62">
        <v>19000</v>
      </c>
      <c r="D335" s="316">
        <v>2163.04</v>
      </c>
      <c r="E335" s="62">
        <v>413</v>
      </c>
      <c r="F335" s="61">
        <f>74-74+290-290</f>
        <v>0</v>
      </c>
      <c r="G335" s="289">
        <f t="shared" si="52"/>
        <v>413</v>
      </c>
      <c r="H335" s="61"/>
      <c r="I335" s="251">
        <f t="shared" si="53"/>
        <v>413</v>
      </c>
      <c r="J335" s="251">
        <f t="shared" si="54"/>
        <v>7847000</v>
      </c>
      <c r="K335" s="290">
        <f t="shared" si="55"/>
        <v>893335.52</v>
      </c>
      <c r="L335" s="215"/>
      <c r="M335" s="40" t="s">
        <v>855</v>
      </c>
    </row>
    <row r="336" spans="1:13" x14ac:dyDescent="0.25">
      <c r="A336" s="279">
        <v>3</v>
      </c>
      <c r="B336" s="61" t="s">
        <v>440</v>
      </c>
      <c r="C336" s="62">
        <v>7000</v>
      </c>
      <c r="D336" s="316">
        <v>1700</v>
      </c>
      <c r="E336" s="62">
        <v>1456</v>
      </c>
      <c r="F336" s="61">
        <f>568-568+688-688</f>
        <v>0</v>
      </c>
      <c r="G336" s="289">
        <f t="shared" si="52"/>
        <v>1456</v>
      </c>
      <c r="H336" s="61"/>
      <c r="I336" s="251">
        <f t="shared" si="53"/>
        <v>1456</v>
      </c>
      <c r="J336" s="251">
        <f t="shared" si="54"/>
        <v>10192000</v>
      </c>
      <c r="K336" s="290">
        <f t="shared" si="55"/>
        <v>2475200</v>
      </c>
      <c r="L336" s="215"/>
    </row>
    <row r="337" spans="1:12" x14ac:dyDescent="0.25">
      <c r="A337" s="279">
        <v>4</v>
      </c>
      <c r="B337" s="357" t="s">
        <v>870</v>
      </c>
      <c r="C337" s="62">
        <v>36000</v>
      </c>
      <c r="D337" s="284">
        <f>1591*8</f>
        <v>12728</v>
      </c>
      <c r="E337" s="62">
        <v>256</v>
      </c>
      <c r="F337" s="61">
        <f>56-56</f>
        <v>0</v>
      </c>
      <c r="G337" s="289">
        <f t="shared" si="52"/>
        <v>256</v>
      </c>
      <c r="H337" s="61"/>
      <c r="I337" s="251">
        <f t="shared" si="53"/>
        <v>256</v>
      </c>
      <c r="J337" s="251">
        <f t="shared" si="54"/>
        <v>9216000</v>
      </c>
      <c r="K337" s="290">
        <f t="shared" si="55"/>
        <v>3258368</v>
      </c>
      <c r="L337" s="215"/>
    </row>
    <row r="338" spans="1:12" x14ac:dyDescent="0.25">
      <c r="A338" s="279">
        <v>5</v>
      </c>
      <c r="B338" s="61" t="s">
        <v>629</v>
      </c>
      <c r="C338" s="62">
        <v>6000</v>
      </c>
      <c r="D338" s="316">
        <f>+'[2]SHP,SP'!$D$762</f>
        <v>2103</v>
      </c>
      <c r="E338" s="62">
        <v>1323</v>
      </c>
      <c r="F338" s="61">
        <f>981-981+282-282</f>
        <v>0</v>
      </c>
      <c r="G338" s="289">
        <f t="shared" si="52"/>
        <v>1323</v>
      </c>
      <c r="H338" s="61"/>
      <c r="I338" s="251">
        <f t="shared" si="53"/>
        <v>1323</v>
      </c>
      <c r="J338" s="251">
        <f t="shared" si="54"/>
        <v>7938000</v>
      </c>
      <c r="K338" s="290">
        <f t="shared" si="55"/>
        <v>2782269</v>
      </c>
      <c r="L338" s="215"/>
    </row>
    <row r="339" spans="1:12" x14ac:dyDescent="0.25">
      <c r="A339" s="279">
        <v>6</v>
      </c>
      <c r="B339" s="358" t="s">
        <v>441</v>
      </c>
      <c r="C339" s="62">
        <f>+'[7]KEL C-2'!$GF$4</f>
        <v>12000</v>
      </c>
      <c r="D339" s="260">
        <v>1974.06</v>
      </c>
      <c r="E339" s="62">
        <v>950</v>
      </c>
      <c r="F339" s="61">
        <f>811-811+39-39</f>
        <v>0</v>
      </c>
      <c r="G339" s="289">
        <f t="shared" si="52"/>
        <v>950</v>
      </c>
      <c r="H339" s="61"/>
      <c r="I339" s="251">
        <f t="shared" si="53"/>
        <v>950</v>
      </c>
      <c r="J339" s="251">
        <f t="shared" si="54"/>
        <v>11400000</v>
      </c>
      <c r="K339" s="290">
        <f t="shared" si="55"/>
        <v>1875357</v>
      </c>
      <c r="L339" s="215"/>
    </row>
    <row r="340" spans="1:12" x14ac:dyDescent="0.25">
      <c r="A340" s="279">
        <v>7</v>
      </c>
      <c r="B340" s="61" t="s">
        <v>442</v>
      </c>
      <c r="C340" s="62">
        <f>+'[7]KEL C-2'!$FX$4</f>
        <v>7000</v>
      </c>
      <c r="D340" s="260">
        <v>1684.62</v>
      </c>
      <c r="E340" s="62">
        <v>1356</v>
      </c>
      <c r="F340" s="61">
        <f>800-800+456-456</f>
        <v>0</v>
      </c>
      <c r="G340" s="289">
        <f t="shared" si="52"/>
        <v>1356</v>
      </c>
      <c r="H340" s="61"/>
      <c r="I340" s="251">
        <f t="shared" si="53"/>
        <v>1356</v>
      </c>
      <c r="J340" s="251">
        <f t="shared" si="54"/>
        <v>9492000</v>
      </c>
      <c r="K340" s="290">
        <f t="shared" si="55"/>
        <v>2284344.7199999997</v>
      </c>
      <c r="L340" s="215"/>
    </row>
    <row r="341" spans="1:12" x14ac:dyDescent="0.25">
      <c r="A341" s="279">
        <v>8</v>
      </c>
      <c r="B341" s="61" t="s">
        <v>443</v>
      </c>
      <c r="C341" s="62">
        <f>+'[8]KEL C-2'!$GH$4</f>
        <v>7000</v>
      </c>
      <c r="D341" s="260">
        <v>1850</v>
      </c>
      <c r="E341" s="62">
        <v>1783</v>
      </c>
      <c r="F341" s="61">
        <f>644-644+1039-1039</f>
        <v>0</v>
      </c>
      <c r="G341" s="289">
        <f t="shared" si="52"/>
        <v>1783</v>
      </c>
      <c r="H341" s="61"/>
      <c r="I341" s="251">
        <f t="shared" si="53"/>
        <v>1783</v>
      </c>
      <c r="J341" s="251">
        <f t="shared" si="54"/>
        <v>12481000</v>
      </c>
      <c r="K341" s="290">
        <f t="shared" si="55"/>
        <v>3298550</v>
      </c>
      <c r="L341" s="215"/>
    </row>
    <row r="342" spans="1:12" x14ac:dyDescent="0.25">
      <c r="A342" s="279">
        <v>9</v>
      </c>
      <c r="B342" s="61" t="s">
        <v>444</v>
      </c>
      <c r="C342" s="62">
        <f>+'[8]KEL C-2'!$GG$4</f>
        <v>7000</v>
      </c>
      <c r="D342" s="260">
        <v>1009</v>
      </c>
      <c r="E342" s="62">
        <v>1270</v>
      </c>
      <c r="F342" s="61">
        <f>421-421+771-771</f>
        <v>0</v>
      </c>
      <c r="G342" s="289">
        <f t="shared" si="52"/>
        <v>1270</v>
      </c>
      <c r="H342" s="61"/>
      <c r="I342" s="251">
        <f t="shared" si="53"/>
        <v>1270</v>
      </c>
      <c r="J342" s="251">
        <f t="shared" si="54"/>
        <v>8890000</v>
      </c>
      <c r="K342" s="290">
        <f t="shared" si="55"/>
        <v>1281430</v>
      </c>
      <c r="L342" s="215"/>
    </row>
    <row r="343" spans="1:12" x14ac:dyDescent="0.25">
      <c r="A343" s="279">
        <v>10</v>
      </c>
      <c r="B343" s="61" t="str">
        <f>+'[8]KEL C-2'!$HL$2</f>
        <v>SHP JATI DIRI BANGSA</v>
      </c>
      <c r="C343" s="62">
        <f>+'[8]KEL C-2'!$HL$4</f>
        <v>9500</v>
      </c>
      <c r="D343" s="316">
        <v>1700</v>
      </c>
      <c r="E343" s="62">
        <v>1364</v>
      </c>
      <c r="F343" s="61">
        <f>1048-1048+218-218</f>
        <v>0</v>
      </c>
      <c r="G343" s="289">
        <f t="shared" si="52"/>
        <v>1364</v>
      </c>
      <c r="H343" s="61"/>
      <c r="I343" s="251">
        <f t="shared" si="53"/>
        <v>1364</v>
      </c>
      <c r="J343" s="251">
        <f t="shared" si="54"/>
        <v>12958000</v>
      </c>
      <c r="K343" s="290">
        <f t="shared" si="55"/>
        <v>2318800</v>
      </c>
      <c r="L343" s="215"/>
    </row>
    <row r="344" spans="1:12" x14ac:dyDescent="0.25">
      <c r="A344" s="279">
        <v>11</v>
      </c>
      <c r="B344" s="61" t="str">
        <f>+'[8]KEL C-2'!$HM$2</f>
        <v>SP 266 POS</v>
      </c>
      <c r="C344" s="62">
        <f>+'[8]KEL C-2'!$HM$4</f>
        <v>5000</v>
      </c>
      <c r="D344" s="260">
        <v>1850</v>
      </c>
      <c r="E344" s="62">
        <v>440</v>
      </c>
      <c r="F344" s="61">
        <f>307-307+33-33</f>
        <v>0</v>
      </c>
      <c r="G344" s="289">
        <f t="shared" si="52"/>
        <v>440</v>
      </c>
      <c r="H344" s="61"/>
      <c r="I344" s="251">
        <f t="shared" si="53"/>
        <v>440</v>
      </c>
      <c r="J344" s="251">
        <f t="shared" si="54"/>
        <v>2200000</v>
      </c>
      <c r="K344" s="290">
        <f t="shared" si="55"/>
        <v>814000</v>
      </c>
      <c r="L344" s="215"/>
    </row>
    <row r="345" spans="1:12" x14ac:dyDescent="0.25">
      <c r="A345" s="279">
        <v>12</v>
      </c>
      <c r="B345" s="352" t="s">
        <v>445</v>
      </c>
      <c r="C345" s="62">
        <v>14500</v>
      </c>
      <c r="D345" s="260">
        <v>1971.67</v>
      </c>
      <c r="E345" s="62">
        <v>2096</v>
      </c>
      <c r="F345" s="61">
        <f>577+75-652+544-544</f>
        <v>0</v>
      </c>
      <c r="G345" s="289">
        <f t="shared" si="52"/>
        <v>2096</v>
      </c>
      <c r="H345" s="61"/>
      <c r="I345" s="251">
        <f t="shared" si="53"/>
        <v>2096</v>
      </c>
      <c r="J345" s="251">
        <f t="shared" si="54"/>
        <v>30392000</v>
      </c>
      <c r="K345" s="290">
        <f t="shared" si="55"/>
        <v>4132620.3200000003</v>
      </c>
      <c r="L345" s="215"/>
    </row>
    <row r="346" spans="1:12" x14ac:dyDescent="0.25">
      <c r="A346" s="279">
        <v>13</v>
      </c>
      <c r="B346" s="359" t="s">
        <v>1129</v>
      </c>
      <c r="C346" s="91">
        <v>7000</v>
      </c>
      <c r="D346" s="260">
        <v>3057</v>
      </c>
      <c r="E346" s="91">
        <v>100</v>
      </c>
      <c r="F346" s="90">
        <f>91-91+9-9</f>
        <v>0</v>
      </c>
      <c r="G346" s="289">
        <f t="shared" ref="G346:G358" si="56">+E346+F346</f>
        <v>100</v>
      </c>
      <c r="H346" s="61"/>
      <c r="I346" s="251">
        <f t="shared" ref="I346:I358" si="57">+G346-H346</f>
        <v>100</v>
      </c>
      <c r="J346" s="251">
        <f t="shared" ref="J346:J358" si="58">I346*C346</f>
        <v>700000</v>
      </c>
      <c r="K346" s="290">
        <f t="shared" ref="K346:K358" si="59">+D346*I346</f>
        <v>305700</v>
      </c>
      <c r="L346" s="227" t="s">
        <v>1128</v>
      </c>
    </row>
    <row r="347" spans="1:12" x14ac:dyDescent="0.25">
      <c r="A347" s="279">
        <v>14</v>
      </c>
      <c r="B347" s="359" t="s">
        <v>1130</v>
      </c>
      <c r="C347" s="91">
        <v>5000</v>
      </c>
      <c r="D347" s="260">
        <v>2046</v>
      </c>
      <c r="E347" s="91">
        <v>722</v>
      </c>
      <c r="F347" s="90">
        <f>540-540+182-182</f>
        <v>0</v>
      </c>
      <c r="G347" s="289">
        <f t="shared" si="56"/>
        <v>722</v>
      </c>
      <c r="H347" s="61"/>
      <c r="I347" s="251">
        <f t="shared" si="57"/>
        <v>722</v>
      </c>
      <c r="J347" s="251">
        <f t="shared" si="58"/>
        <v>3610000</v>
      </c>
      <c r="K347" s="290">
        <f t="shared" si="59"/>
        <v>1477212</v>
      </c>
      <c r="L347" s="215"/>
    </row>
    <row r="348" spans="1:12" x14ac:dyDescent="0.25">
      <c r="A348" s="279">
        <v>15</v>
      </c>
      <c r="B348" s="359" t="s">
        <v>1131</v>
      </c>
      <c r="C348" s="91">
        <v>5000</v>
      </c>
      <c r="D348" s="260">
        <v>2598</v>
      </c>
      <c r="E348" s="91">
        <v>1529</v>
      </c>
      <c r="F348" s="90">
        <f>622-622+907-907</f>
        <v>0</v>
      </c>
      <c r="G348" s="289">
        <f t="shared" si="56"/>
        <v>1529</v>
      </c>
      <c r="H348" s="61"/>
      <c r="I348" s="251">
        <f t="shared" si="57"/>
        <v>1529</v>
      </c>
      <c r="J348" s="251">
        <f t="shared" si="58"/>
        <v>7645000</v>
      </c>
      <c r="K348" s="290">
        <f t="shared" si="59"/>
        <v>3972342</v>
      </c>
      <c r="L348" s="215"/>
    </row>
    <row r="349" spans="1:12" x14ac:dyDescent="0.25">
      <c r="A349" s="279">
        <v>16</v>
      </c>
      <c r="B349" s="359" t="s">
        <v>1132</v>
      </c>
      <c r="C349" s="91">
        <v>5000</v>
      </c>
      <c r="D349" s="260">
        <v>1850</v>
      </c>
      <c r="E349" s="91">
        <v>365</v>
      </c>
      <c r="F349" s="90">
        <f>14-14+351-351</f>
        <v>0</v>
      </c>
      <c r="G349" s="289">
        <f t="shared" si="56"/>
        <v>365</v>
      </c>
      <c r="H349" s="61"/>
      <c r="I349" s="251">
        <f t="shared" si="57"/>
        <v>365</v>
      </c>
      <c r="J349" s="251">
        <f t="shared" si="58"/>
        <v>1825000</v>
      </c>
      <c r="K349" s="290">
        <f t="shared" si="59"/>
        <v>675250</v>
      </c>
      <c r="L349" s="215"/>
    </row>
    <row r="350" spans="1:12" x14ac:dyDescent="0.25">
      <c r="A350" s="279">
        <v>17</v>
      </c>
      <c r="B350" s="359" t="s">
        <v>1133</v>
      </c>
      <c r="C350" s="91">
        <v>4500</v>
      </c>
      <c r="D350" s="260">
        <v>1591</v>
      </c>
      <c r="E350" s="91">
        <v>1125</v>
      </c>
      <c r="F350" s="90">
        <f>915-915+210-210</f>
        <v>0</v>
      </c>
      <c r="G350" s="289">
        <f t="shared" si="56"/>
        <v>1125</v>
      </c>
      <c r="H350" s="61"/>
      <c r="I350" s="251">
        <f t="shared" si="57"/>
        <v>1125</v>
      </c>
      <c r="J350" s="251">
        <f t="shared" si="58"/>
        <v>5062500</v>
      </c>
      <c r="K350" s="290">
        <f t="shared" si="59"/>
        <v>1789875</v>
      </c>
      <c r="L350" s="215"/>
    </row>
    <row r="351" spans="1:12" x14ac:dyDescent="0.25">
      <c r="A351" s="279">
        <v>18</v>
      </c>
      <c r="B351" s="359" t="s">
        <v>1134</v>
      </c>
      <c r="C351" s="91">
        <v>4500</v>
      </c>
      <c r="D351" s="260">
        <v>1591</v>
      </c>
      <c r="E351" s="91">
        <v>1081</v>
      </c>
      <c r="F351" s="90">
        <f>807-807+274-274</f>
        <v>0</v>
      </c>
      <c r="G351" s="289">
        <f t="shared" si="56"/>
        <v>1081</v>
      </c>
      <c r="H351" s="61"/>
      <c r="I351" s="251">
        <f t="shared" si="57"/>
        <v>1081</v>
      </c>
      <c r="J351" s="251">
        <f t="shared" si="58"/>
        <v>4864500</v>
      </c>
      <c r="K351" s="290">
        <f t="shared" si="59"/>
        <v>1719871</v>
      </c>
      <c r="L351" s="215"/>
    </row>
    <row r="352" spans="1:12" x14ac:dyDescent="0.25">
      <c r="A352" s="279">
        <v>19</v>
      </c>
      <c r="B352" s="359" t="s">
        <v>1135</v>
      </c>
      <c r="C352" s="91">
        <v>4500</v>
      </c>
      <c r="D352" s="260">
        <v>1591</v>
      </c>
      <c r="E352" s="91">
        <v>1089</v>
      </c>
      <c r="F352" s="90">
        <f>707-707+382-382</f>
        <v>0</v>
      </c>
      <c r="G352" s="289">
        <f>+E352+F352</f>
        <v>1089</v>
      </c>
      <c r="H352" s="61"/>
      <c r="I352" s="251">
        <f>+G352-H352</f>
        <v>1089</v>
      </c>
      <c r="J352" s="251">
        <f>I352*C352</f>
        <v>4900500</v>
      </c>
      <c r="K352" s="290">
        <f>+D352*I352</f>
        <v>1732599</v>
      </c>
      <c r="L352" s="215"/>
    </row>
    <row r="353" spans="1:12" x14ac:dyDescent="0.25">
      <c r="A353" s="279">
        <v>20</v>
      </c>
      <c r="B353" s="359" t="s">
        <v>1136</v>
      </c>
      <c r="C353" s="91">
        <v>4500</v>
      </c>
      <c r="D353" s="260">
        <v>1591</v>
      </c>
      <c r="E353" s="91">
        <v>1081</v>
      </c>
      <c r="F353" s="90">
        <f>807-807+274-274</f>
        <v>0</v>
      </c>
      <c r="G353" s="289">
        <f t="shared" si="56"/>
        <v>1081</v>
      </c>
      <c r="H353" s="61"/>
      <c r="I353" s="251">
        <f t="shared" si="57"/>
        <v>1081</v>
      </c>
      <c r="J353" s="251">
        <f t="shared" si="58"/>
        <v>4864500</v>
      </c>
      <c r="K353" s="290">
        <f t="shared" si="59"/>
        <v>1719871</v>
      </c>
      <c r="L353" s="215"/>
    </row>
    <row r="354" spans="1:12" x14ac:dyDescent="0.25">
      <c r="A354" s="279">
        <v>21</v>
      </c>
      <c r="B354" s="359" t="s">
        <v>1137</v>
      </c>
      <c r="C354" s="91">
        <v>4500</v>
      </c>
      <c r="D354" s="260">
        <v>1591</v>
      </c>
      <c r="E354" s="91">
        <v>1091</v>
      </c>
      <c r="F354" s="90">
        <f>167-167+924-924</f>
        <v>0</v>
      </c>
      <c r="G354" s="289">
        <f t="shared" si="56"/>
        <v>1091</v>
      </c>
      <c r="H354" s="61"/>
      <c r="I354" s="251">
        <f t="shared" si="57"/>
        <v>1091</v>
      </c>
      <c r="J354" s="251">
        <f t="shared" si="58"/>
        <v>4909500</v>
      </c>
      <c r="K354" s="290">
        <f t="shared" si="59"/>
        <v>1735781</v>
      </c>
      <c r="L354" s="215"/>
    </row>
    <row r="355" spans="1:12" x14ac:dyDescent="0.25">
      <c r="A355" s="279">
        <v>22</v>
      </c>
      <c r="B355" s="359" t="s">
        <v>1138</v>
      </c>
      <c r="C355" s="91">
        <v>4500</v>
      </c>
      <c r="D355" s="260">
        <v>1591</v>
      </c>
      <c r="E355" s="91">
        <v>1091</v>
      </c>
      <c r="F355" s="90">
        <f>807-807+284-284</f>
        <v>0</v>
      </c>
      <c r="G355" s="289">
        <f t="shared" si="56"/>
        <v>1091</v>
      </c>
      <c r="H355" s="61"/>
      <c r="I355" s="251">
        <f t="shared" si="57"/>
        <v>1091</v>
      </c>
      <c r="J355" s="251">
        <f t="shared" si="58"/>
        <v>4909500</v>
      </c>
      <c r="K355" s="290">
        <f t="shared" si="59"/>
        <v>1735781</v>
      </c>
      <c r="L355" s="215"/>
    </row>
    <row r="356" spans="1:12" x14ac:dyDescent="0.25">
      <c r="A356" s="279">
        <v>23</v>
      </c>
      <c r="B356" s="359" t="s">
        <v>1139</v>
      </c>
      <c r="C356" s="91">
        <v>4500</v>
      </c>
      <c r="D356" s="260">
        <v>1591</v>
      </c>
      <c r="E356" s="91">
        <v>1092</v>
      </c>
      <c r="F356" s="90">
        <f>167-167+925-925</f>
        <v>0</v>
      </c>
      <c r="G356" s="289">
        <f t="shared" si="56"/>
        <v>1092</v>
      </c>
      <c r="H356" s="61"/>
      <c r="I356" s="251">
        <f t="shared" si="57"/>
        <v>1092</v>
      </c>
      <c r="J356" s="251">
        <f t="shared" si="58"/>
        <v>4914000</v>
      </c>
      <c r="K356" s="290">
        <f t="shared" si="59"/>
        <v>1737372</v>
      </c>
      <c r="L356" s="215"/>
    </row>
    <row r="357" spans="1:12" x14ac:dyDescent="0.25">
      <c r="A357" s="279">
        <v>24</v>
      </c>
      <c r="B357" s="359" t="s">
        <v>1140</v>
      </c>
      <c r="C357" s="91">
        <v>4500</v>
      </c>
      <c r="D357" s="260">
        <v>1591</v>
      </c>
      <c r="E357" s="91">
        <v>1080</v>
      </c>
      <c r="F357" s="90">
        <f>807-807+273-273</f>
        <v>0</v>
      </c>
      <c r="G357" s="289">
        <f t="shared" si="56"/>
        <v>1080</v>
      </c>
      <c r="H357" s="61"/>
      <c r="I357" s="251">
        <f t="shared" si="57"/>
        <v>1080</v>
      </c>
      <c r="J357" s="251">
        <f t="shared" si="58"/>
        <v>4860000</v>
      </c>
      <c r="K357" s="290">
        <f t="shared" si="59"/>
        <v>1718280</v>
      </c>
      <c r="L357" s="215"/>
    </row>
    <row r="358" spans="1:12" x14ac:dyDescent="0.25">
      <c r="A358" s="279">
        <v>25</v>
      </c>
      <c r="B358" s="359" t="s">
        <v>1141</v>
      </c>
      <c r="C358" s="91">
        <v>4500</v>
      </c>
      <c r="D358" s="260">
        <v>1591</v>
      </c>
      <c r="E358" s="91">
        <v>1084</v>
      </c>
      <c r="F358" s="90">
        <f>807-807+277-277</f>
        <v>0</v>
      </c>
      <c r="G358" s="289">
        <f t="shared" si="56"/>
        <v>1084</v>
      </c>
      <c r="H358" s="61"/>
      <c r="I358" s="251">
        <f t="shared" si="57"/>
        <v>1084</v>
      </c>
      <c r="J358" s="251">
        <f t="shared" si="58"/>
        <v>4878000</v>
      </c>
      <c r="K358" s="290">
        <f t="shared" si="59"/>
        <v>1724644</v>
      </c>
      <c r="L358" s="215"/>
    </row>
    <row r="359" spans="1:12" x14ac:dyDescent="0.25">
      <c r="A359" s="279">
        <v>26</v>
      </c>
      <c r="B359" s="61" t="s">
        <v>446</v>
      </c>
      <c r="C359" s="62">
        <v>7000</v>
      </c>
      <c r="D359" s="260">
        <v>1974.06</v>
      </c>
      <c r="E359" s="62">
        <v>2221</v>
      </c>
      <c r="F359" s="61">
        <f>1007+200-1207+614-614</f>
        <v>0</v>
      </c>
      <c r="G359" s="289">
        <f>+E359+F359</f>
        <v>2221</v>
      </c>
      <c r="H359" s="61"/>
      <c r="I359" s="251">
        <f>+G359-H359</f>
        <v>2221</v>
      </c>
      <c r="J359" s="251">
        <f>I359*C359</f>
        <v>15547000</v>
      </c>
      <c r="K359" s="290">
        <f>+D359*I359</f>
        <v>4384387.26</v>
      </c>
      <c r="L359" s="215"/>
    </row>
    <row r="360" spans="1:12" x14ac:dyDescent="0.25">
      <c r="A360" s="279">
        <v>27</v>
      </c>
      <c r="B360" s="360" t="s">
        <v>554</v>
      </c>
      <c r="C360" s="262">
        <v>12000</v>
      </c>
      <c r="D360" s="260">
        <v>1974.06</v>
      </c>
      <c r="E360" s="62">
        <v>0</v>
      </c>
      <c r="F360" s="61"/>
      <c r="G360" s="289">
        <f>+E360+F360</f>
        <v>0</v>
      </c>
      <c r="H360" s="61"/>
      <c r="I360" s="251">
        <f>+G360-H360</f>
        <v>0</v>
      </c>
      <c r="J360" s="251">
        <f>I360*C360</f>
        <v>0</v>
      </c>
      <c r="K360" s="290">
        <f>+D360*I360</f>
        <v>0</v>
      </c>
      <c r="L360" s="215"/>
    </row>
    <row r="361" spans="1:12" x14ac:dyDescent="0.25">
      <c r="A361" s="279">
        <v>28</v>
      </c>
      <c r="B361" s="61" t="s">
        <v>1213</v>
      </c>
      <c r="C361" s="62">
        <v>5000</v>
      </c>
      <c r="D361" s="61"/>
      <c r="E361" s="62">
        <v>25</v>
      </c>
      <c r="F361" s="61">
        <f>25-25</f>
        <v>0</v>
      </c>
      <c r="G361" s="289">
        <f>+E361+F361</f>
        <v>25</v>
      </c>
      <c r="H361" s="61"/>
      <c r="I361" s="251">
        <f>+G361-H361</f>
        <v>25</v>
      </c>
      <c r="J361" s="251">
        <f>I361*C361</f>
        <v>125000</v>
      </c>
      <c r="K361" s="290">
        <f>+D361*I361</f>
        <v>0</v>
      </c>
      <c r="L361" s="215"/>
    </row>
    <row r="362" spans="1:12" x14ac:dyDescent="0.25">
      <c r="A362" s="279">
        <v>29</v>
      </c>
      <c r="B362" s="61" t="s">
        <v>1214</v>
      </c>
      <c r="C362" s="62">
        <v>5000</v>
      </c>
      <c r="D362" s="61"/>
      <c r="E362" s="62">
        <v>5</v>
      </c>
      <c r="F362" s="61">
        <f>5-5</f>
        <v>0</v>
      </c>
      <c r="G362" s="289">
        <f>+E362+F362</f>
        <v>5</v>
      </c>
      <c r="H362" s="61"/>
      <c r="I362" s="251">
        <f>+G362-H362</f>
        <v>5</v>
      </c>
      <c r="J362" s="251">
        <f>I362*C362</f>
        <v>25000</v>
      </c>
      <c r="K362" s="290">
        <f>+D362*I362</f>
        <v>0</v>
      </c>
      <c r="L362" s="215"/>
    </row>
    <row r="363" spans="1:12" x14ac:dyDescent="0.25">
      <c r="A363" s="279">
        <v>30</v>
      </c>
      <c r="B363" s="61" t="s">
        <v>1215</v>
      </c>
      <c r="C363" s="62">
        <v>5000</v>
      </c>
      <c r="D363" s="61"/>
      <c r="E363" s="62">
        <v>592</v>
      </c>
      <c r="F363" s="61">
        <f>592-592</f>
        <v>0</v>
      </c>
      <c r="G363" s="289">
        <f>+E363+F363</f>
        <v>592</v>
      </c>
      <c r="H363" s="61"/>
      <c r="I363" s="251">
        <f>+G363-H363</f>
        <v>592</v>
      </c>
      <c r="J363" s="251">
        <f>I363*C363</f>
        <v>2960000</v>
      </c>
      <c r="K363" s="290">
        <f>+D363*I363</f>
        <v>0</v>
      </c>
      <c r="L363" s="215"/>
    </row>
    <row r="364" spans="1:12" x14ac:dyDescent="0.25">
      <c r="A364" s="279"/>
      <c r="B364" s="61"/>
      <c r="C364" s="62"/>
      <c r="D364" s="61"/>
      <c r="E364" s="62"/>
      <c r="F364" s="61"/>
      <c r="G364" s="289"/>
      <c r="H364" s="61"/>
      <c r="I364" s="251"/>
      <c r="J364" s="251"/>
      <c r="K364" s="290"/>
      <c r="L364" s="215"/>
    </row>
    <row r="365" spans="1:12" x14ac:dyDescent="0.25">
      <c r="A365" s="279"/>
      <c r="B365" s="61"/>
      <c r="C365" s="62"/>
      <c r="D365" s="61"/>
      <c r="E365" s="62"/>
      <c r="F365" s="61"/>
      <c r="G365" s="289"/>
      <c r="H365" s="61"/>
      <c r="I365" s="251"/>
      <c r="J365" s="251"/>
      <c r="K365" s="290"/>
      <c r="L365" s="215"/>
    </row>
    <row r="366" spans="1:12" x14ac:dyDescent="0.25">
      <c r="A366" s="279"/>
      <c r="B366" s="61"/>
      <c r="C366" s="62"/>
      <c r="D366" s="61"/>
      <c r="E366" s="62"/>
      <c r="F366" s="61"/>
      <c r="G366" s="289"/>
      <c r="H366" s="61"/>
      <c r="I366" s="251"/>
      <c r="J366" s="251"/>
      <c r="K366" s="290"/>
      <c r="L366" s="215"/>
    </row>
    <row r="367" spans="1:12" x14ac:dyDescent="0.25">
      <c r="A367" s="279"/>
      <c r="B367" s="61"/>
      <c r="C367" s="62"/>
      <c r="D367" s="61"/>
      <c r="E367" s="62"/>
      <c r="F367" s="61"/>
      <c r="G367" s="289"/>
      <c r="H367" s="61"/>
      <c r="I367" s="251"/>
      <c r="J367" s="251"/>
      <c r="K367" s="290"/>
      <c r="L367" s="215"/>
    </row>
    <row r="368" spans="1:12" ht="15.75" thickBot="1" x14ac:dyDescent="0.3">
      <c r="A368" s="369"/>
      <c r="B368" s="361"/>
      <c r="C368" s="362"/>
      <c r="D368" s="361"/>
      <c r="E368" s="362"/>
      <c r="F368" s="361"/>
      <c r="G368" s="370"/>
      <c r="H368" s="361"/>
      <c r="I368" s="371"/>
      <c r="J368" s="371"/>
      <c r="K368" s="372"/>
      <c r="L368" s="215"/>
    </row>
    <row r="369" spans="1:12" ht="15.75" thickBot="1" x14ac:dyDescent="0.3">
      <c r="A369" s="313"/>
      <c r="B369" s="96" t="s">
        <v>672</v>
      </c>
      <c r="C369" s="296"/>
      <c r="D369" s="296"/>
      <c r="E369" s="97">
        <f t="shared" ref="E369:K369" si="60">SUM(E334:E368)</f>
        <v>28226</v>
      </c>
      <c r="F369" s="97">
        <f>SUM(F334:F368)</f>
        <v>0</v>
      </c>
      <c r="G369" s="97">
        <f t="shared" si="60"/>
        <v>28226</v>
      </c>
      <c r="H369" s="97">
        <f t="shared" si="60"/>
        <v>0</v>
      </c>
      <c r="I369" s="97">
        <f t="shared" si="60"/>
        <v>28226</v>
      </c>
      <c r="J369" s="97">
        <f>SUM(J334:J368)</f>
        <v>200993000</v>
      </c>
      <c r="K369" s="297">
        <f t="shared" si="60"/>
        <v>52142983.659999996</v>
      </c>
      <c r="L369" s="151"/>
    </row>
    <row r="370" spans="1:12" ht="15.75" thickBot="1" x14ac:dyDescent="0.3">
      <c r="A370" s="298"/>
      <c r="B370" s="138"/>
      <c r="C370" s="139"/>
      <c r="D370" s="140"/>
      <c r="E370" s="141"/>
      <c r="F370" s="138"/>
      <c r="G370" s="141"/>
      <c r="H370" s="141"/>
      <c r="I370" s="141"/>
      <c r="J370" s="141"/>
      <c r="K370" s="140"/>
      <c r="L370" s="140"/>
    </row>
    <row r="371" spans="1:12" ht="15.75" thickBot="1" x14ac:dyDescent="0.3">
      <c r="A371" s="418" t="s">
        <v>653</v>
      </c>
      <c r="B371" s="421" t="s">
        <v>704</v>
      </c>
      <c r="C371" s="421" t="s">
        <v>1</v>
      </c>
      <c r="D371" s="422" t="s">
        <v>645</v>
      </c>
      <c r="E371" s="423" t="s">
        <v>19</v>
      </c>
      <c r="F371" s="423"/>
      <c r="G371" s="423"/>
      <c r="H371" s="423"/>
      <c r="I371" s="423"/>
      <c r="J371" s="416" t="s">
        <v>20</v>
      </c>
      <c r="K371" s="418" t="s">
        <v>598</v>
      </c>
      <c r="L371" s="213"/>
    </row>
    <row r="372" spans="1:12" ht="30.75" thickBot="1" x14ac:dyDescent="0.3">
      <c r="A372" s="420"/>
      <c r="B372" s="421"/>
      <c r="C372" s="421"/>
      <c r="D372" s="422"/>
      <c r="E372" s="272" t="s">
        <v>21</v>
      </c>
      <c r="F372" s="272" t="s">
        <v>596</v>
      </c>
      <c r="G372" s="272" t="s">
        <v>597</v>
      </c>
      <c r="H372" s="272" t="s">
        <v>585</v>
      </c>
      <c r="I372" s="272" t="s">
        <v>597</v>
      </c>
      <c r="J372" s="417"/>
      <c r="K372" s="419"/>
      <c r="L372" s="213"/>
    </row>
    <row r="373" spans="1:12" ht="15.75" thickBot="1" x14ac:dyDescent="0.3">
      <c r="A373" s="419"/>
      <c r="B373" s="273">
        <v>1</v>
      </c>
      <c r="C373" s="273">
        <v>2</v>
      </c>
      <c r="D373" s="273">
        <v>3</v>
      </c>
      <c r="E373" s="274">
        <v>4</v>
      </c>
      <c r="F373" s="274">
        <f>+E373+1</f>
        <v>5</v>
      </c>
      <c r="G373" s="274" t="s">
        <v>648</v>
      </c>
      <c r="H373" s="274">
        <v>7</v>
      </c>
      <c r="I373" s="275" t="s">
        <v>647</v>
      </c>
      <c r="J373" s="287" t="s">
        <v>646</v>
      </c>
      <c r="K373" s="287" t="s">
        <v>649</v>
      </c>
      <c r="L373" s="214"/>
    </row>
    <row r="374" spans="1:12" x14ac:dyDescent="0.25">
      <c r="A374" s="288"/>
      <c r="B374" s="276" t="s">
        <v>707</v>
      </c>
      <c r="C374" s="288"/>
      <c r="D374" s="288"/>
      <c r="E374" s="288"/>
      <c r="F374" s="288"/>
      <c r="G374" s="288"/>
      <c r="H374" s="288"/>
      <c r="I374" s="288"/>
      <c r="J374" s="288"/>
      <c r="K374" s="288"/>
      <c r="L374" s="114"/>
    </row>
    <row r="375" spans="1:12" x14ac:dyDescent="0.25">
      <c r="A375" s="279">
        <v>1</v>
      </c>
      <c r="B375" s="61" t="s">
        <v>741</v>
      </c>
      <c r="C375" s="62">
        <f>+'[5]KEL C-2'!$GQ$4</f>
        <v>17500</v>
      </c>
      <c r="D375" s="316">
        <f>+'[2]SHP,SP'!$D$751</f>
        <v>2068</v>
      </c>
      <c r="E375" s="62">
        <v>5894</v>
      </c>
      <c r="F375" s="61">
        <f>506+178-684+1313-1313</f>
        <v>0</v>
      </c>
      <c r="G375" s="289">
        <f t="shared" ref="G375:G391" si="61">+E375+F375</f>
        <v>5894</v>
      </c>
      <c r="H375" s="61"/>
      <c r="I375" s="251">
        <f t="shared" ref="I375:I391" si="62">+G375-H375</f>
        <v>5894</v>
      </c>
      <c r="J375" s="251">
        <f t="shared" ref="J375:J391" si="63">I375*C375</f>
        <v>103145000</v>
      </c>
      <c r="K375" s="290">
        <f t="shared" ref="K375:K399" si="64">+D375*I375</f>
        <v>12188792</v>
      </c>
      <c r="L375" s="215"/>
    </row>
    <row r="376" spans="1:12" x14ac:dyDescent="0.25">
      <c r="A376" s="279">
        <v>2</v>
      </c>
      <c r="B376" s="61" t="s">
        <v>742</v>
      </c>
      <c r="C376" s="62">
        <v>12500</v>
      </c>
      <c r="D376" s="316">
        <f>+'[2]SHP,SP'!$D$752</f>
        <v>2628</v>
      </c>
      <c r="E376" s="62">
        <v>5513</v>
      </c>
      <c r="F376" s="61">
        <f>725+99-824+792-792</f>
        <v>0</v>
      </c>
      <c r="G376" s="289">
        <f t="shared" si="61"/>
        <v>5513</v>
      </c>
      <c r="H376" s="61"/>
      <c r="I376" s="251">
        <f t="shared" si="62"/>
        <v>5513</v>
      </c>
      <c r="J376" s="251">
        <f t="shared" si="63"/>
        <v>68912500</v>
      </c>
      <c r="K376" s="290">
        <f t="shared" si="64"/>
        <v>14488164</v>
      </c>
      <c r="L376" s="215"/>
    </row>
    <row r="377" spans="1:12" x14ac:dyDescent="0.25">
      <c r="A377" s="279">
        <v>3</v>
      </c>
      <c r="B377" s="61" t="s">
        <v>743</v>
      </c>
      <c r="C377" s="62">
        <f>+'[1]KEL C-2'!$GS$4</f>
        <v>7500</v>
      </c>
      <c r="D377" s="316">
        <f>+'[2]SHP,SP'!$D$753</f>
        <v>2103</v>
      </c>
      <c r="E377" s="62">
        <v>2067</v>
      </c>
      <c r="F377" s="61">
        <f>359+119-478+965-965</f>
        <v>0</v>
      </c>
      <c r="G377" s="289">
        <f t="shared" si="61"/>
        <v>2067</v>
      </c>
      <c r="H377" s="61"/>
      <c r="I377" s="251">
        <f t="shared" si="62"/>
        <v>2067</v>
      </c>
      <c r="J377" s="251">
        <f t="shared" si="63"/>
        <v>15502500</v>
      </c>
      <c r="K377" s="290">
        <f t="shared" si="64"/>
        <v>4346901</v>
      </c>
      <c r="L377" s="215"/>
    </row>
    <row r="378" spans="1:12" x14ac:dyDescent="0.25">
      <c r="A378" s="279">
        <v>4</v>
      </c>
      <c r="B378" s="352" t="s">
        <v>744</v>
      </c>
      <c r="C378" s="62">
        <f>+'[1]KEL C-2'!$GT$4</f>
        <v>12500</v>
      </c>
      <c r="D378" s="316">
        <f>+'[2]SHP,SP'!$D$755</f>
        <v>1850</v>
      </c>
      <c r="E378" s="62">
        <v>0</v>
      </c>
      <c r="F378" s="61"/>
      <c r="G378" s="289">
        <f t="shared" si="61"/>
        <v>0</v>
      </c>
      <c r="H378" s="61"/>
      <c r="I378" s="251">
        <f t="shared" si="62"/>
        <v>0</v>
      </c>
      <c r="J378" s="251">
        <f t="shared" si="63"/>
        <v>0</v>
      </c>
      <c r="K378" s="290">
        <f t="shared" si="64"/>
        <v>0</v>
      </c>
      <c r="L378" s="215"/>
    </row>
    <row r="379" spans="1:12" x14ac:dyDescent="0.25">
      <c r="A379" s="279">
        <v>5</v>
      </c>
      <c r="B379" s="61" t="s">
        <v>745</v>
      </c>
      <c r="C379" s="62">
        <f>+'[1]KEL C-2'!$GU$4</f>
        <v>5000</v>
      </c>
      <c r="D379" s="316">
        <f>+'[2]SHP,SP'!$D$756</f>
        <v>1850</v>
      </c>
      <c r="E379" s="62">
        <v>136</v>
      </c>
      <c r="F379" s="61">
        <f>80-80+56-56</f>
        <v>0</v>
      </c>
      <c r="G379" s="289">
        <f t="shared" si="61"/>
        <v>136</v>
      </c>
      <c r="H379" s="61"/>
      <c r="I379" s="251">
        <f t="shared" si="62"/>
        <v>136</v>
      </c>
      <c r="J379" s="251">
        <f t="shared" si="63"/>
        <v>680000</v>
      </c>
      <c r="K379" s="290">
        <f t="shared" si="64"/>
        <v>251600</v>
      </c>
      <c r="L379" s="215"/>
    </row>
    <row r="380" spans="1:12" x14ac:dyDescent="0.25">
      <c r="A380" s="279">
        <v>6</v>
      </c>
      <c r="B380" s="61" t="s">
        <v>746</v>
      </c>
      <c r="C380" s="62">
        <f>+'[3]KEL C-2'!$GV$4</f>
        <v>37500</v>
      </c>
      <c r="D380" s="316">
        <f>+'[2]SHP,SP'!$D$754</f>
        <v>5291</v>
      </c>
      <c r="E380" s="62">
        <v>2363</v>
      </c>
      <c r="F380" s="61">
        <f>(571+220-791)+1372-1372</f>
        <v>0</v>
      </c>
      <c r="G380" s="289">
        <f t="shared" si="61"/>
        <v>2363</v>
      </c>
      <c r="H380" s="61"/>
      <c r="I380" s="251">
        <f t="shared" si="62"/>
        <v>2363</v>
      </c>
      <c r="J380" s="251">
        <f t="shared" si="63"/>
        <v>88612500</v>
      </c>
      <c r="K380" s="290">
        <f t="shared" si="64"/>
        <v>12502633</v>
      </c>
      <c r="L380" s="215"/>
    </row>
    <row r="381" spans="1:12" x14ac:dyDescent="0.25">
      <c r="A381" s="279">
        <v>7</v>
      </c>
      <c r="B381" s="61" t="s">
        <v>747</v>
      </c>
      <c r="C381" s="62">
        <f>+'[9]KEL C-2'!$GW$4</f>
        <v>18500</v>
      </c>
      <c r="D381" s="316">
        <v>2323.2399999999998</v>
      </c>
      <c r="E381" s="62">
        <v>2423</v>
      </c>
      <c r="F381" s="61">
        <f>650-650+1648-1648</f>
        <v>0</v>
      </c>
      <c r="G381" s="289">
        <f t="shared" si="61"/>
        <v>2423</v>
      </c>
      <c r="H381" s="61"/>
      <c r="I381" s="251">
        <f t="shared" si="62"/>
        <v>2423</v>
      </c>
      <c r="J381" s="251">
        <f t="shared" si="63"/>
        <v>44825500</v>
      </c>
      <c r="K381" s="290">
        <f t="shared" si="64"/>
        <v>5629210.5199999996</v>
      </c>
      <c r="L381" s="215"/>
    </row>
    <row r="382" spans="1:12" x14ac:dyDescent="0.25">
      <c r="A382" s="279">
        <v>8</v>
      </c>
      <c r="B382" s="61" t="s">
        <v>748</v>
      </c>
      <c r="C382" s="62">
        <f>+'[4]KEL C-2'!$GX$4</f>
        <v>7500</v>
      </c>
      <c r="D382" s="316">
        <v>2103</v>
      </c>
      <c r="E382" s="62">
        <v>2029</v>
      </c>
      <c r="F382" s="61">
        <f>484+20-504+1425-1425</f>
        <v>0</v>
      </c>
      <c r="G382" s="289">
        <f t="shared" si="61"/>
        <v>2029</v>
      </c>
      <c r="H382" s="61"/>
      <c r="I382" s="251">
        <f t="shared" si="62"/>
        <v>2029</v>
      </c>
      <c r="J382" s="251">
        <f t="shared" si="63"/>
        <v>15217500</v>
      </c>
      <c r="K382" s="290">
        <f t="shared" si="64"/>
        <v>4266987</v>
      </c>
      <c r="L382" s="215"/>
    </row>
    <row r="383" spans="1:12" x14ac:dyDescent="0.25">
      <c r="A383" s="279">
        <v>9</v>
      </c>
      <c r="B383" s="61" t="s">
        <v>749</v>
      </c>
      <c r="C383" s="62">
        <f>+'[4]KEL C-2'!$GY$4</f>
        <v>7500</v>
      </c>
      <c r="D383" s="316">
        <v>2103</v>
      </c>
      <c r="E383" s="62">
        <v>2144</v>
      </c>
      <c r="F383" s="61">
        <f>421-421+1523-1523</f>
        <v>0</v>
      </c>
      <c r="G383" s="289">
        <f t="shared" si="61"/>
        <v>2144</v>
      </c>
      <c r="H383" s="61"/>
      <c r="I383" s="251">
        <f t="shared" si="62"/>
        <v>2144</v>
      </c>
      <c r="J383" s="251">
        <f t="shared" si="63"/>
        <v>16080000</v>
      </c>
      <c r="K383" s="290">
        <f t="shared" si="64"/>
        <v>4508832</v>
      </c>
      <c r="L383" s="215"/>
    </row>
    <row r="384" spans="1:12" x14ac:dyDescent="0.25">
      <c r="A384" s="279">
        <v>10</v>
      </c>
      <c r="B384" s="61" t="s">
        <v>750</v>
      </c>
      <c r="C384" s="62">
        <f>+'[4]KEL C-2'!$GZ$4</f>
        <v>12500</v>
      </c>
      <c r="D384" s="316">
        <v>2612</v>
      </c>
      <c r="E384" s="62">
        <v>2103</v>
      </c>
      <c r="F384" s="61">
        <f>445-445+1558-1558</f>
        <v>0</v>
      </c>
      <c r="G384" s="289">
        <f t="shared" si="61"/>
        <v>2103</v>
      </c>
      <c r="H384" s="61"/>
      <c r="I384" s="251">
        <f t="shared" si="62"/>
        <v>2103</v>
      </c>
      <c r="J384" s="251">
        <f t="shared" si="63"/>
        <v>26287500</v>
      </c>
      <c r="K384" s="290">
        <f t="shared" si="64"/>
        <v>5493036</v>
      </c>
      <c r="L384" s="215"/>
    </row>
    <row r="385" spans="1:13" x14ac:dyDescent="0.25">
      <c r="A385" s="279">
        <v>11</v>
      </c>
      <c r="B385" s="285" t="s">
        <v>751</v>
      </c>
      <c r="C385" s="62">
        <f>+'[4]KEL C-2'!$HA$4</f>
        <v>5000</v>
      </c>
      <c r="D385" s="316">
        <v>1979.83</v>
      </c>
      <c r="E385" s="62">
        <v>2146</v>
      </c>
      <c r="F385" s="61">
        <f>290+23-313+1758-1758</f>
        <v>0</v>
      </c>
      <c r="G385" s="289">
        <f t="shared" si="61"/>
        <v>2146</v>
      </c>
      <c r="H385" s="61">
        <f>100-100</f>
        <v>0</v>
      </c>
      <c r="I385" s="251">
        <f t="shared" si="62"/>
        <v>2146</v>
      </c>
      <c r="J385" s="251">
        <f t="shared" si="63"/>
        <v>10730000</v>
      </c>
      <c r="K385" s="290">
        <f t="shared" si="64"/>
        <v>4248715.18</v>
      </c>
      <c r="L385" s="215"/>
    </row>
    <row r="386" spans="1:13" x14ac:dyDescent="0.25">
      <c r="A386" s="279">
        <v>12</v>
      </c>
      <c r="B386" s="61" t="s">
        <v>752</v>
      </c>
      <c r="C386" s="62">
        <f>+'[4]KEL C-2'!$HB$4</f>
        <v>10000</v>
      </c>
      <c r="D386" s="316">
        <v>2474.4899999999998</v>
      </c>
      <c r="E386" s="62">
        <v>2473</v>
      </c>
      <c r="F386" s="61">
        <f>665+23-688+1610-1610</f>
        <v>0</v>
      </c>
      <c r="G386" s="289">
        <f t="shared" si="61"/>
        <v>2473</v>
      </c>
      <c r="H386" s="61"/>
      <c r="I386" s="251">
        <f t="shared" si="62"/>
        <v>2473</v>
      </c>
      <c r="J386" s="251">
        <f t="shared" si="63"/>
        <v>24730000</v>
      </c>
      <c r="K386" s="290">
        <f t="shared" si="64"/>
        <v>6119413.7699999996</v>
      </c>
      <c r="L386" s="215"/>
      <c r="M386" s="152"/>
    </row>
    <row r="387" spans="1:13" x14ac:dyDescent="0.25">
      <c r="A387" s="279">
        <v>13</v>
      </c>
      <c r="B387" s="61" t="s">
        <v>753</v>
      </c>
      <c r="C387" s="62">
        <f>+'[4]KEL C-2'!$HC$4</f>
        <v>8500</v>
      </c>
      <c r="D387" s="316">
        <v>1770</v>
      </c>
      <c r="E387" s="62">
        <v>1323</v>
      </c>
      <c r="F387" s="61">
        <f>(288+143-431)+817-817</f>
        <v>0</v>
      </c>
      <c r="G387" s="289">
        <f t="shared" si="61"/>
        <v>1323</v>
      </c>
      <c r="H387" s="61">
        <v>2</v>
      </c>
      <c r="I387" s="251">
        <f t="shared" si="62"/>
        <v>1321</v>
      </c>
      <c r="J387" s="251">
        <f>I387*C387</f>
        <v>11228500</v>
      </c>
      <c r="K387" s="290">
        <f>+D387*I387</f>
        <v>2338170</v>
      </c>
      <c r="L387" s="215"/>
    </row>
    <row r="388" spans="1:13" x14ac:dyDescent="0.25">
      <c r="A388" s="279">
        <v>14</v>
      </c>
      <c r="B388" s="61" t="s">
        <v>754</v>
      </c>
      <c r="C388" s="62">
        <v>17500</v>
      </c>
      <c r="D388" s="326">
        <v>2323.2399999999998</v>
      </c>
      <c r="E388" s="62">
        <v>2319</v>
      </c>
      <c r="F388" s="61">
        <f>(917-917)+1202-1202</f>
        <v>0</v>
      </c>
      <c r="G388" s="289">
        <f t="shared" si="61"/>
        <v>2319</v>
      </c>
      <c r="H388" s="61"/>
      <c r="I388" s="251">
        <f t="shared" si="62"/>
        <v>2319</v>
      </c>
      <c r="J388" s="251">
        <f t="shared" si="63"/>
        <v>40582500</v>
      </c>
      <c r="K388" s="290">
        <f t="shared" si="64"/>
        <v>5387593.5599999996</v>
      </c>
      <c r="L388" s="215"/>
    </row>
    <row r="389" spans="1:13" x14ac:dyDescent="0.25">
      <c r="A389" s="279">
        <v>15</v>
      </c>
      <c r="B389" s="61" t="s">
        <v>630</v>
      </c>
      <c r="C389" s="62">
        <v>7500</v>
      </c>
      <c r="D389" s="316">
        <f>+'[2]SHP,SP'!$D$762</f>
        <v>2103</v>
      </c>
      <c r="E389" s="62">
        <v>500</v>
      </c>
      <c r="F389" s="61"/>
      <c r="G389" s="289">
        <f t="shared" si="61"/>
        <v>500</v>
      </c>
      <c r="H389" s="61"/>
      <c r="I389" s="251">
        <f t="shared" si="62"/>
        <v>500</v>
      </c>
      <c r="J389" s="251">
        <f t="shared" si="63"/>
        <v>3750000</v>
      </c>
      <c r="K389" s="290">
        <f t="shared" si="64"/>
        <v>1051500</v>
      </c>
      <c r="L389" s="215"/>
    </row>
    <row r="390" spans="1:13" x14ac:dyDescent="0.25">
      <c r="A390" s="279">
        <v>16</v>
      </c>
      <c r="B390" s="61" t="s">
        <v>447</v>
      </c>
      <c r="C390" s="62">
        <v>6000</v>
      </c>
      <c r="D390" s="326">
        <v>2422.6999999999998</v>
      </c>
      <c r="E390" s="62">
        <v>100</v>
      </c>
      <c r="F390" s="61">
        <f>100-100</f>
        <v>0</v>
      </c>
      <c r="G390" s="289">
        <f t="shared" si="61"/>
        <v>100</v>
      </c>
      <c r="H390" s="61">
        <f>1000-1000</f>
        <v>0</v>
      </c>
      <c r="I390" s="251">
        <f t="shared" si="62"/>
        <v>100</v>
      </c>
      <c r="J390" s="251">
        <f t="shared" si="63"/>
        <v>600000</v>
      </c>
      <c r="K390" s="290">
        <f t="shared" si="64"/>
        <v>242269.99999999997</v>
      </c>
      <c r="L390" s="215"/>
    </row>
    <row r="391" spans="1:13" x14ac:dyDescent="0.25">
      <c r="A391" s="279">
        <v>17</v>
      </c>
      <c r="B391" s="61" t="s">
        <v>448</v>
      </c>
      <c r="C391" s="62">
        <v>7500</v>
      </c>
      <c r="D391" s="326">
        <v>1980</v>
      </c>
      <c r="E391" s="62">
        <v>817</v>
      </c>
      <c r="F391" s="61">
        <f>317-317</f>
        <v>0</v>
      </c>
      <c r="G391" s="289">
        <f t="shared" si="61"/>
        <v>817</v>
      </c>
      <c r="H391" s="61"/>
      <c r="I391" s="251">
        <f t="shared" si="62"/>
        <v>817</v>
      </c>
      <c r="J391" s="251">
        <f t="shared" si="63"/>
        <v>6127500</v>
      </c>
      <c r="K391" s="290">
        <f t="shared" si="64"/>
        <v>1617660</v>
      </c>
      <c r="L391" s="215"/>
    </row>
    <row r="392" spans="1:13" x14ac:dyDescent="0.25">
      <c r="A392" s="279">
        <v>18</v>
      </c>
      <c r="B392" s="61" t="s">
        <v>1143</v>
      </c>
      <c r="C392" s="62">
        <v>12500</v>
      </c>
      <c r="D392" s="260">
        <v>2776.48</v>
      </c>
      <c r="E392" s="62">
        <v>1304</v>
      </c>
      <c r="F392" s="61">
        <f>427-427+877-877</f>
        <v>0</v>
      </c>
      <c r="G392" s="289">
        <f t="shared" ref="G392:G400" si="65">+E392+F392</f>
        <v>1304</v>
      </c>
      <c r="H392" s="61"/>
      <c r="I392" s="251">
        <f t="shared" ref="I392:I400" si="66">+G392-H392</f>
        <v>1304</v>
      </c>
      <c r="J392" s="251">
        <f t="shared" ref="J392:J400" si="67">I392*C392</f>
        <v>16300000</v>
      </c>
      <c r="K392" s="290">
        <f t="shared" ref="K392:K398" si="68">+D392*I392</f>
        <v>3620529.92</v>
      </c>
      <c r="L392" s="227" t="s">
        <v>1145</v>
      </c>
    </row>
    <row r="393" spans="1:13" x14ac:dyDescent="0.25">
      <c r="A393" s="279">
        <v>19</v>
      </c>
      <c r="B393" s="61" t="s">
        <v>1144</v>
      </c>
      <c r="C393" s="62">
        <v>12500</v>
      </c>
      <c r="D393" s="260">
        <v>2540</v>
      </c>
      <c r="E393" s="62">
        <v>1606</v>
      </c>
      <c r="F393" s="61">
        <f>874-874+732-732</f>
        <v>0</v>
      </c>
      <c r="G393" s="289">
        <f t="shared" si="65"/>
        <v>1606</v>
      </c>
      <c r="H393" s="61"/>
      <c r="I393" s="251">
        <f t="shared" si="66"/>
        <v>1606</v>
      </c>
      <c r="J393" s="251">
        <f t="shared" si="67"/>
        <v>20075000</v>
      </c>
      <c r="K393" s="290">
        <f t="shared" si="68"/>
        <v>4079240</v>
      </c>
      <c r="L393" s="215"/>
    </row>
    <row r="394" spans="1:13" x14ac:dyDescent="0.25">
      <c r="A394" s="279">
        <v>20</v>
      </c>
      <c r="B394" s="61" t="s">
        <v>1146</v>
      </c>
      <c r="C394" s="62">
        <v>5000</v>
      </c>
      <c r="D394" s="326">
        <v>0</v>
      </c>
      <c r="E394" s="62">
        <v>432</v>
      </c>
      <c r="F394" s="61">
        <f>395-395+37-37</f>
        <v>0</v>
      </c>
      <c r="G394" s="289">
        <f t="shared" si="65"/>
        <v>432</v>
      </c>
      <c r="H394" s="61"/>
      <c r="I394" s="251">
        <f t="shared" si="66"/>
        <v>432</v>
      </c>
      <c r="J394" s="251">
        <f t="shared" si="67"/>
        <v>2160000</v>
      </c>
      <c r="K394" s="290">
        <f t="shared" si="68"/>
        <v>0</v>
      </c>
      <c r="L394" s="215"/>
    </row>
    <row r="395" spans="1:13" x14ac:dyDescent="0.25">
      <c r="A395" s="279">
        <v>21</v>
      </c>
      <c r="B395" s="61" t="s">
        <v>1147</v>
      </c>
      <c r="C395" s="62">
        <v>12500</v>
      </c>
      <c r="D395" s="260">
        <v>2131.54</v>
      </c>
      <c r="E395" s="62">
        <v>1240</v>
      </c>
      <c r="F395" s="61">
        <f>457-457+783-783</f>
        <v>0</v>
      </c>
      <c r="G395" s="289">
        <f t="shared" si="65"/>
        <v>1240</v>
      </c>
      <c r="H395" s="61"/>
      <c r="I395" s="251">
        <f t="shared" si="66"/>
        <v>1240</v>
      </c>
      <c r="J395" s="251">
        <f t="shared" si="67"/>
        <v>15500000</v>
      </c>
      <c r="K395" s="290">
        <f t="shared" si="68"/>
        <v>2643109.6</v>
      </c>
      <c r="L395" s="215"/>
    </row>
    <row r="396" spans="1:13" x14ac:dyDescent="0.25">
      <c r="A396" s="279">
        <v>22</v>
      </c>
      <c r="B396" s="61" t="s">
        <v>1148</v>
      </c>
      <c r="C396" s="62">
        <v>6500</v>
      </c>
      <c r="D396" s="326">
        <v>0</v>
      </c>
      <c r="E396" s="62">
        <v>302</v>
      </c>
      <c r="F396" s="61">
        <f>200-200+102-102</f>
        <v>0</v>
      </c>
      <c r="G396" s="289">
        <f t="shared" si="65"/>
        <v>302</v>
      </c>
      <c r="H396" s="61"/>
      <c r="I396" s="251">
        <f t="shared" si="66"/>
        <v>302</v>
      </c>
      <c r="J396" s="251">
        <f t="shared" si="67"/>
        <v>1963000</v>
      </c>
      <c r="K396" s="290">
        <f t="shared" si="68"/>
        <v>0</v>
      </c>
      <c r="L396" s="215"/>
    </row>
    <row r="397" spans="1:13" x14ac:dyDescent="0.25">
      <c r="A397" s="279">
        <v>23</v>
      </c>
      <c r="B397" s="61" t="s">
        <v>1149</v>
      </c>
      <c r="C397" s="62">
        <v>11000</v>
      </c>
      <c r="D397" s="326">
        <v>0</v>
      </c>
      <c r="E397" s="62">
        <v>2462</v>
      </c>
      <c r="F397" s="61">
        <f>1694-1694+768-768</f>
        <v>0</v>
      </c>
      <c r="G397" s="289">
        <f t="shared" si="65"/>
        <v>2462</v>
      </c>
      <c r="H397" s="61"/>
      <c r="I397" s="251">
        <f t="shared" si="66"/>
        <v>2462</v>
      </c>
      <c r="J397" s="251">
        <f t="shared" si="67"/>
        <v>27082000</v>
      </c>
      <c r="K397" s="290">
        <f>+D397*I397</f>
        <v>0</v>
      </c>
      <c r="L397" s="215"/>
    </row>
    <row r="398" spans="1:13" x14ac:dyDescent="0.25">
      <c r="A398" s="279">
        <v>24</v>
      </c>
      <c r="B398" s="61" t="s">
        <v>554</v>
      </c>
      <c r="C398" s="62">
        <v>12500</v>
      </c>
      <c r="D398" s="260">
        <v>2675</v>
      </c>
      <c r="E398" s="62">
        <v>1551</v>
      </c>
      <c r="F398" s="61">
        <f>93-93+1258-1258</f>
        <v>0</v>
      </c>
      <c r="G398" s="289">
        <f t="shared" si="65"/>
        <v>1551</v>
      </c>
      <c r="H398" s="61"/>
      <c r="I398" s="251">
        <f t="shared" si="66"/>
        <v>1551</v>
      </c>
      <c r="J398" s="251">
        <f t="shared" si="67"/>
        <v>19387500</v>
      </c>
      <c r="K398" s="290">
        <f t="shared" si="68"/>
        <v>4148925</v>
      </c>
      <c r="L398" s="215"/>
    </row>
    <row r="399" spans="1:13" x14ac:dyDescent="0.25">
      <c r="A399" s="279">
        <v>25</v>
      </c>
      <c r="B399" s="90" t="s">
        <v>553</v>
      </c>
      <c r="C399" s="91">
        <v>7500</v>
      </c>
      <c r="D399" s="260">
        <v>1769.66</v>
      </c>
      <c r="E399" s="91">
        <v>1564</v>
      </c>
      <c r="F399" s="90">
        <f>163-163+1201-1201</f>
        <v>0</v>
      </c>
      <c r="G399" s="300">
        <f t="shared" si="65"/>
        <v>1564</v>
      </c>
      <c r="H399" s="90"/>
      <c r="I399" s="292">
        <f t="shared" si="66"/>
        <v>1564</v>
      </c>
      <c r="J399" s="292">
        <f t="shared" si="67"/>
        <v>11730000</v>
      </c>
      <c r="K399" s="290">
        <f t="shared" si="64"/>
        <v>2767748.24</v>
      </c>
      <c r="L399" s="215"/>
    </row>
    <row r="400" spans="1:13" x14ac:dyDescent="0.25">
      <c r="A400" s="279">
        <v>26</v>
      </c>
      <c r="B400" s="90" t="s">
        <v>1225</v>
      </c>
      <c r="C400" s="91">
        <v>6500</v>
      </c>
      <c r="D400" s="373"/>
      <c r="E400" s="91">
        <v>88</v>
      </c>
      <c r="F400" s="90">
        <f>50+11+27-88</f>
        <v>0</v>
      </c>
      <c r="G400" s="289">
        <f t="shared" si="65"/>
        <v>88</v>
      </c>
      <c r="H400" s="61"/>
      <c r="I400" s="251">
        <f t="shared" si="66"/>
        <v>88</v>
      </c>
      <c r="J400" s="251">
        <f t="shared" si="67"/>
        <v>572000</v>
      </c>
      <c r="K400" s="290">
        <f>+D400*I400</f>
        <v>0</v>
      </c>
      <c r="L400" s="215"/>
    </row>
    <row r="401" spans="1:12" ht="15.75" thickBot="1" x14ac:dyDescent="0.3">
      <c r="A401" s="279"/>
      <c r="B401" s="90"/>
      <c r="C401" s="91"/>
      <c r="D401" s="373"/>
      <c r="E401" s="91"/>
      <c r="F401" s="90"/>
      <c r="G401" s="300"/>
      <c r="H401" s="90"/>
      <c r="I401" s="292"/>
      <c r="J401" s="292"/>
      <c r="K401" s="293"/>
      <c r="L401" s="215"/>
    </row>
    <row r="402" spans="1:12" ht="15.75" thickBot="1" x14ac:dyDescent="0.3">
      <c r="A402" s="313"/>
      <c r="B402" s="96" t="s">
        <v>680</v>
      </c>
      <c r="C402" s="296"/>
      <c r="D402" s="296"/>
      <c r="E402" s="97">
        <f t="shared" ref="E402:J402" si="69">SUM(E375:E401)</f>
        <v>44899</v>
      </c>
      <c r="F402" s="97">
        <f>SUM(F375:F401)</f>
        <v>0</v>
      </c>
      <c r="G402" s="97">
        <f t="shared" si="69"/>
        <v>44899</v>
      </c>
      <c r="H402" s="97">
        <f t="shared" si="69"/>
        <v>2</v>
      </c>
      <c r="I402" s="97">
        <f t="shared" si="69"/>
        <v>44897</v>
      </c>
      <c r="J402" s="97">
        <f>SUM(J375:J401)</f>
        <v>591781000</v>
      </c>
      <c r="K402" s="297">
        <f>SUM(K375:K400)</f>
        <v>101941030.78999998</v>
      </c>
      <c r="L402" s="151"/>
    </row>
    <row r="403" spans="1:12" ht="15.75" thickBot="1" x14ac:dyDescent="0.3">
      <c r="A403" s="298"/>
      <c r="B403" s="138"/>
      <c r="C403" s="139"/>
      <c r="D403" s="140"/>
      <c r="E403" s="141"/>
      <c r="F403" s="138"/>
      <c r="G403" s="141"/>
      <c r="H403" s="141"/>
      <c r="I403" s="141"/>
      <c r="J403" s="141"/>
      <c r="K403" s="140"/>
      <c r="L403" s="140"/>
    </row>
    <row r="404" spans="1:12" ht="15.75" thickBot="1" x14ac:dyDescent="0.3">
      <c r="A404" s="418" t="s">
        <v>653</v>
      </c>
      <c r="B404" s="421" t="s">
        <v>704</v>
      </c>
      <c r="C404" s="421" t="s">
        <v>1</v>
      </c>
      <c r="D404" s="422" t="s">
        <v>645</v>
      </c>
      <c r="E404" s="423" t="s">
        <v>19</v>
      </c>
      <c r="F404" s="423"/>
      <c r="G404" s="423"/>
      <c r="H404" s="423"/>
      <c r="I404" s="423"/>
      <c r="J404" s="416" t="s">
        <v>20</v>
      </c>
      <c r="K404" s="418" t="s">
        <v>598</v>
      </c>
      <c r="L404" s="213"/>
    </row>
    <row r="405" spans="1:12" ht="30.75" thickBot="1" x14ac:dyDescent="0.3">
      <c r="A405" s="420"/>
      <c r="B405" s="421"/>
      <c r="C405" s="421"/>
      <c r="D405" s="422"/>
      <c r="E405" s="272" t="s">
        <v>21</v>
      </c>
      <c r="F405" s="272" t="s">
        <v>596</v>
      </c>
      <c r="G405" s="272" t="s">
        <v>597</v>
      </c>
      <c r="H405" s="272" t="s">
        <v>585</v>
      </c>
      <c r="I405" s="272" t="s">
        <v>597</v>
      </c>
      <c r="J405" s="417"/>
      <c r="K405" s="419"/>
      <c r="L405" s="213"/>
    </row>
    <row r="406" spans="1:12" ht="15.75" thickBot="1" x14ac:dyDescent="0.3">
      <c r="A406" s="419"/>
      <c r="B406" s="273">
        <v>1</v>
      </c>
      <c r="C406" s="273">
        <v>2</v>
      </c>
      <c r="D406" s="273">
        <v>3</v>
      </c>
      <c r="E406" s="274">
        <v>4</v>
      </c>
      <c r="F406" s="274">
        <f>+E406+1</f>
        <v>5</v>
      </c>
      <c r="G406" s="274" t="s">
        <v>648</v>
      </c>
      <c r="H406" s="274">
        <v>7</v>
      </c>
      <c r="I406" s="275" t="s">
        <v>647</v>
      </c>
      <c r="J406" s="287" t="s">
        <v>646</v>
      </c>
      <c r="K406" s="287" t="s">
        <v>649</v>
      </c>
      <c r="L406" s="214"/>
    </row>
    <row r="407" spans="1:12" x14ac:dyDescent="0.25">
      <c r="A407" s="288"/>
      <c r="B407" s="276" t="s">
        <v>708</v>
      </c>
      <c r="C407" s="288"/>
      <c r="D407" s="288"/>
      <c r="E407" s="288"/>
      <c r="F407" s="288"/>
      <c r="G407" s="288"/>
      <c r="H407" s="288"/>
      <c r="I407" s="288"/>
      <c r="J407" s="288"/>
      <c r="K407" s="288"/>
      <c r="L407" s="114"/>
    </row>
    <row r="408" spans="1:12" x14ac:dyDescent="0.25">
      <c r="A408" s="279">
        <v>1</v>
      </c>
      <c r="B408" s="61" t="s">
        <v>449</v>
      </c>
      <c r="C408" s="291">
        <v>12500</v>
      </c>
      <c r="D408" s="321">
        <v>2514.64</v>
      </c>
      <c r="E408" s="62">
        <v>303</v>
      </c>
      <c r="F408" s="61">
        <f>109-109</f>
        <v>0</v>
      </c>
      <c r="G408" s="289">
        <f t="shared" ref="G408:G424" si="70">+E408+F408</f>
        <v>303</v>
      </c>
      <c r="H408" s="61"/>
      <c r="I408" s="251">
        <f t="shared" ref="I408:I424" si="71">+G408-H408</f>
        <v>303</v>
      </c>
      <c r="J408" s="251">
        <f t="shared" ref="J408:J424" si="72">I408*C408</f>
        <v>3787500</v>
      </c>
      <c r="K408" s="290">
        <f t="shared" ref="K408:K424" si="73">+D408*I408</f>
        <v>761935.91999999993</v>
      </c>
      <c r="L408" s="215"/>
    </row>
    <row r="409" spans="1:12" x14ac:dyDescent="0.25">
      <c r="A409" s="279">
        <v>2</v>
      </c>
      <c r="B409" s="61" t="s">
        <v>450</v>
      </c>
      <c r="C409" s="291">
        <v>10000</v>
      </c>
      <c r="D409" s="321">
        <v>2517</v>
      </c>
      <c r="E409" s="62">
        <v>97</v>
      </c>
      <c r="F409" s="61">
        <f>2-2</f>
        <v>0</v>
      </c>
      <c r="G409" s="289">
        <f t="shared" si="70"/>
        <v>97</v>
      </c>
      <c r="H409" s="61"/>
      <c r="I409" s="251">
        <f t="shared" si="71"/>
        <v>97</v>
      </c>
      <c r="J409" s="251">
        <f t="shared" si="72"/>
        <v>970000</v>
      </c>
      <c r="K409" s="290">
        <f t="shared" si="73"/>
        <v>244149</v>
      </c>
      <c r="L409" s="215"/>
    </row>
    <row r="410" spans="1:12" x14ac:dyDescent="0.25">
      <c r="A410" s="279">
        <v>3</v>
      </c>
      <c r="B410" s="61" t="s">
        <v>451</v>
      </c>
      <c r="C410" s="291">
        <v>12500</v>
      </c>
      <c r="D410" s="326">
        <v>3279.5</v>
      </c>
      <c r="E410" s="62">
        <v>298</v>
      </c>
      <c r="F410" s="61">
        <f>2-2</f>
        <v>0</v>
      </c>
      <c r="G410" s="289">
        <f t="shared" si="70"/>
        <v>298</v>
      </c>
      <c r="H410" s="61"/>
      <c r="I410" s="251">
        <f t="shared" si="71"/>
        <v>298</v>
      </c>
      <c r="J410" s="251">
        <f t="shared" si="72"/>
        <v>3725000</v>
      </c>
      <c r="K410" s="290">
        <f t="shared" si="73"/>
        <v>977291</v>
      </c>
      <c r="L410" s="215"/>
    </row>
    <row r="411" spans="1:12" x14ac:dyDescent="0.25">
      <c r="A411" s="279">
        <v>4</v>
      </c>
      <c r="B411" s="285" t="s">
        <v>452</v>
      </c>
      <c r="C411" s="291">
        <v>64500</v>
      </c>
      <c r="D411" s="326">
        <v>6738.71</v>
      </c>
      <c r="E411" s="62">
        <v>282</v>
      </c>
      <c r="F411" s="61">
        <f>82-82</f>
        <v>0</v>
      </c>
      <c r="G411" s="289">
        <f t="shared" si="70"/>
        <v>282</v>
      </c>
      <c r="H411" s="61"/>
      <c r="I411" s="251">
        <f t="shared" si="71"/>
        <v>282</v>
      </c>
      <c r="J411" s="251">
        <f t="shared" si="72"/>
        <v>18189000</v>
      </c>
      <c r="K411" s="290">
        <f t="shared" si="73"/>
        <v>1900316.22</v>
      </c>
      <c r="L411" s="215"/>
    </row>
    <row r="412" spans="1:12" x14ac:dyDescent="0.25">
      <c r="A412" s="279">
        <v>5</v>
      </c>
      <c r="B412" s="61" t="s">
        <v>453</v>
      </c>
      <c r="C412" s="62">
        <v>25500</v>
      </c>
      <c r="D412" s="61">
        <v>2888.71</v>
      </c>
      <c r="E412" s="62">
        <v>151</v>
      </c>
      <c r="F412" s="61">
        <f>61-61</f>
        <v>0</v>
      </c>
      <c r="G412" s="289">
        <f t="shared" si="70"/>
        <v>151</v>
      </c>
      <c r="H412" s="61">
        <f>100-100</f>
        <v>0</v>
      </c>
      <c r="I412" s="251">
        <f t="shared" si="71"/>
        <v>151</v>
      </c>
      <c r="J412" s="251">
        <f t="shared" si="72"/>
        <v>3850500</v>
      </c>
      <c r="K412" s="290">
        <f t="shared" si="73"/>
        <v>436195.21</v>
      </c>
      <c r="L412" s="215"/>
    </row>
    <row r="413" spans="1:12" x14ac:dyDescent="0.25">
      <c r="A413" s="279">
        <v>6</v>
      </c>
      <c r="B413" s="61" t="s">
        <v>454</v>
      </c>
      <c r="C413" s="62">
        <v>12000</v>
      </c>
      <c r="D413" s="61">
        <v>2511.7399999999998</v>
      </c>
      <c r="E413" s="62">
        <v>162</v>
      </c>
      <c r="F413" s="61">
        <f>62-62</f>
        <v>0</v>
      </c>
      <c r="G413" s="289">
        <f t="shared" si="70"/>
        <v>162</v>
      </c>
      <c r="H413" s="61"/>
      <c r="I413" s="251">
        <f t="shared" si="71"/>
        <v>162</v>
      </c>
      <c r="J413" s="251">
        <f t="shared" si="72"/>
        <v>1944000</v>
      </c>
      <c r="K413" s="290">
        <f t="shared" si="73"/>
        <v>406901.87999999995</v>
      </c>
      <c r="L413" s="215"/>
    </row>
    <row r="414" spans="1:12" x14ac:dyDescent="0.25">
      <c r="A414" s="279">
        <v>7</v>
      </c>
      <c r="B414" s="61" t="s">
        <v>317</v>
      </c>
      <c r="C414" s="62">
        <v>9000</v>
      </c>
      <c r="D414" s="61">
        <v>2462.66</v>
      </c>
      <c r="E414" s="62">
        <v>238</v>
      </c>
      <c r="F414" s="61">
        <f>88-88</f>
        <v>0</v>
      </c>
      <c r="G414" s="289">
        <f t="shared" si="70"/>
        <v>238</v>
      </c>
      <c r="H414" s="61"/>
      <c r="I414" s="251">
        <f t="shared" si="71"/>
        <v>238</v>
      </c>
      <c r="J414" s="251">
        <f t="shared" si="72"/>
        <v>2142000</v>
      </c>
      <c r="K414" s="290">
        <f t="shared" si="73"/>
        <v>586113.07999999996</v>
      </c>
      <c r="L414" s="215"/>
    </row>
    <row r="415" spans="1:12" x14ac:dyDescent="0.25">
      <c r="A415" s="279">
        <v>8</v>
      </c>
      <c r="B415" s="61" t="s">
        <v>555</v>
      </c>
      <c r="C415" s="62">
        <v>23000</v>
      </c>
      <c r="D415" s="61">
        <v>3056.32</v>
      </c>
      <c r="E415" s="62">
        <v>258</v>
      </c>
      <c r="F415" s="61">
        <f>58-58</f>
        <v>0</v>
      </c>
      <c r="G415" s="289">
        <f t="shared" si="70"/>
        <v>258</v>
      </c>
      <c r="H415" s="61"/>
      <c r="I415" s="251">
        <f t="shared" si="71"/>
        <v>258</v>
      </c>
      <c r="J415" s="251">
        <f t="shared" si="72"/>
        <v>5934000</v>
      </c>
      <c r="K415" s="290">
        <f t="shared" si="73"/>
        <v>788530.56</v>
      </c>
      <c r="L415" s="215"/>
    </row>
    <row r="416" spans="1:12" x14ac:dyDescent="0.25">
      <c r="A416" s="279">
        <v>9</v>
      </c>
      <c r="B416" s="61" t="s">
        <v>570</v>
      </c>
      <c r="C416" s="62">
        <v>28000</v>
      </c>
      <c r="D416" s="61">
        <v>4947.6000000000004</v>
      </c>
      <c r="E416" s="62">
        <v>192</v>
      </c>
      <c r="F416" s="61"/>
      <c r="G416" s="289">
        <f t="shared" si="70"/>
        <v>192</v>
      </c>
      <c r="H416" s="61"/>
      <c r="I416" s="251">
        <f t="shared" si="71"/>
        <v>192</v>
      </c>
      <c r="J416" s="251">
        <f t="shared" si="72"/>
        <v>5376000</v>
      </c>
      <c r="K416" s="290">
        <f t="shared" si="73"/>
        <v>949939.20000000007</v>
      </c>
      <c r="L416" s="215"/>
    </row>
    <row r="417" spans="1:12" x14ac:dyDescent="0.25">
      <c r="A417" s="279">
        <v>10</v>
      </c>
      <c r="B417" s="61" t="s">
        <v>571</v>
      </c>
      <c r="C417" s="62">
        <v>9000</v>
      </c>
      <c r="D417" s="61">
        <v>2329.92</v>
      </c>
      <c r="E417" s="62">
        <v>224</v>
      </c>
      <c r="F417" s="61">
        <f>94-94</f>
        <v>0</v>
      </c>
      <c r="G417" s="289">
        <f t="shared" si="70"/>
        <v>224</v>
      </c>
      <c r="H417" s="61"/>
      <c r="I417" s="251">
        <f t="shared" si="71"/>
        <v>224</v>
      </c>
      <c r="J417" s="251">
        <f t="shared" si="72"/>
        <v>2016000</v>
      </c>
      <c r="K417" s="290">
        <f t="shared" si="73"/>
        <v>521902.08000000002</v>
      </c>
      <c r="L417" s="215"/>
    </row>
    <row r="418" spans="1:12" x14ac:dyDescent="0.25">
      <c r="A418" s="279">
        <v>11</v>
      </c>
      <c r="B418" s="61" t="s">
        <v>572</v>
      </c>
      <c r="C418" s="62">
        <v>15000</v>
      </c>
      <c r="D418" s="61">
        <v>2713.12</v>
      </c>
      <c r="E418" s="62">
        <v>296</v>
      </c>
      <c r="F418" s="61">
        <f>96-96</f>
        <v>0</v>
      </c>
      <c r="G418" s="289">
        <f t="shared" si="70"/>
        <v>296</v>
      </c>
      <c r="H418" s="61"/>
      <c r="I418" s="251">
        <f t="shared" si="71"/>
        <v>296</v>
      </c>
      <c r="J418" s="251">
        <f t="shared" si="72"/>
        <v>4440000</v>
      </c>
      <c r="K418" s="290">
        <f t="shared" si="73"/>
        <v>803083.52</v>
      </c>
      <c r="L418" s="215"/>
    </row>
    <row r="419" spans="1:12" x14ac:dyDescent="0.25">
      <c r="A419" s="279">
        <v>12</v>
      </c>
      <c r="B419" s="61" t="s">
        <v>573</v>
      </c>
      <c r="C419" s="62">
        <v>33000</v>
      </c>
      <c r="D419" s="61">
        <v>2399.7199999999998</v>
      </c>
      <c r="E419" s="62">
        <v>298</v>
      </c>
      <c r="F419" s="61">
        <f>98-98</f>
        <v>0</v>
      </c>
      <c r="G419" s="289">
        <f t="shared" si="70"/>
        <v>298</v>
      </c>
      <c r="H419" s="61"/>
      <c r="I419" s="251">
        <f t="shared" si="71"/>
        <v>298</v>
      </c>
      <c r="J419" s="251">
        <f t="shared" si="72"/>
        <v>9834000</v>
      </c>
      <c r="K419" s="290">
        <f t="shared" si="73"/>
        <v>715116.55999999994</v>
      </c>
      <c r="L419" s="215"/>
    </row>
    <row r="420" spans="1:12" x14ac:dyDescent="0.25">
      <c r="A420" s="279">
        <v>13</v>
      </c>
      <c r="B420" s="61" t="s">
        <v>574</v>
      </c>
      <c r="C420" s="62">
        <v>12000</v>
      </c>
      <c r="D420" s="61">
        <v>3357.22</v>
      </c>
      <c r="E420" s="62">
        <v>298</v>
      </c>
      <c r="F420" s="61">
        <f>98-98</f>
        <v>0</v>
      </c>
      <c r="G420" s="289">
        <f t="shared" si="70"/>
        <v>298</v>
      </c>
      <c r="H420" s="61"/>
      <c r="I420" s="251">
        <f t="shared" si="71"/>
        <v>298</v>
      </c>
      <c r="J420" s="251">
        <f t="shared" si="72"/>
        <v>3576000</v>
      </c>
      <c r="K420" s="290">
        <f t="shared" si="73"/>
        <v>1000451.5599999999</v>
      </c>
      <c r="L420" s="215"/>
    </row>
    <row r="421" spans="1:12" x14ac:dyDescent="0.25">
      <c r="A421" s="279">
        <v>14</v>
      </c>
      <c r="B421" s="61" t="s">
        <v>553</v>
      </c>
      <c r="C421" s="62">
        <v>9000</v>
      </c>
      <c r="D421" s="61">
        <v>2343.2600000000002</v>
      </c>
      <c r="E421" s="62">
        <v>239</v>
      </c>
      <c r="F421" s="61">
        <f>39-39</f>
        <v>0</v>
      </c>
      <c r="G421" s="289">
        <f t="shared" si="70"/>
        <v>239</v>
      </c>
      <c r="H421" s="61"/>
      <c r="I421" s="251">
        <f t="shared" si="71"/>
        <v>239</v>
      </c>
      <c r="J421" s="251">
        <f t="shared" si="72"/>
        <v>2151000</v>
      </c>
      <c r="K421" s="290">
        <f t="shared" si="73"/>
        <v>560039.14</v>
      </c>
      <c r="L421" s="215"/>
    </row>
    <row r="422" spans="1:12" x14ac:dyDescent="0.25">
      <c r="A422" s="279">
        <v>15</v>
      </c>
      <c r="B422" s="61" t="s">
        <v>575</v>
      </c>
      <c r="C422" s="62">
        <v>9000</v>
      </c>
      <c r="D422" s="61">
        <v>3584</v>
      </c>
      <c r="E422" s="62">
        <v>200</v>
      </c>
      <c r="F422" s="61"/>
      <c r="G422" s="289">
        <f t="shared" si="70"/>
        <v>200</v>
      </c>
      <c r="H422" s="61"/>
      <c r="I422" s="251">
        <f t="shared" si="71"/>
        <v>200</v>
      </c>
      <c r="J422" s="251">
        <f t="shared" si="72"/>
        <v>1800000</v>
      </c>
      <c r="K422" s="290">
        <f t="shared" si="73"/>
        <v>716800</v>
      </c>
      <c r="L422" s="215"/>
    </row>
    <row r="423" spans="1:12" x14ac:dyDescent="0.25">
      <c r="A423" s="279">
        <v>16</v>
      </c>
      <c r="B423" s="61" t="s">
        <v>576</v>
      </c>
      <c r="C423" s="62">
        <v>13000</v>
      </c>
      <c r="D423" s="61">
        <v>3076.5</v>
      </c>
      <c r="E423" s="62">
        <v>244</v>
      </c>
      <c r="F423" s="61">
        <f>25+19-44</f>
        <v>0</v>
      </c>
      <c r="G423" s="289">
        <f t="shared" si="70"/>
        <v>244</v>
      </c>
      <c r="H423" s="61"/>
      <c r="I423" s="251">
        <f t="shared" si="71"/>
        <v>244</v>
      </c>
      <c r="J423" s="251">
        <f t="shared" si="72"/>
        <v>3172000</v>
      </c>
      <c r="K423" s="290">
        <f t="shared" si="73"/>
        <v>750666</v>
      </c>
      <c r="L423" s="215"/>
    </row>
    <row r="424" spans="1:12" ht="15.75" thickBot="1" x14ac:dyDescent="0.3">
      <c r="A424" s="280">
        <v>17</v>
      </c>
      <c r="B424" s="281" t="s">
        <v>577</v>
      </c>
      <c r="C424" s="282">
        <v>13000</v>
      </c>
      <c r="D424" s="281">
        <v>2343.2600000000002</v>
      </c>
      <c r="E424" s="282">
        <v>1730</v>
      </c>
      <c r="F424" s="281">
        <f>30-30</f>
        <v>0</v>
      </c>
      <c r="G424" s="295">
        <f t="shared" si="70"/>
        <v>1730</v>
      </c>
      <c r="H424" s="281"/>
      <c r="I424" s="322">
        <f t="shared" si="71"/>
        <v>1730</v>
      </c>
      <c r="J424" s="322">
        <f t="shared" si="72"/>
        <v>22490000</v>
      </c>
      <c r="K424" s="323">
        <f t="shared" si="73"/>
        <v>4053839.8000000003</v>
      </c>
      <c r="L424" s="215"/>
    </row>
    <row r="425" spans="1:12" ht="15.75" thickBot="1" x14ac:dyDescent="0.3">
      <c r="A425" s="313"/>
      <c r="B425" s="96" t="s">
        <v>682</v>
      </c>
      <c r="C425" s="296"/>
      <c r="D425" s="296"/>
      <c r="E425" s="97">
        <f t="shared" ref="E425:K425" si="74">SUM(E408:E424)</f>
        <v>5510</v>
      </c>
      <c r="F425" s="97">
        <f t="shared" si="74"/>
        <v>0</v>
      </c>
      <c r="G425" s="97">
        <f t="shared" si="74"/>
        <v>5510</v>
      </c>
      <c r="H425" s="97">
        <f t="shared" si="74"/>
        <v>0</v>
      </c>
      <c r="I425" s="97">
        <f t="shared" si="74"/>
        <v>5510</v>
      </c>
      <c r="J425" s="97">
        <f t="shared" si="74"/>
        <v>95397000</v>
      </c>
      <c r="K425" s="297">
        <f t="shared" si="74"/>
        <v>16173270.730000002</v>
      </c>
      <c r="L425" s="151"/>
    </row>
    <row r="426" spans="1:12" ht="15.75" thickBot="1" x14ac:dyDescent="0.3">
      <c r="A426" s="298"/>
      <c r="B426" s="138"/>
      <c r="C426" s="139"/>
      <c r="D426" s="140"/>
      <c r="E426" s="141"/>
      <c r="F426" s="138"/>
      <c r="G426" s="141"/>
      <c r="H426" s="141"/>
      <c r="I426" s="141"/>
      <c r="J426" s="141"/>
      <c r="K426" s="140"/>
      <c r="L426" s="140"/>
    </row>
    <row r="427" spans="1:12" ht="15.75" thickBot="1" x14ac:dyDescent="0.3">
      <c r="A427" s="418" t="s">
        <v>653</v>
      </c>
      <c r="B427" s="421" t="s">
        <v>704</v>
      </c>
      <c r="C427" s="421" t="s">
        <v>1</v>
      </c>
      <c r="D427" s="422" t="s">
        <v>645</v>
      </c>
      <c r="E427" s="423" t="s">
        <v>19</v>
      </c>
      <c r="F427" s="423"/>
      <c r="G427" s="423"/>
      <c r="H427" s="423"/>
      <c r="I427" s="423"/>
      <c r="J427" s="416" t="s">
        <v>20</v>
      </c>
      <c r="K427" s="418" t="s">
        <v>598</v>
      </c>
      <c r="L427" s="213"/>
    </row>
    <row r="428" spans="1:12" ht="30.75" thickBot="1" x14ac:dyDescent="0.3">
      <c r="A428" s="420"/>
      <c r="B428" s="421"/>
      <c r="C428" s="421"/>
      <c r="D428" s="422"/>
      <c r="E428" s="272" t="s">
        <v>21</v>
      </c>
      <c r="F428" s="272" t="s">
        <v>596</v>
      </c>
      <c r="G428" s="272" t="s">
        <v>597</v>
      </c>
      <c r="H428" s="272" t="s">
        <v>585</v>
      </c>
      <c r="I428" s="272" t="s">
        <v>597</v>
      </c>
      <c r="J428" s="417"/>
      <c r="K428" s="419"/>
      <c r="L428" s="213"/>
    </row>
    <row r="429" spans="1:12" ht="15.75" thickBot="1" x14ac:dyDescent="0.3">
      <c r="A429" s="419"/>
      <c r="B429" s="273">
        <v>1</v>
      </c>
      <c r="C429" s="273">
        <v>2</v>
      </c>
      <c r="D429" s="273">
        <v>3</v>
      </c>
      <c r="E429" s="274">
        <v>4</v>
      </c>
      <c r="F429" s="274">
        <f>+E429+1</f>
        <v>5</v>
      </c>
      <c r="G429" s="274" t="s">
        <v>648</v>
      </c>
      <c r="H429" s="274">
        <v>7</v>
      </c>
      <c r="I429" s="275" t="s">
        <v>647</v>
      </c>
      <c r="J429" s="287" t="s">
        <v>646</v>
      </c>
      <c r="K429" s="287" t="s">
        <v>649</v>
      </c>
      <c r="L429" s="214"/>
    </row>
    <row r="430" spans="1:12" x14ac:dyDescent="0.25">
      <c r="A430" s="288"/>
      <c r="B430" s="276" t="s">
        <v>711</v>
      </c>
      <c r="C430" s="288"/>
      <c r="D430" s="288"/>
      <c r="E430" s="288"/>
      <c r="F430" s="288"/>
      <c r="G430" s="288"/>
      <c r="H430" s="288"/>
      <c r="I430" s="288"/>
      <c r="J430" s="288"/>
      <c r="K430" s="288"/>
      <c r="L430" s="114"/>
    </row>
    <row r="431" spans="1:12" x14ac:dyDescent="0.25">
      <c r="A431" s="279">
        <v>1</v>
      </c>
      <c r="B431" s="61" t="s">
        <v>592</v>
      </c>
      <c r="C431" s="62">
        <v>12000</v>
      </c>
      <c r="D431" s="61">
        <v>2289.9899999999998</v>
      </c>
      <c r="E431" s="62">
        <v>239</v>
      </c>
      <c r="F431" s="61">
        <f>39-39</f>
        <v>0</v>
      </c>
      <c r="G431" s="289">
        <f t="shared" ref="G431:G448" si="75">+E431+F431</f>
        <v>239</v>
      </c>
      <c r="H431" s="61"/>
      <c r="I431" s="251">
        <f t="shared" ref="I431:I448" si="76">+G431-H431</f>
        <v>239</v>
      </c>
      <c r="J431" s="251">
        <f t="shared" ref="J431:J448" si="77">I431*C431</f>
        <v>2868000</v>
      </c>
      <c r="K431" s="290">
        <f t="shared" ref="K431:K448" si="78">+D431*I431</f>
        <v>547307.61</v>
      </c>
      <c r="L431" s="215"/>
    </row>
    <row r="432" spans="1:12" x14ac:dyDescent="0.25">
      <c r="A432" s="279">
        <v>2</v>
      </c>
      <c r="B432" s="61" t="s">
        <v>593</v>
      </c>
      <c r="C432" s="62">
        <v>13000</v>
      </c>
      <c r="D432" s="61">
        <v>3037.5</v>
      </c>
      <c r="E432" s="62">
        <v>234</v>
      </c>
      <c r="F432" s="61">
        <f>34-34</f>
        <v>0</v>
      </c>
      <c r="G432" s="289">
        <f t="shared" si="75"/>
        <v>234</v>
      </c>
      <c r="H432" s="61"/>
      <c r="I432" s="251">
        <f t="shared" si="76"/>
        <v>234</v>
      </c>
      <c r="J432" s="251">
        <f t="shared" si="77"/>
        <v>3042000</v>
      </c>
      <c r="K432" s="290">
        <f t="shared" si="78"/>
        <v>710775</v>
      </c>
      <c r="L432" s="215"/>
    </row>
    <row r="433" spans="1:14" x14ac:dyDescent="0.25">
      <c r="A433" s="279">
        <v>3</v>
      </c>
      <c r="B433" s="61" t="s">
        <v>600</v>
      </c>
      <c r="C433" s="62">
        <v>42000</v>
      </c>
      <c r="D433" s="61">
        <v>3571.48</v>
      </c>
      <c r="E433" s="62">
        <v>210</v>
      </c>
      <c r="F433" s="61">
        <f>40-40</f>
        <v>0</v>
      </c>
      <c r="G433" s="289">
        <f t="shared" si="75"/>
        <v>210</v>
      </c>
      <c r="H433" s="61"/>
      <c r="I433" s="251">
        <f t="shared" si="76"/>
        <v>210</v>
      </c>
      <c r="J433" s="251">
        <f t="shared" si="77"/>
        <v>8820000</v>
      </c>
      <c r="K433" s="290">
        <f t="shared" si="78"/>
        <v>750010.8</v>
      </c>
      <c r="L433" s="215"/>
    </row>
    <row r="434" spans="1:14" x14ac:dyDescent="0.25">
      <c r="A434" s="279">
        <v>4</v>
      </c>
      <c r="B434" s="352" t="s">
        <v>755</v>
      </c>
      <c r="C434" s="62">
        <v>12000</v>
      </c>
      <c r="D434" s="61">
        <v>2555.0700000000002</v>
      </c>
      <c r="E434" s="62">
        <v>220</v>
      </c>
      <c r="F434" s="61">
        <f>20-20</f>
        <v>0</v>
      </c>
      <c r="G434" s="289">
        <f t="shared" si="75"/>
        <v>220</v>
      </c>
      <c r="H434" s="61"/>
      <c r="I434" s="251">
        <f t="shared" si="76"/>
        <v>220</v>
      </c>
      <c r="J434" s="251">
        <f t="shared" si="77"/>
        <v>2640000</v>
      </c>
      <c r="K434" s="290">
        <f t="shared" si="78"/>
        <v>562115.4</v>
      </c>
      <c r="L434" s="215"/>
    </row>
    <row r="435" spans="1:14" x14ac:dyDescent="0.25">
      <c r="A435" s="279">
        <v>5</v>
      </c>
      <c r="B435" s="61" t="s">
        <v>601</v>
      </c>
      <c r="C435" s="62">
        <v>19000</v>
      </c>
      <c r="D435" s="61">
        <v>2440.58</v>
      </c>
      <c r="E435" s="62">
        <v>233</v>
      </c>
      <c r="F435" s="61">
        <f>35-35</f>
        <v>0</v>
      </c>
      <c r="G435" s="289">
        <f t="shared" si="75"/>
        <v>233</v>
      </c>
      <c r="H435" s="61"/>
      <c r="I435" s="251">
        <f t="shared" si="76"/>
        <v>233</v>
      </c>
      <c r="J435" s="251">
        <f t="shared" si="77"/>
        <v>4427000</v>
      </c>
      <c r="K435" s="290">
        <f t="shared" si="78"/>
        <v>568655.14</v>
      </c>
      <c r="L435" s="215"/>
    </row>
    <row r="436" spans="1:14" x14ac:dyDescent="0.25">
      <c r="A436" s="279">
        <v>6</v>
      </c>
      <c r="B436" s="61" t="s">
        <v>602</v>
      </c>
      <c r="C436" s="62">
        <v>30000</v>
      </c>
      <c r="D436" s="61">
        <v>2679.76</v>
      </c>
      <c r="E436" s="62">
        <v>210</v>
      </c>
      <c r="F436" s="61">
        <f>40-40</f>
        <v>0</v>
      </c>
      <c r="G436" s="289">
        <f t="shared" si="75"/>
        <v>210</v>
      </c>
      <c r="H436" s="61"/>
      <c r="I436" s="251">
        <f t="shared" si="76"/>
        <v>210</v>
      </c>
      <c r="J436" s="251">
        <f t="shared" si="77"/>
        <v>6300000</v>
      </c>
      <c r="K436" s="290">
        <f t="shared" si="78"/>
        <v>562749.60000000009</v>
      </c>
      <c r="L436" s="215"/>
    </row>
    <row r="437" spans="1:14" x14ac:dyDescent="0.25">
      <c r="A437" s="279">
        <v>7</v>
      </c>
      <c r="B437" s="61" t="s">
        <v>317</v>
      </c>
      <c r="C437" s="62">
        <v>6000</v>
      </c>
      <c r="D437" s="61">
        <v>2321.5</v>
      </c>
      <c r="E437" s="62">
        <v>200</v>
      </c>
      <c r="F437" s="61">
        <f>20-20</f>
        <v>0</v>
      </c>
      <c r="G437" s="289">
        <f t="shared" si="75"/>
        <v>200</v>
      </c>
      <c r="H437" s="61"/>
      <c r="I437" s="251">
        <f t="shared" si="76"/>
        <v>200</v>
      </c>
      <c r="J437" s="251">
        <f t="shared" si="77"/>
        <v>1200000</v>
      </c>
      <c r="K437" s="290">
        <f t="shared" si="78"/>
        <v>464300</v>
      </c>
      <c r="L437" s="215"/>
    </row>
    <row r="438" spans="1:14" x14ac:dyDescent="0.25">
      <c r="A438" s="279">
        <v>8</v>
      </c>
      <c r="B438" s="61" t="s">
        <v>610</v>
      </c>
      <c r="C438" s="62">
        <v>13000</v>
      </c>
      <c r="D438" s="61">
        <v>2337.92</v>
      </c>
      <c r="E438" s="62">
        <v>230</v>
      </c>
      <c r="F438" s="61">
        <f>30-30</f>
        <v>0</v>
      </c>
      <c r="G438" s="289">
        <f t="shared" si="75"/>
        <v>230</v>
      </c>
      <c r="H438" s="61"/>
      <c r="I438" s="251">
        <f t="shared" si="76"/>
        <v>230</v>
      </c>
      <c r="J438" s="251">
        <f t="shared" si="77"/>
        <v>2990000</v>
      </c>
      <c r="K438" s="290">
        <f t="shared" si="78"/>
        <v>537721.59999999998</v>
      </c>
      <c r="L438" s="215"/>
    </row>
    <row r="439" spans="1:14" x14ac:dyDescent="0.25">
      <c r="A439" s="279">
        <v>9</v>
      </c>
      <c r="B439" s="61" t="s">
        <v>617</v>
      </c>
      <c r="C439" s="62">
        <v>8000</v>
      </c>
      <c r="D439" s="61">
        <v>3451.9</v>
      </c>
      <c r="E439" s="62">
        <v>220</v>
      </c>
      <c r="F439" s="61">
        <f>20-20</f>
        <v>0</v>
      </c>
      <c r="G439" s="289">
        <f t="shared" si="75"/>
        <v>220</v>
      </c>
      <c r="H439" s="61"/>
      <c r="I439" s="251">
        <f t="shared" si="76"/>
        <v>220</v>
      </c>
      <c r="J439" s="251">
        <f t="shared" si="77"/>
        <v>1760000</v>
      </c>
      <c r="K439" s="290">
        <f t="shared" si="78"/>
        <v>759418</v>
      </c>
      <c r="L439" s="215"/>
    </row>
    <row r="440" spans="1:14" x14ac:dyDescent="0.25">
      <c r="A440" s="279">
        <v>10</v>
      </c>
      <c r="B440" s="61" t="s">
        <v>618</v>
      </c>
      <c r="C440" s="62">
        <v>13000</v>
      </c>
      <c r="D440" s="61">
        <v>2648.32</v>
      </c>
      <c r="E440" s="62">
        <v>200</v>
      </c>
      <c r="F440" s="332"/>
      <c r="G440" s="289">
        <f t="shared" si="75"/>
        <v>200</v>
      </c>
      <c r="H440" s="61"/>
      <c r="I440" s="251">
        <f t="shared" si="76"/>
        <v>200</v>
      </c>
      <c r="J440" s="251">
        <f t="shared" si="77"/>
        <v>2600000</v>
      </c>
      <c r="K440" s="290">
        <f t="shared" si="78"/>
        <v>529664</v>
      </c>
      <c r="L440" s="194"/>
      <c r="M440" s="176">
        <f>+I440-200</f>
        <v>0</v>
      </c>
      <c r="N440" s="170" t="s">
        <v>846</v>
      </c>
    </row>
    <row r="441" spans="1:14" x14ac:dyDescent="0.25">
      <c r="A441" s="279">
        <v>11</v>
      </c>
      <c r="B441" s="61" t="s">
        <v>619</v>
      </c>
      <c r="C441" s="62">
        <v>9000</v>
      </c>
      <c r="D441" s="62">
        <v>6896</v>
      </c>
      <c r="E441" s="62">
        <v>180</v>
      </c>
      <c r="F441" s="61"/>
      <c r="G441" s="289">
        <f t="shared" si="75"/>
        <v>180</v>
      </c>
      <c r="H441" s="62"/>
      <c r="I441" s="251">
        <f t="shared" si="76"/>
        <v>180</v>
      </c>
      <c r="J441" s="251">
        <f t="shared" si="77"/>
        <v>1620000</v>
      </c>
      <c r="K441" s="290">
        <f t="shared" si="78"/>
        <v>1241280</v>
      </c>
      <c r="L441" s="194"/>
      <c r="M441" s="176">
        <f>+I441-180</f>
        <v>0</v>
      </c>
      <c r="N441" s="170" t="s">
        <v>847</v>
      </c>
    </row>
    <row r="442" spans="1:14" x14ac:dyDescent="0.25">
      <c r="A442" s="279">
        <v>12</v>
      </c>
      <c r="B442" s="61" t="s">
        <v>627</v>
      </c>
      <c r="C442" s="62">
        <v>10000</v>
      </c>
      <c r="D442" s="61">
        <v>2494.5100000000002</v>
      </c>
      <c r="E442" s="62">
        <v>230</v>
      </c>
      <c r="F442" s="61">
        <f>30-30</f>
        <v>0</v>
      </c>
      <c r="G442" s="289">
        <f t="shared" si="75"/>
        <v>230</v>
      </c>
      <c r="H442" s="62"/>
      <c r="I442" s="251">
        <f t="shared" si="76"/>
        <v>230</v>
      </c>
      <c r="J442" s="251">
        <f t="shared" si="77"/>
        <v>2300000</v>
      </c>
      <c r="K442" s="290">
        <f t="shared" si="78"/>
        <v>573737.30000000005</v>
      </c>
      <c r="L442" s="215"/>
      <c r="N442" s="170"/>
    </row>
    <row r="443" spans="1:14" x14ac:dyDescent="0.25">
      <c r="A443" s="279">
        <v>13</v>
      </c>
      <c r="B443" s="61" t="s">
        <v>628</v>
      </c>
      <c r="C443" s="62">
        <v>9000</v>
      </c>
      <c r="D443" s="62">
        <v>6896</v>
      </c>
      <c r="E443" s="62">
        <v>240</v>
      </c>
      <c r="F443" s="61">
        <f>40-40</f>
        <v>0</v>
      </c>
      <c r="G443" s="289">
        <f t="shared" si="75"/>
        <v>240</v>
      </c>
      <c r="H443" s="62"/>
      <c r="I443" s="251">
        <f t="shared" si="76"/>
        <v>240</v>
      </c>
      <c r="J443" s="251">
        <f t="shared" si="77"/>
        <v>2160000</v>
      </c>
      <c r="K443" s="290">
        <f t="shared" si="78"/>
        <v>1655040</v>
      </c>
      <c r="L443" s="194"/>
      <c r="M443" s="176">
        <f>+I443-200</f>
        <v>40</v>
      </c>
      <c r="N443" s="170" t="s">
        <v>846</v>
      </c>
    </row>
    <row r="444" spans="1:14" x14ac:dyDescent="0.25">
      <c r="A444" s="279">
        <v>14</v>
      </c>
      <c r="B444" s="61" t="s">
        <v>634</v>
      </c>
      <c r="C444" s="62">
        <v>7000</v>
      </c>
      <c r="D444" s="374">
        <v>2384.1999999999998</v>
      </c>
      <c r="E444" s="62">
        <v>240</v>
      </c>
      <c r="F444" s="61">
        <f>40-40</f>
        <v>0</v>
      </c>
      <c r="G444" s="289">
        <f t="shared" si="75"/>
        <v>240</v>
      </c>
      <c r="H444" s="62"/>
      <c r="I444" s="251">
        <f t="shared" si="76"/>
        <v>240</v>
      </c>
      <c r="J444" s="251">
        <f t="shared" si="77"/>
        <v>1680000</v>
      </c>
      <c r="K444" s="290">
        <f t="shared" si="78"/>
        <v>572208</v>
      </c>
      <c r="L444" s="194"/>
      <c r="M444" s="176">
        <f>+I444-200</f>
        <v>40</v>
      </c>
      <c r="N444" s="170" t="s">
        <v>846</v>
      </c>
    </row>
    <row r="445" spans="1:14" x14ac:dyDescent="0.25">
      <c r="A445" s="279">
        <v>15</v>
      </c>
      <c r="B445" s="61" t="s">
        <v>635</v>
      </c>
      <c r="C445" s="62">
        <v>12000</v>
      </c>
      <c r="D445" s="374">
        <v>2862.6</v>
      </c>
      <c r="E445" s="62">
        <v>240</v>
      </c>
      <c r="F445" s="61">
        <f>40-40</f>
        <v>0</v>
      </c>
      <c r="G445" s="289">
        <f t="shared" si="75"/>
        <v>240</v>
      </c>
      <c r="H445" s="62"/>
      <c r="I445" s="251">
        <f t="shared" si="76"/>
        <v>240</v>
      </c>
      <c r="J445" s="251">
        <f t="shared" si="77"/>
        <v>2880000</v>
      </c>
      <c r="K445" s="290">
        <f t="shared" si="78"/>
        <v>687024</v>
      </c>
      <c r="L445" s="194"/>
      <c r="M445" s="176">
        <f>+I445-200</f>
        <v>40</v>
      </c>
      <c r="N445" s="170" t="s">
        <v>846</v>
      </c>
    </row>
    <row r="446" spans="1:14" x14ac:dyDescent="0.25">
      <c r="A446" s="279">
        <v>16</v>
      </c>
      <c r="B446" s="61" t="s">
        <v>446</v>
      </c>
      <c r="C446" s="62">
        <v>9000</v>
      </c>
      <c r="D446" s="374">
        <v>4421</v>
      </c>
      <c r="E446" s="62">
        <v>216</v>
      </c>
      <c r="F446" s="61">
        <f>36-36</f>
        <v>0</v>
      </c>
      <c r="G446" s="289">
        <f t="shared" si="75"/>
        <v>216</v>
      </c>
      <c r="H446" s="62"/>
      <c r="I446" s="251">
        <f t="shared" si="76"/>
        <v>216</v>
      </c>
      <c r="J446" s="251">
        <f t="shared" si="77"/>
        <v>1944000</v>
      </c>
      <c r="K446" s="290">
        <f t="shared" si="78"/>
        <v>954936</v>
      </c>
      <c r="L446" s="194"/>
      <c r="M446" s="176">
        <f>+I446-180</f>
        <v>36</v>
      </c>
      <c r="N446" s="170" t="s">
        <v>847</v>
      </c>
    </row>
    <row r="447" spans="1:14" x14ac:dyDescent="0.25">
      <c r="A447" s="279">
        <v>17</v>
      </c>
      <c r="B447" s="61" t="s">
        <v>1226</v>
      </c>
      <c r="C447" s="62">
        <v>10000</v>
      </c>
      <c r="D447" s="61"/>
      <c r="E447" s="62">
        <v>175</v>
      </c>
      <c r="F447" s="251">
        <f>175-175</f>
        <v>0</v>
      </c>
      <c r="G447" s="289">
        <f>+E447+F447</f>
        <v>175</v>
      </c>
      <c r="H447" s="62"/>
      <c r="I447" s="251">
        <f>+G447-H447</f>
        <v>175</v>
      </c>
      <c r="J447" s="251">
        <f>I447*C447</f>
        <v>1750000</v>
      </c>
      <c r="K447" s="290">
        <f>+D447*I447</f>
        <v>0</v>
      </c>
      <c r="L447" s="215"/>
    </row>
    <row r="448" spans="1:14" ht="15.75" thickBot="1" x14ac:dyDescent="0.3">
      <c r="A448" s="369">
        <v>18</v>
      </c>
      <c r="B448" s="361" t="s">
        <v>639</v>
      </c>
      <c r="C448" s="362">
        <v>3000</v>
      </c>
      <c r="D448" s="361"/>
      <c r="E448" s="362">
        <v>0</v>
      </c>
      <c r="F448" s="371"/>
      <c r="G448" s="370">
        <f t="shared" si="75"/>
        <v>0</v>
      </c>
      <c r="H448" s="362"/>
      <c r="I448" s="371">
        <f t="shared" si="76"/>
        <v>0</v>
      </c>
      <c r="J448" s="371">
        <f t="shared" si="77"/>
        <v>0</v>
      </c>
      <c r="K448" s="372">
        <f t="shared" si="78"/>
        <v>0</v>
      </c>
      <c r="L448" s="215"/>
    </row>
    <row r="449" spans="1:15" ht="15.75" thickBot="1" x14ac:dyDescent="0.3">
      <c r="A449" s="313"/>
      <c r="B449" s="96" t="s">
        <v>684</v>
      </c>
      <c r="C449" s="296"/>
      <c r="D449" s="296"/>
      <c r="E449" s="97">
        <f t="shared" ref="E449:K449" si="79">SUM(E431:E448)</f>
        <v>3717</v>
      </c>
      <c r="F449" s="97">
        <f t="shared" si="79"/>
        <v>0</v>
      </c>
      <c r="G449" s="97">
        <f t="shared" si="79"/>
        <v>3717</v>
      </c>
      <c r="H449" s="97">
        <f t="shared" si="79"/>
        <v>0</v>
      </c>
      <c r="I449" s="97">
        <f t="shared" si="79"/>
        <v>3717</v>
      </c>
      <c r="J449" s="97">
        <f>SUM(J431:J448)</f>
        <v>50981000</v>
      </c>
      <c r="K449" s="297">
        <f t="shared" si="79"/>
        <v>11676942.449999999</v>
      </c>
      <c r="L449" s="151"/>
    </row>
    <row r="450" spans="1:15" ht="15.75" thickBot="1" x14ac:dyDescent="0.3">
      <c r="A450" s="298"/>
      <c r="B450" s="298"/>
      <c r="C450" s="298"/>
      <c r="D450" s="298"/>
      <c r="E450" s="298"/>
      <c r="F450" s="298"/>
      <c r="G450" s="298"/>
      <c r="H450" s="298"/>
      <c r="I450" s="298"/>
      <c r="J450" s="298"/>
      <c r="K450" s="298"/>
    </row>
    <row r="451" spans="1:15" ht="15.75" thickBot="1" x14ac:dyDescent="0.3">
      <c r="A451" s="418" t="s">
        <v>653</v>
      </c>
      <c r="B451" s="421" t="s">
        <v>704</v>
      </c>
      <c r="C451" s="421" t="s">
        <v>1</v>
      </c>
      <c r="D451" s="422" t="s">
        <v>645</v>
      </c>
      <c r="E451" s="423" t="s">
        <v>19</v>
      </c>
      <c r="F451" s="423"/>
      <c r="G451" s="423"/>
      <c r="H451" s="423"/>
      <c r="I451" s="423"/>
      <c r="J451" s="416" t="s">
        <v>20</v>
      </c>
      <c r="K451" s="418" t="s">
        <v>598</v>
      </c>
      <c r="L451" s="213"/>
    </row>
    <row r="452" spans="1:15" ht="30.75" thickBot="1" x14ac:dyDescent="0.3">
      <c r="A452" s="420"/>
      <c r="B452" s="421"/>
      <c r="C452" s="421"/>
      <c r="D452" s="422"/>
      <c r="E452" s="272" t="s">
        <v>21</v>
      </c>
      <c r="F452" s="272" t="s">
        <v>596</v>
      </c>
      <c r="G452" s="272" t="s">
        <v>597</v>
      </c>
      <c r="H452" s="272" t="s">
        <v>585</v>
      </c>
      <c r="I452" s="272" t="s">
        <v>597</v>
      </c>
      <c r="J452" s="417"/>
      <c r="K452" s="419"/>
      <c r="L452" s="213"/>
    </row>
    <row r="453" spans="1:15" ht="15.75" thickBot="1" x14ac:dyDescent="0.3">
      <c r="A453" s="419"/>
      <c r="B453" s="273">
        <v>1</v>
      </c>
      <c r="C453" s="273">
        <v>2</v>
      </c>
      <c r="D453" s="273">
        <v>3</v>
      </c>
      <c r="E453" s="274">
        <v>4</v>
      </c>
      <c r="F453" s="274">
        <f>+E453+1</f>
        <v>5</v>
      </c>
      <c r="G453" s="274" t="s">
        <v>648</v>
      </c>
      <c r="H453" s="274">
        <v>7</v>
      </c>
      <c r="I453" s="275" t="s">
        <v>647</v>
      </c>
      <c r="J453" s="287" t="s">
        <v>646</v>
      </c>
      <c r="K453" s="287" t="s">
        <v>649</v>
      </c>
      <c r="L453" s="214"/>
    </row>
    <row r="454" spans="1:15" x14ac:dyDescent="0.25">
      <c r="A454" s="288"/>
      <c r="B454" s="276" t="s">
        <v>732</v>
      </c>
      <c r="C454" s="288"/>
      <c r="D454" s="288"/>
      <c r="E454" s="288"/>
      <c r="F454" s="288"/>
      <c r="G454" s="288"/>
      <c r="H454" s="288"/>
      <c r="I454" s="288"/>
      <c r="J454" s="288"/>
      <c r="K454" s="288"/>
      <c r="L454" s="114"/>
    </row>
    <row r="455" spans="1:15" x14ac:dyDescent="0.25">
      <c r="A455" s="279">
        <v>1</v>
      </c>
      <c r="B455" s="285" t="s">
        <v>781</v>
      </c>
      <c r="C455" s="62">
        <v>15000</v>
      </c>
      <c r="D455" s="310">
        <v>3609.08</v>
      </c>
      <c r="E455" s="62">
        <v>93</v>
      </c>
      <c r="F455" s="289">
        <f>18-18</f>
        <v>0</v>
      </c>
      <c r="G455" s="289">
        <f t="shared" ref="G455:G471" si="80">+E455+F455</f>
        <v>93</v>
      </c>
      <c r="H455" s="289"/>
      <c r="I455" s="251">
        <f t="shared" ref="I455:I471" si="81">+G455-H455</f>
        <v>93</v>
      </c>
      <c r="J455" s="251">
        <f t="shared" ref="J455:J471" si="82">I455*C455</f>
        <v>1395000</v>
      </c>
      <c r="K455" s="290">
        <f t="shared" ref="K455:K471" si="83">+D455*I455</f>
        <v>335644.44</v>
      </c>
      <c r="L455" s="194"/>
      <c r="M455" s="183" t="s">
        <v>842</v>
      </c>
    </row>
    <row r="456" spans="1:15" x14ac:dyDescent="0.25">
      <c r="A456" s="279">
        <v>2</v>
      </c>
      <c r="B456" s="61" t="s">
        <v>786</v>
      </c>
      <c r="C456" s="62">
        <v>15000</v>
      </c>
      <c r="D456" s="310">
        <v>0</v>
      </c>
      <c r="E456" s="62">
        <v>800</v>
      </c>
      <c r="F456" s="289"/>
      <c r="G456" s="289">
        <f t="shared" si="80"/>
        <v>800</v>
      </c>
      <c r="H456" s="289">
        <f>100-100</f>
        <v>0</v>
      </c>
      <c r="I456" s="251">
        <f t="shared" si="81"/>
        <v>800</v>
      </c>
      <c r="J456" s="251">
        <f t="shared" si="82"/>
        <v>12000000</v>
      </c>
      <c r="K456" s="290">
        <f t="shared" si="83"/>
        <v>0</v>
      </c>
      <c r="L456" s="222" t="s">
        <v>1002</v>
      </c>
      <c r="M456" s="183" t="s">
        <v>849</v>
      </c>
      <c r="N456" s="172"/>
      <c r="O456" s="40">
        <v>100</v>
      </c>
    </row>
    <row r="457" spans="1:15" x14ac:dyDescent="0.25">
      <c r="A457" s="279">
        <v>3</v>
      </c>
      <c r="B457" s="61" t="s">
        <v>787</v>
      </c>
      <c r="C457" s="62">
        <v>15000</v>
      </c>
      <c r="D457" s="310">
        <v>1100</v>
      </c>
      <c r="E457" s="62">
        <v>0</v>
      </c>
      <c r="F457" s="289">
        <f>5-5</f>
        <v>0</v>
      </c>
      <c r="G457" s="289">
        <f t="shared" si="80"/>
        <v>0</v>
      </c>
      <c r="H457" s="289">
        <f>(200-200+100-100)+200-200</f>
        <v>0</v>
      </c>
      <c r="I457" s="251">
        <f t="shared" si="81"/>
        <v>0</v>
      </c>
      <c r="J457" s="251">
        <f t="shared" si="82"/>
        <v>0</v>
      </c>
      <c r="K457" s="290">
        <f t="shared" si="83"/>
        <v>0</v>
      </c>
      <c r="L457" s="215"/>
    </row>
    <row r="458" spans="1:15" x14ac:dyDescent="0.25">
      <c r="A458" s="279">
        <v>4</v>
      </c>
      <c r="B458" s="61" t="s">
        <v>788</v>
      </c>
      <c r="C458" s="62">
        <v>12000</v>
      </c>
      <c r="D458" s="310">
        <v>3564</v>
      </c>
      <c r="E458" s="62">
        <v>296</v>
      </c>
      <c r="F458" s="289"/>
      <c r="G458" s="289">
        <f t="shared" si="80"/>
        <v>296</v>
      </c>
      <c r="H458" s="289">
        <f>1-1+3-3</f>
        <v>0</v>
      </c>
      <c r="I458" s="251">
        <f t="shared" si="81"/>
        <v>296</v>
      </c>
      <c r="J458" s="251">
        <f t="shared" si="82"/>
        <v>3552000</v>
      </c>
      <c r="K458" s="290">
        <f t="shared" si="83"/>
        <v>1054944</v>
      </c>
      <c r="L458" s="215"/>
      <c r="M458" s="170" t="s">
        <v>848</v>
      </c>
      <c r="N458" s="168">
        <v>3</v>
      </c>
    </row>
    <row r="459" spans="1:15" x14ac:dyDescent="0.25">
      <c r="A459" s="279">
        <v>5</v>
      </c>
      <c r="B459" s="61" t="s">
        <v>789</v>
      </c>
      <c r="C459" s="62">
        <v>13000</v>
      </c>
      <c r="D459" s="310">
        <v>8714</v>
      </c>
      <c r="E459" s="62">
        <v>447</v>
      </c>
      <c r="F459" s="289">
        <f>2500-2500</f>
        <v>0</v>
      </c>
      <c r="G459" s="289">
        <f t="shared" si="80"/>
        <v>447</v>
      </c>
      <c r="H459" s="289">
        <f>50-50+3-3</f>
        <v>0</v>
      </c>
      <c r="I459" s="251">
        <f t="shared" si="81"/>
        <v>447</v>
      </c>
      <c r="J459" s="251">
        <f t="shared" si="82"/>
        <v>5811000</v>
      </c>
      <c r="K459" s="290">
        <f t="shared" si="83"/>
        <v>3895158</v>
      </c>
      <c r="L459" s="194"/>
      <c r="M459" s="183" t="s">
        <v>843</v>
      </c>
      <c r="N459" s="168">
        <v>3</v>
      </c>
    </row>
    <row r="460" spans="1:15" x14ac:dyDescent="0.25">
      <c r="A460" s="279">
        <v>6</v>
      </c>
      <c r="B460" s="61" t="s">
        <v>1241</v>
      </c>
      <c r="C460" s="62">
        <v>12000</v>
      </c>
      <c r="D460" s="310">
        <v>3856.7</v>
      </c>
      <c r="E460" s="62">
        <v>120</v>
      </c>
      <c r="F460" s="289">
        <f>1200+500-1700+304-304</f>
        <v>0</v>
      </c>
      <c r="G460" s="289">
        <f t="shared" si="80"/>
        <v>120</v>
      </c>
      <c r="H460" s="289">
        <f>70+10+900+160-1140+304-304+20-20</f>
        <v>0</v>
      </c>
      <c r="I460" s="251">
        <f t="shared" si="81"/>
        <v>120</v>
      </c>
      <c r="J460" s="251">
        <f t="shared" si="82"/>
        <v>1440000</v>
      </c>
      <c r="K460" s="290">
        <f t="shared" si="83"/>
        <v>462804</v>
      </c>
      <c r="L460" s="222" t="s">
        <v>1015</v>
      </c>
      <c r="M460" s="177">
        <f>+I460-120</f>
        <v>0</v>
      </c>
      <c r="N460" s="40">
        <v>304</v>
      </c>
      <c r="O460" s="193" t="s">
        <v>905</v>
      </c>
    </row>
    <row r="461" spans="1:15" x14ac:dyDescent="0.25">
      <c r="A461" s="279">
        <v>7</v>
      </c>
      <c r="B461" s="61" t="s">
        <v>795</v>
      </c>
      <c r="C461" s="62">
        <v>15000</v>
      </c>
      <c r="D461" s="310">
        <v>0</v>
      </c>
      <c r="E461" s="62">
        <v>0</v>
      </c>
      <c r="F461" s="289"/>
      <c r="G461" s="289">
        <f t="shared" si="80"/>
        <v>0</v>
      </c>
      <c r="H461" s="289"/>
      <c r="I461" s="251">
        <f t="shared" si="81"/>
        <v>0</v>
      </c>
      <c r="J461" s="251">
        <f t="shared" si="82"/>
        <v>0</v>
      </c>
      <c r="K461" s="290">
        <f t="shared" si="83"/>
        <v>0</v>
      </c>
      <c r="L461" s="215"/>
    </row>
    <row r="462" spans="1:15" x14ac:dyDescent="0.25">
      <c r="A462" s="279">
        <v>8</v>
      </c>
      <c r="B462" s="61" t="s">
        <v>804</v>
      </c>
      <c r="C462" s="62">
        <v>7500</v>
      </c>
      <c r="D462" s="310">
        <v>3099.59</v>
      </c>
      <c r="E462" s="62">
        <v>0</v>
      </c>
      <c r="F462" s="375">
        <f>1000-1000</f>
        <v>0</v>
      </c>
      <c r="G462" s="289">
        <f t="shared" si="80"/>
        <v>0</v>
      </c>
      <c r="H462" s="289">
        <f>1000-1000</f>
        <v>0</v>
      </c>
      <c r="I462" s="251">
        <f t="shared" si="81"/>
        <v>0</v>
      </c>
      <c r="J462" s="251">
        <f t="shared" si="82"/>
        <v>0</v>
      </c>
      <c r="K462" s="290">
        <f t="shared" si="83"/>
        <v>0</v>
      </c>
      <c r="L462" s="215"/>
    </row>
    <row r="463" spans="1:15" x14ac:dyDescent="0.25">
      <c r="A463" s="279">
        <v>9</v>
      </c>
      <c r="B463" s="61" t="s">
        <v>805</v>
      </c>
      <c r="C463" s="62">
        <v>7500</v>
      </c>
      <c r="D463" s="310">
        <v>3099.59</v>
      </c>
      <c r="E463" s="62">
        <v>0</v>
      </c>
      <c r="F463" s="289">
        <f>1000-1000</f>
        <v>0</v>
      </c>
      <c r="G463" s="289">
        <f t="shared" si="80"/>
        <v>0</v>
      </c>
      <c r="H463" s="289">
        <f>1000-1000</f>
        <v>0</v>
      </c>
      <c r="I463" s="251">
        <f t="shared" si="81"/>
        <v>0</v>
      </c>
      <c r="J463" s="251">
        <f t="shared" si="82"/>
        <v>0</v>
      </c>
      <c r="K463" s="290">
        <f t="shared" si="83"/>
        <v>0</v>
      </c>
      <c r="L463" s="215"/>
    </row>
    <row r="464" spans="1:15" x14ac:dyDescent="0.25">
      <c r="A464" s="279">
        <v>10</v>
      </c>
      <c r="B464" s="61" t="s">
        <v>797</v>
      </c>
      <c r="C464" s="62">
        <v>24000</v>
      </c>
      <c r="D464" s="310">
        <v>5293.4</v>
      </c>
      <c r="E464" s="62">
        <v>0</v>
      </c>
      <c r="F464" s="336">
        <f>500-500</f>
        <v>0</v>
      </c>
      <c r="G464" s="289">
        <f t="shared" si="80"/>
        <v>0</v>
      </c>
      <c r="H464" s="289">
        <f>70+350-70-350</f>
        <v>0</v>
      </c>
      <c r="I464" s="251">
        <f t="shared" si="81"/>
        <v>0</v>
      </c>
      <c r="J464" s="251">
        <f t="shared" si="82"/>
        <v>0</v>
      </c>
      <c r="K464" s="290">
        <f t="shared" si="83"/>
        <v>0</v>
      </c>
      <c r="L464" s="215"/>
    </row>
    <row r="465" spans="1:18" x14ac:dyDescent="0.25">
      <c r="A465" s="279">
        <v>11</v>
      </c>
      <c r="B465" s="61" t="s">
        <v>798</v>
      </c>
      <c r="C465" s="62">
        <v>4000</v>
      </c>
      <c r="D465" s="310">
        <v>1100</v>
      </c>
      <c r="E465" s="62">
        <v>84</v>
      </c>
      <c r="F465" s="289">
        <f>1000+500-1500</f>
        <v>0</v>
      </c>
      <c r="G465" s="289">
        <f t="shared" si="80"/>
        <v>84</v>
      </c>
      <c r="H465" s="375">
        <f>376+450+100-926+546-546</f>
        <v>0</v>
      </c>
      <c r="I465" s="251">
        <f t="shared" si="81"/>
        <v>84</v>
      </c>
      <c r="J465" s="251">
        <f t="shared" si="82"/>
        <v>336000</v>
      </c>
      <c r="K465" s="290">
        <f t="shared" si="83"/>
        <v>92400</v>
      </c>
      <c r="L465" s="222" t="s">
        <v>1016</v>
      </c>
      <c r="M465" s="177">
        <f>+I465-80</f>
        <v>4</v>
      </c>
    </row>
    <row r="466" spans="1:18" x14ac:dyDescent="0.25">
      <c r="A466" s="279">
        <v>12</v>
      </c>
      <c r="B466" s="61" t="s">
        <v>799</v>
      </c>
      <c r="C466" s="62">
        <v>12000</v>
      </c>
      <c r="D466" s="310">
        <v>0</v>
      </c>
      <c r="E466" s="62">
        <v>0</v>
      </c>
      <c r="F466" s="289">
        <f>250+100+497-847+75-75</f>
        <v>0</v>
      </c>
      <c r="G466" s="289">
        <f t="shared" si="80"/>
        <v>0</v>
      </c>
      <c r="H466" s="375">
        <f>467-467</f>
        <v>0</v>
      </c>
      <c r="I466" s="251">
        <f t="shared" si="81"/>
        <v>0</v>
      </c>
      <c r="J466" s="251">
        <f t="shared" si="82"/>
        <v>0</v>
      </c>
      <c r="K466" s="290">
        <f t="shared" si="83"/>
        <v>0</v>
      </c>
      <c r="L466" s="215"/>
    </row>
    <row r="467" spans="1:18" x14ac:dyDescent="0.25">
      <c r="A467" s="279">
        <v>13</v>
      </c>
      <c r="B467" s="61" t="s">
        <v>809</v>
      </c>
      <c r="C467" s="62">
        <v>20000</v>
      </c>
      <c r="D467" s="310">
        <v>5248.36</v>
      </c>
      <c r="E467" s="62">
        <v>0</v>
      </c>
      <c r="F467" s="289">
        <f>1000-1000</f>
        <v>0</v>
      </c>
      <c r="G467" s="289">
        <f t="shared" si="80"/>
        <v>0</v>
      </c>
      <c r="H467" s="375">
        <f>1000-1000</f>
        <v>0</v>
      </c>
      <c r="I467" s="251">
        <f t="shared" si="81"/>
        <v>0</v>
      </c>
      <c r="J467" s="251">
        <f t="shared" si="82"/>
        <v>0</v>
      </c>
      <c r="K467" s="290">
        <f t="shared" si="83"/>
        <v>0</v>
      </c>
      <c r="L467" s="215"/>
    </row>
    <row r="468" spans="1:18" x14ac:dyDescent="0.25">
      <c r="A468" s="279">
        <v>14</v>
      </c>
      <c r="B468" s="61" t="s">
        <v>810</v>
      </c>
      <c r="C468" s="62">
        <v>7500</v>
      </c>
      <c r="D468" s="310">
        <v>3099.59</v>
      </c>
      <c r="E468" s="62">
        <v>0</v>
      </c>
      <c r="F468" s="289">
        <f>1000-1000</f>
        <v>0</v>
      </c>
      <c r="G468" s="289">
        <f t="shared" si="80"/>
        <v>0</v>
      </c>
      <c r="H468" s="375">
        <f>1000-1000</f>
        <v>0</v>
      </c>
      <c r="I468" s="251">
        <f t="shared" si="81"/>
        <v>0</v>
      </c>
      <c r="J468" s="251">
        <f t="shared" si="82"/>
        <v>0</v>
      </c>
      <c r="K468" s="290">
        <f t="shared" si="83"/>
        <v>0</v>
      </c>
      <c r="L468" s="215"/>
    </row>
    <row r="469" spans="1:18" x14ac:dyDescent="0.25">
      <c r="A469" s="279">
        <v>15</v>
      </c>
      <c r="B469" s="61" t="s">
        <v>811</v>
      </c>
      <c r="C469" s="62">
        <v>3000</v>
      </c>
      <c r="D469" s="310">
        <v>2750</v>
      </c>
      <c r="E469" s="62">
        <v>500</v>
      </c>
      <c r="F469" s="289">
        <f>700-700</f>
        <v>0</v>
      </c>
      <c r="G469" s="289">
        <f t="shared" si="80"/>
        <v>500</v>
      </c>
      <c r="H469" s="375">
        <f>200-200</f>
        <v>0</v>
      </c>
      <c r="I469" s="251">
        <f t="shared" si="81"/>
        <v>500</v>
      </c>
      <c r="J469" s="251">
        <f t="shared" si="82"/>
        <v>1500000</v>
      </c>
      <c r="K469" s="290">
        <f t="shared" si="83"/>
        <v>1375000</v>
      </c>
      <c r="L469" s="194">
        <v>500</v>
      </c>
      <c r="M469" s="183" t="s">
        <v>841</v>
      </c>
      <c r="R469" s="162">
        <v>42503</v>
      </c>
    </row>
    <row r="470" spans="1:18" x14ac:dyDescent="0.25">
      <c r="A470" s="279">
        <v>16</v>
      </c>
      <c r="B470" s="61" t="s">
        <v>812</v>
      </c>
      <c r="C470" s="62">
        <v>19000</v>
      </c>
      <c r="D470" s="376">
        <v>6106</v>
      </c>
      <c r="E470" s="62">
        <v>0</v>
      </c>
      <c r="F470" s="289">
        <f>2500-2500</f>
        <v>0</v>
      </c>
      <c r="G470" s="289">
        <f t="shared" si="80"/>
        <v>0</v>
      </c>
      <c r="H470" s="375">
        <f>(1000+740+560)+200-2500</f>
        <v>0</v>
      </c>
      <c r="I470" s="251">
        <f t="shared" si="81"/>
        <v>0</v>
      </c>
      <c r="J470" s="251">
        <f t="shared" si="82"/>
        <v>0</v>
      </c>
      <c r="K470" s="290">
        <f t="shared" si="83"/>
        <v>0</v>
      </c>
      <c r="L470" s="215"/>
      <c r="R470" s="163">
        <v>200</v>
      </c>
    </row>
    <row r="471" spans="1:18" x14ac:dyDescent="0.25">
      <c r="A471" s="338">
        <v>17</v>
      </c>
      <c r="B471" s="90" t="s">
        <v>817</v>
      </c>
      <c r="C471" s="91">
        <v>3000</v>
      </c>
      <c r="D471" s="376">
        <v>2750</v>
      </c>
      <c r="E471" s="91">
        <v>0</v>
      </c>
      <c r="F471" s="292">
        <f>1000-1000</f>
        <v>0</v>
      </c>
      <c r="G471" s="300">
        <f t="shared" si="80"/>
        <v>0</v>
      </c>
      <c r="H471" s="91">
        <f>700+300-1000</f>
        <v>0</v>
      </c>
      <c r="I471" s="292">
        <f t="shared" si="81"/>
        <v>0</v>
      </c>
      <c r="J471" s="292">
        <f t="shared" si="82"/>
        <v>0</v>
      </c>
      <c r="K471" s="293">
        <f t="shared" si="83"/>
        <v>0</v>
      </c>
      <c r="L471" s="215"/>
    </row>
    <row r="472" spans="1:18" x14ac:dyDescent="0.25">
      <c r="A472" s="377">
        <v>18</v>
      </c>
      <c r="B472" s="61" t="s">
        <v>822</v>
      </c>
      <c r="C472" s="375">
        <v>6000</v>
      </c>
      <c r="D472" s="310">
        <v>0</v>
      </c>
      <c r="E472" s="91">
        <v>0</v>
      </c>
      <c r="F472" s="292">
        <f>1000-1000+1000-1000</f>
        <v>0</v>
      </c>
      <c r="G472" s="300">
        <f t="shared" ref="G472:G478" si="84">+E472+F472</f>
        <v>0</v>
      </c>
      <c r="H472" s="91">
        <f>500+500-1000</f>
        <v>0</v>
      </c>
      <c r="I472" s="292">
        <f t="shared" ref="I472:I486" si="85">+G472-H472</f>
        <v>0</v>
      </c>
      <c r="J472" s="292">
        <f t="shared" ref="J472:J486" si="86">I472*C472</f>
        <v>0</v>
      </c>
      <c r="K472" s="293">
        <f t="shared" ref="K472:K486" si="87">+D472*I472</f>
        <v>0</v>
      </c>
      <c r="L472" s="215"/>
      <c r="N472" s="172"/>
      <c r="O472" s="172"/>
    </row>
    <row r="473" spans="1:18" x14ac:dyDescent="0.25">
      <c r="A473" s="338">
        <v>19</v>
      </c>
      <c r="B473" s="378" t="s">
        <v>823</v>
      </c>
      <c r="C473" s="375">
        <v>48000</v>
      </c>
      <c r="D473" s="310">
        <v>0</v>
      </c>
      <c r="E473" s="91">
        <v>0</v>
      </c>
      <c r="F473" s="292">
        <f>800-800</f>
        <v>0</v>
      </c>
      <c r="G473" s="300">
        <f t="shared" si="84"/>
        <v>0</v>
      </c>
      <c r="H473" s="91">
        <f>800-800</f>
        <v>0</v>
      </c>
      <c r="I473" s="292">
        <f t="shared" si="85"/>
        <v>0</v>
      </c>
      <c r="J473" s="292">
        <f t="shared" si="86"/>
        <v>0</v>
      </c>
      <c r="K473" s="293">
        <f t="shared" si="87"/>
        <v>0</v>
      </c>
      <c r="L473" s="215"/>
      <c r="N473" s="172"/>
    </row>
    <row r="474" spans="1:18" x14ac:dyDescent="0.25">
      <c r="A474" s="377">
        <v>20</v>
      </c>
      <c r="B474" s="379" t="s">
        <v>827</v>
      </c>
      <c r="C474" s="375">
        <v>11000</v>
      </c>
      <c r="D474" s="376">
        <v>3688.43</v>
      </c>
      <c r="E474" s="91">
        <v>0</v>
      </c>
      <c r="F474" s="292">
        <f>100-100+300-300</f>
        <v>0</v>
      </c>
      <c r="G474" s="300">
        <f t="shared" si="84"/>
        <v>0</v>
      </c>
      <c r="H474" s="91">
        <f>300-300</f>
        <v>0</v>
      </c>
      <c r="I474" s="292">
        <f t="shared" si="85"/>
        <v>0</v>
      </c>
      <c r="J474" s="292">
        <f t="shared" si="86"/>
        <v>0</v>
      </c>
      <c r="K474" s="293">
        <f t="shared" si="87"/>
        <v>0</v>
      </c>
      <c r="L474" s="215"/>
    </row>
    <row r="475" spans="1:18" x14ac:dyDescent="0.25">
      <c r="A475" s="377">
        <v>21</v>
      </c>
      <c r="B475" s="380" t="s">
        <v>831</v>
      </c>
      <c r="C475" s="375">
        <v>48000</v>
      </c>
      <c r="D475" s="376">
        <v>13674</v>
      </c>
      <c r="E475" s="91">
        <v>44</v>
      </c>
      <c r="F475" s="292">
        <f>3000-3000</f>
        <v>0</v>
      </c>
      <c r="G475" s="300">
        <f t="shared" si="84"/>
        <v>44</v>
      </c>
      <c r="H475" s="91">
        <f>200-200+6-6</f>
        <v>0</v>
      </c>
      <c r="I475" s="292">
        <f t="shared" si="85"/>
        <v>44</v>
      </c>
      <c r="J475" s="292">
        <f t="shared" si="86"/>
        <v>2112000</v>
      </c>
      <c r="K475" s="293">
        <f t="shared" si="87"/>
        <v>601656</v>
      </c>
      <c r="L475" s="215"/>
      <c r="M475" s="170" t="s">
        <v>844</v>
      </c>
      <c r="N475" s="40">
        <v>200</v>
      </c>
      <c r="O475" s="40">
        <v>6</v>
      </c>
      <c r="Q475" s="181">
        <v>100</v>
      </c>
    </row>
    <row r="476" spans="1:18" x14ac:dyDescent="0.25">
      <c r="A476" s="377">
        <v>22</v>
      </c>
      <c r="B476" s="380" t="s">
        <v>832</v>
      </c>
      <c r="C476" s="375">
        <v>30000</v>
      </c>
      <c r="D476" s="61">
        <v>15262.5</v>
      </c>
      <c r="E476" s="91">
        <v>625</v>
      </c>
      <c r="F476" s="292">
        <f>3000-3000</f>
        <v>0</v>
      </c>
      <c r="G476" s="300">
        <f t="shared" si="84"/>
        <v>625</v>
      </c>
      <c r="H476" s="91">
        <f>10+50+50+9-119+6-6</f>
        <v>0</v>
      </c>
      <c r="I476" s="292">
        <f t="shared" si="85"/>
        <v>625</v>
      </c>
      <c r="J476" s="292">
        <f t="shared" si="86"/>
        <v>18750000</v>
      </c>
      <c r="K476" s="293">
        <f t="shared" si="87"/>
        <v>9539062.5</v>
      </c>
      <c r="L476" s="227" t="s">
        <v>1001</v>
      </c>
      <c r="O476" s="40">
        <v>6</v>
      </c>
      <c r="Q476" s="181">
        <v>50</v>
      </c>
      <c r="R476" s="187">
        <v>9</v>
      </c>
    </row>
    <row r="477" spans="1:18" x14ac:dyDescent="0.25">
      <c r="A477" s="377">
        <v>23</v>
      </c>
      <c r="B477" s="380" t="s">
        <v>834</v>
      </c>
      <c r="C477" s="375">
        <v>18000</v>
      </c>
      <c r="D477" s="376">
        <v>9172.8799999999992</v>
      </c>
      <c r="E477" s="91">
        <v>100</v>
      </c>
      <c r="F477" s="292">
        <f>2000-2000</f>
        <v>0</v>
      </c>
      <c r="G477" s="300">
        <f t="shared" si="84"/>
        <v>100</v>
      </c>
      <c r="H477" s="91">
        <f>600-600</f>
        <v>0</v>
      </c>
      <c r="I477" s="292">
        <f t="shared" si="85"/>
        <v>100</v>
      </c>
      <c r="J477" s="292">
        <f t="shared" si="86"/>
        <v>1800000</v>
      </c>
      <c r="K477" s="293">
        <f t="shared" si="87"/>
        <v>917287.99999999988</v>
      </c>
      <c r="L477" s="215"/>
      <c r="M477" s="170" t="s">
        <v>845</v>
      </c>
      <c r="N477" s="40">
        <v>600</v>
      </c>
      <c r="Q477" s="181">
        <v>100</v>
      </c>
    </row>
    <row r="478" spans="1:18" x14ac:dyDescent="0.25">
      <c r="A478" s="377">
        <v>24</v>
      </c>
      <c r="B478" s="380" t="s">
        <v>837</v>
      </c>
      <c r="C478" s="375">
        <v>30000</v>
      </c>
      <c r="D478" s="263">
        <v>6019</v>
      </c>
      <c r="E478" s="91">
        <v>0</v>
      </c>
      <c r="F478" s="292">
        <f>2000-2000</f>
        <v>0</v>
      </c>
      <c r="G478" s="300">
        <f t="shared" si="84"/>
        <v>0</v>
      </c>
      <c r="H478" s="91">
        <f>1950-50+100-2000</f>
        <v>0</v>
      </c>
      <c r="I478" s="292">
        <f t="shared" si="85"/>
        <v>0</v>
      </c>
      <c r="J478" s="292">
        <f t="shared" si="86"/>
        <v>0</v>
      </c>
      <c r="K478" s="293">
        <f t="shared" si="87"/>
        <v>0</v>
      </c>
      <c r="L478" s="215"/>
      <c r="M478" s="40" t="s">
        <v>851</v>
      </c>
      <c r="Q478" s="181">
        <v>100</v>
      </c>
    </row>
    <row r="479" spans="1:18" x14ac:dyDescent="0.25">
      <c r="A479" s="377">
        <v>25</v>
      </c>
      <c r="B479" s="381" t="s">
        <v>857</v>
      </c>
      <c r="C479" s="382">
        <v>11000</v>
      </c>
      <c r="D479" s="300">
        <v>3688.43</v>
      </c>
      <c r="E479" s="91">
        <v>0</v>
      </c>
      <c r="F479" s="292">
        <f>10-10</f>
        <v>0</v>
      </c>
      <c r="G479" s="300">
        <f t="shared" ref="G479:G486" si="88">+E479+F479</f>
        <v>0</v>
      </c>
      <c r="H479" s="91">
        <f>10-10</f>
        <v>0</v>
      </c>
      <c r="I479" s="292">
        <f t="shared" si="85"/>
        <v>0</v>
      </c>
      <c r="J479" s="292">
        <f t="shared" si="86"/>
        <v>0</v>
      </c>
      <c r="K479" s="293">
        <f t="shared" si="87"/>
        <v>0</v>
      </c>
      <c r="L479" s="215"/>
      <c r="Q479" s="181"/>
    </row>
    <row r="480" spans="1:18" x14ac:dyDescent="0.25">
      <c r="A480" s="377">
        <v>26</v>
      </c>
      <c r="B480" s="381" t="s">
        <v>858</v>
      </c>
      <c r="C480" s="382">
        <v>10000</v>
      </c>
      <c r="D480" s="300">
        <v>4238.43</v>
      </c>
      <c r="E480" s="91">
        <v>0</v>
      </c>
      <c r="F480" s="292">
        <f>110-110+50-50</f>
        <v>0</v>
      </c>
      <c r="G480" s="300">
        <f t="shared" si="88"/>
        <v>0</v>
      </c>
      <c r="H480" s="91">
        <f>110-110+50-50</f>
        <v>0</v>
      </c>
      <c r="I480" s="292">
        <f t="shared" si="85"/>
        <v>0</v>
      </c>
      <c r="J480" s="292">
        <f t="shared" si="86"/>
        <v>0</v>
      </c>
      <c r="K480" s="293">
        <f t="shared" si="87"/>
        <v>0</v>
      </c>
      <c r="L480" s="215"/>
      <c r="N480" s="40" t="s">
        <v>876</v>
      </c>
      <c r="Q480" s="181"/>
    </row>
    <row r="481" spans="1:17" x14ac:dyDescent="0.25">
      <c r="A481" s="377">
        <v>27</v>
      </c>
      <c r="B481" s="381" t="s">
        <v>859</v>
      </c>
      <c r="C481" s="382">
        <v>10000</v>
      </c>
      <c r="D481" s="300">
        <v>3088.43</v>
      </c>
      <c r="E481" s="91">
        <v>0</v>
      </c>
      <c r="F481" s="292">
        <f>60-60</f>
        <v>0</v>
      </c>
      <c r="G481" s="300">
        <f t="shared" si="88"/>
        <v>0</v>
      </c>
      <c r="H481" s="91">
        <f>60-60</f>
        <v>0</v>
      </c>
      <c r="I481" s="292">
        <f t="shared" si="85"/>
        <v>0</v>
      </c>
      <c r="J481" s="292">
        <f t="shared" si="86"/>
        <v>0</v>
      </c>
      <c r="K481" s="293">
        <f t="shared" si="87"/>
        <v>0</v>
      </c>
      <c r="L481" s="215"/>
      <c r="Q481" s="181"/>
    </row>
    <row r="482" spans="1:17" x14ac:dyDescent="0.25">
      <c r="A482" s="377">
        <v>28</v>
      </c>
      <c r="B482" s="381" t="s">
        <v>860</v>
      </c>
      <c r="C482" s="382">
        <v>9000</v>
      </c>
      <c r="D482" s="383">
        <v>3374.6</v>
      </c>
      <c r="E482" s="91">
        <v>0</v>
      </c>
      <c r="F482" s="292">
        <f>1000-1000</f>
        <v>0</v>
      </c>
      <c r="G482" s="300">
        <f t="shared" si="88"/>
        <v>0</v>
      </c>
      <c r="H482" s="91">
        <f>1000-1000</f>
        <v>0</v>
      </c>
      <c r="I482" s="292">
        <f t="shared" si="85"/>
        <v>0</v>
      </c>
      <c r="J482" s="292">
        <f t="shared" si="86"/>
        <v>0</v>
      </c>
      <c r="K482" s="293">
        <f t="shared" si="87"/>
        <v>0</v>
      </c>
      <c r="L482" s="215"/>
      <c r="Q482" s="181"/>
    </row>
    <row r="483" spans="1:17" x14ac:dyDescent="0.25">
      <c r="A483" s="384">
        <v>29</v>
      </c>
      <c r="B483" s="381" t="s">
        <v>862</v>
      </c>
      <c r="C483" s="382">
        <v>13000</v>
      </c>
      <c r="D483" s="300">
        <v>5970.25</v>
      </c>
      <c r="E483" s="91">
        <v>0</v>
      </c>
      <c r="F483" s="292">
        <f>1000+800-1800</f>
        <v>0</v>
      </c>
      <c r="G483" s="300">
        <f t="shared" si="88"/>
        <v>0</v>
      </c>
      <c r="H483" s="91">
        <f>1000+800-1800</f>
        <v>0</v>
      </c>
      <c r="I483" s="292">
        <f t="shared" si="85"/>
        <v>0</v>
      </c>
      <c r="J483" s="292">
        <f t="shared" si="86"/>
        <v>0</v>
      </c>
      <c r="K483" s="293">
        <f t="shared" si="87"/>
        <v>0</v>
      </c>
      <c r="L483" s="215"/>
      <c r="O483" s="40">
        <v>800</v>
      </c>
      <c r="Q483" s="181"/>
    </row>
    <row r="484" spans="1:17" x14ac:dyDescent="0.25">
      <c r="A484" s="384">
        <v>30</v>
      </c>
      <c r="B484" s="381" t="s">
        <v>872</v>
      </c>
      <c r="C484" s="382">
        <v>27000</v>
      </c>
      <c r="D484" s="263">
        <v>4737</v>
      </c>
      <c r="E484" s="91">
        <v>50</v>
      </c>
      <c r="F484" s="292">
        <f>3000-3000</f>
        <v>0</v>
      </c>
      <c r="G484" s="300">
        <f t="shared" si="88"/>
        <v>50</v>
      </c>
      <c r="H484" s="91">
        <f>2400+50+500-2950</f>
        <v>0</v>
      </c>
      <c r="I484" s="292">
        <f t="shared" si="85"/>
        <v>50</v>
      </c>
      <c r="J484" s="292">
        <f t="shared" si="86"/>
        <v>1350000</v>
      </c>
      <c r="K484" s="293">
        <f t="shared" si="87"/>
        <v>236850</v>
      </c>
      <c r="L484" s="215"/>
      <c r="N484" s="40">
        <v>2400</v>
      </c>
      <c r="O484" s="40">
        <v>50</v>
      </c>
      <c r="P484" s="40">
        <v>500</v>
      </c>
      <c r="Q484" s="181"/>
    </row>
    <row r="485" spans="1:17" x14ac:dyDescent="0.25">
      <c r="A485" s="384">
        <v>31</v>
      </c>
      <c r="B485" s="381" t="s">
        <v>413</v>
      </c>
      <c r="C485" s="382">
        <v>13000</v>
      </c>
      <c r="D485" s="300">
        <v>8755.25</v>
      </c>
      <c r="E485" s="91">
        <v>0</v>
      </c>
      <c r="F485" s="292">
        <f>1000-1000</f>
        <v>0</v>
      </c>
      <c r="G485" s="300">
        <f t="shared" si="88"/>
        <v>0</v>
      </c>
      <c r="H485" s="91">
        <f>1000-1000</f>
        <v>0</v>
      </c>
      <c r="I485" s="292">
        <f t="shared" si="85"/>
        <v>0</v>
      </c>
      <c r="J485" s="292">
        <f t="shared" si="86"/>
        <v>0</v>
      </c>
      <c r="K485" s="293">
        <f t="shared" si="87"/>
        <v>0</v>
      </c>
      <c r="L485" s="215"/>
      <c r="Q485" s="181"/>
    </row>
    <row r="486" spans="1:17" ht="15.75" thickBot="1" x14ac:dyDescent="0.3">
      <c r="A486" s="385">
        <v>32</v>
      </c>
      <c r="B486" s="381" t="s">
        <v>898</v>
      </c>
      <c r="C486" s="386">
        <v>3000</v>
      </c>
      <c r="D486" s="295">
        <v>2750</v>
      </c>
      <c r="E486" s="386">
        <v>0</v>
      </c>
      <c r="F486" s="292">
        <f>1000-1000</f>
        <v>0</v>
      </c>
      <c r="G486" s="300">
        <f t="shared" si="88"/>
        <v>0</v>
      </c>
      <c r="H486" s="386">
        <f>1000-1000</f>
        <v>0</v>
      </c>
      <c r="I486" s="292">
        <f t="shared" si="85"/>
        <v>0</v>
      </c>
      <c r="J486" s="292">
        <f t="shared" si="86"/>
        <v>0</v>
      </c>
      <c r="K486" s="293">
        <f t="shared" si="87"/>
        <v>0</v>
      </c>
      <c r="L486" s="215"/>
    </row>
    <row r="487" spans="1:17" ht="15.75" thickBot="1" x14ac:dyDescent="0.3">
      <c r="A487" s="313"/>
      <c r="B487" s="96" t="s">
        <v>726</v>
      </c>
      <c r="C487" s="296"/>
      <c r="D487" s="296"/>
      <c r="E487" s="97">
        <f t="shared" ref="E487:K487" si="89">SUM(E455:E486)</f>
        <v>3159</v>
      </c>
      <c r="F487" s="97">
        <f t="shared" si="89"/>
        <v>0</v>
      </c>
      <c r="G487" s="97">
        <f t="shared" si="89"/>
        <v>3159</v>
      </c>
      <c r="H487" s="97">
        <f t="shared" si="89"/>
        <v>0</v>
      </c>
      <c r="I487" s="97">
        <f t="shared" si="89"/>
        <v>3159</v>
      </c>
      <c r="J487" s="97">
        <f t="shared" si="89"/>
        <v>50046000</v>
      </c>
      <c r="K487" s="297">
        <f t="shared" si="89"/>
        <v>18510806.939999998</v>
      </c>
      <c r="L487" s="151"/>
    </row>
    <row r="488" spans="1:17" ht="15.75" thickBot="1" x14ac:dyDescent="0.3">
      <c r="A488" s="298"/>
      <c r="B488" s="298"/>
      <c r="C488" s="298"/>
      <c r="D488" s="298"/>
      <c r="E488" s="298"/>
      <c r="F488" s="298"/>
      <c r="G488" s="298"/>
      <c r="H488" s="298"/>
      <c r="I488" s="298"/>
      <c r="J488" s="298"/>
      <c r="K488" s="298"/>
    </row>
    <row r="489" spans="1:17" ht="15.75" thickBot="1" x14ac:dyDescent="0.3">
      <c r="A489" s="418" t="s">
        <v>653</v>
      </c>
      <c r="B489" s="421" t="s">
        <v>704</v>
      </c>
      <c r="C489" s="421" t="s">
        <v>1</v>
      </c>
      <c r="D489" s="422" t="s">
        <v>645</v>
      </c>
      <c r="E489" s="423" t="s">
        <v>19</v>
      </c>
      <c r="F489" s="423"/>
      <c r="G489" s="423"/>
      <c r="H489" s="423"/>
      <c r="I489" s="423"/>
      <c r="J489" s="416" t="s">
        <v>20</v>
      </c>
      <c r="K489" s="418" t="s">
        <v>598</v>
      </c>
      <c r="L489" s="213"/>
    </row>
    <row r="490" spans="1:17" ht="30.75" thickBot="1" x14ac:dyDescent="0.3">
      <c r="A490" s="420"/>
      <c r="B490" s="421"/>
      <c r="C490" s="421"/>
      <c r="D490" s="422"/>
      <c r="E490" s="272" t="s">
        <v>21</v>
      </c>
      <c r="F490" s="272" t="s">
        <v>596</v>
      </c>
      <c r="G490" s="272" t="s">
        <v>597</v>
      </c>
      <c r="H490" s="272" t="s">
        <v>585</v>
      </c>
      <c r="I490" s="272" t="s">
        <v>597</v>
      </c>
      <c r="J490" s="417"/>
      <c r="K490" s="419"/>
      <c r="L490" s="213"/>
    </row>
    <row r="491" spans="1:17" ht="15.75" thickBot="1" x14ac:dyDescent="0.3">
      <c r="A491" s="419"/>
      <c r="B491" s="273">
        <v>1</v>
      </c>
      <c r="C491" s="273">
        <v>2</v>
      </c>
      <c r="D491" s="273">
        <v>3</v>
      </c>
      <c r="E491" s="274">
        <v>4</v>
      </c>
      <c r="F491" s="274">
        <f>+E491+1</f>
        <v>5</v>
      </c>
      <c r="G491" s="274" t="s">
        <v>648</v>
      </c>
      <c r="H491" s="274">
        <v>7</v>
      </c>
      <c r="I491" s="275" t="s">
        <v>647</v>
      </c>
      <c r="J491" s="287" t="s">
        <v>646</v>
      </c>
      <c r="K491" s="287" t="s">
        <v>649</v>
      </c>
      <c r="L491" s="214"/>
    </row>
    <row r="492" spans="1:17" x14ac:dyDescent="0.25">
      <c r="A492" s="288"/>
      <c r="B492" s="276" t="s">
        <v>908</v>
      </c>
      <c r="C492" s="288"/>
      <c r="D492" s="288"/>
      <c r="E492" s="288"/>
      <c r="F492" s="288"/>
      <c r="G492" s="288"/>
      <c r="H492" s="288"/>
      <c r="I492" s="288"/>
      <c r="J492" s="288"/>
      <c r="K492" s="288"/>
      <c r="L492" s="114"/>
    </row>
    <row r="493" spans="1:17" x14ac:dyDescent="0.25">
      <c r="A493" s="279">
        <v>1</v>
      </c>
      <c r="B493" s="285" t="s">
        <v>918</v>
      </c>
      <c r="C493" s="62">
        <v>14000</v>
      </c>
      <c r="D493" s="265">
        <v>3845</v>
      </c>
      <c r="E493" s="62">
        <v>300</v>
      </c>
      <c r="F493" s="289">
        <f>4000-4000</f>
        <v>0</v>
      </c>
      <c r="G493" s="289">
        <f t="shared" ref="G493:G512" si="90">+E493+F493</f>
        <v>300</v>
      </c>
      <c r="H493" s="289">
        <f>2300+500+100-2900+30-30+500-500+270-270</f>
        <v>0</v>
      </c>
      <c r="I493" s="251">
        <f t="shared" ref="I493:I512" si="91">+G493-H493</f>
        <v>300</v>
      </c>
      <c r="J493" s="251">
        <f t="shared" ref="J493:J512" si="92">I493*C493</f>
        <v>4200000</v>
      </c>
      <c r="K493" s="290">
        <f t="shared" ref="K493:K512" si="93">+D493*I493</f>
        <v>1153500</v>
      </c>
      <c r="L493" s="250" t="s">
        <v>994</v>
      </c>
      <c r="M493" s="183" t="s">
        <v>1032</v>
      </c>
    </row>
    <row r="494" spans="1:17" x14ac:dyDescent="0.25">
      <c r="A494" s="279">
        <v>2</v>
      </c>
      <c r="B494" s="61" t="s">
        <v>919</v>
      </c>
      <c r="C494" s="62">
        <v>15000</v>
      </c>
      <c r="D494" s="266">
        <v>8823</v>
      </c>
      <c r="E494" s="62">
        <v>300</v>
      </c>
      <c r="F494" s="289">
        <f>4000-4000</f>
        <v>0</v>
      </c>
      <c r="G494" s="289">
        <f t="shared" si="90"/>
        <v>300</v>
      </c>
      <c r="H494" s="289">
        <f>2300+500+100-2900+30-30+500-500+270-270</f>
        <v>0</v>
      </c>
      <c r="I494" s="251">
        <f t="shared" si="91"/>
        <v>300</v>
      </c>
      <c r="J494" s="251">
        <f t="shared" si="92"/>
        <v>4500000</v>
      </c>
      <c r="K494" s="290">
        <f t="shared" si="93"/>
        <v>2646900</v>
      </c>
      <c r="L494" s="250" t="s">
        <v>994</v>
      </c>
      <c r="M494" s="205" t="s">
        <v>1032</v>
      </c>
      <c r="N494" s="174"/>
      <c r="O494" s="53"/>
    </row>
    <row r="495" spans="1:17" x14ac:dyDescent="0.25">
      <c r="A495" s="279">
        <v>3</v>
      </c>
      <c r="B495" s="352" t="s">
        <v>939</v>
      </c>
      <c r="C495" s="62">
        <v>25000</v>
      </c>
      <c r="D495" s="387">
        <v>6287.48</v>
      </c>
      <c r="E495" s="62">
        <v>800</v>
      </c>
      <c r="F495" s="289">
        <f>3000-3000</f>
        <v>0</v>
      </c>
      <c r="G495" s="289">
        <f t="shared" si="90"/>
        <v>800</v>
      </c>
      <c r="H495" s="289">
        <f>2100+100-2200</f>
        <v>0</v>
      </c>
      <c r="I495" s="251">
        <f t="shared" si="91"/>
        <v>800</v>
      </c>
      <c r="J495" s="251">
        <f t="shared" si="92"/>
        <v>20000000</v>
      </c>
      <c r="K495" s="290">
        <f t="shared" si="93"/>
        <v>5029984</v>
      </c>
      <c r="L495" s="227" t="s">
        <v>991</v>
      </c>
      <c r="N495" s="53">
        <v>100</v>
      </c>
      <c r="O495" s="53"/>
    </row>
    <row r="496" spans="1:17" x14ac:dyDescent="0.25">
      <c r="A496" s="279">
        <v>4</v>
      </c>
      <c r="B496" s="61" t="s">
        <v>964</v>
      </c>
      <c r="C496" s="62">
        <v>13000</v>
      </c>
      <c r="D496" s="310">
        <v>5613.88</v>
      </c>
      <c r="E496" s="62">
        <v>0</v>
      </c>
      <c r="F496" s="289">
        <f>2000-2000</f>
        <v>0</v>
      </c>
      <c r="G496" s="289">
        <f t="shared" si="90"/>
        <v>0</v>
      </c>
      <c r="H496" s="289">
        <f>1700+250-1950+50-50</f>
        <v>0</v>
      </c>
      <c r="I496" s="251">
        <f t="shared" si="91"/>
        <v>0</v>
      </c>
      <c r="J496" s="251">
        <f t="shared" si="92"/>
        <v>0</v>
      </c>
      <c r="K496" s="290">
        <f t="shared" si="93"/>
        <v>0</v>
      </c>
      <c r="L496" s="227" t="s">
        <v>993</v>
      </c>
      <c r="M496" s="233" t="s">
        <v>1034</v>
      </c>
      <c r="N496" s="53"/>
      <c r="O496" s="53"/>
    </row>
    <row r="497" spans="1:18" x14ac:dyDescent="0.25">
      <c r="A497" s="279">
        <v>5</v>
      </c>
      <c r="B497" s="61" t="s">
        <v>967</v>
      </c>
      <c r="C497" s="62">
        <v>8000</v>
      </c>
      <c r="D497" s="310">
        <v>5546.9</v>
      </c>
      <c r="E497" s="62">
        <v>50</v>
      </c>
      <c r="F497" s="289">
        <f>2000-2000</f>
        <v>0</v>
      </c>
      <c r="G497" s="289">
        <f t="shared" si="90"/>
        <v>50</v>
      </c>
      <c r="H497" s="289">
        <f>(1700+10-1710+190-190)+50-50</f>
        <v>0</v>
      </c>
      <c r="I497" s="251">
        <f t="shared" si="91"/>
        <v>50</v>
      </c>
      <c r="J497" s="251">
        <f t="shared" si="92"/>
        <v>400000</v>
      </c>
      <c r="K497" s="290">
        <f t="shared" si="93"/>
        <v>277345</v>
      </c>
      <c r="L497" s="227" t="s">
        <v>992</v>
      </c>
      <c r="M497" s="232" t="s">
        <v>1033</v>
      </c>
      <c r="N497" s="53"/>
      <c r="O497" s="53"/>
    </row>
    <row r="498" spans="1:18" x14ac:dyDescent="0.25">
      <c r="A498" s="279">
        <v>6</v>
      </c>
      <c r="B498" s="61" t="s">
        <v>970</v>
      </c>
      <c r="C498" s="62">
        <v>132000</v>
      </c>
      <c r="D498" s="308">
        <v>28738</v>
      </c>
      <c r="E498" s="62">
        <v>240</v>
      </c>
      <c r="F498" s="289">
        <f>300+200+300+200+300+400+300+500+500-3000</f>
        <v>0</v>
      </c>
      <c r="G498" s="289">
        <f t="shared" si="90"/>
        <v>240</v>
      </c>
      <c r="H498" s="289">
        <f>(100+2600-2700+10-10)+50-50</f>
        <v>0</v>
      </c>
      <c r="I498" s="251">
        <f t="shared" si="91"/>
        <v>240</v>
      </c>
      <c r="J498" s="251">
        <f t="shared" si="92"/>
        <v>31680000</v>
      </c>
      <c r="K498" s="290">
        <f t="shared" si="93"/>
        <v>6897120</v>
      </c>
      <c r="L498" s="228" t="s">
        <v>995</v>
      </c>
      <c r="M498" s="207"/>
      <c r="N498" s="53">
        <v>100</v>
      </c>
      <c r="O498" s="210" t="s">
        <v>974</v>
      </c>
    </row>
    <row r="499" spans="1:18" x14ac:dyDescent="0.25">
      <c r="A499" s="279">
        <v>7</v>
      </c>
      <c r="B499" s="61" t="s">
        <v>982</v>
      </c>
      <c r="C499" s="62">
        <v>15000</v>
      </c>
      <c r="D499" s="265">
        <v>5080.62</v>
      </c>
      <c r="E499" s="62">
        <v>300</v>
      </c>
      <c r="F499" s="289">
        <f>3000-3000</f>
        <v>0</v>
      </c>
      <c r="G499" s="289">
        <f t="shared" si="90"/>
        <v>300</v>
      </c>
      <c r="H499" s="289">
        <f>(1000+1550-2550)+50-50+100-100</f>
        <v>0</v>
      </c>
      <c r="I499" s="251">
        <f t="shared" si="91"/>
        <v>300</v>
      </c>
      <c r="J499" s="251">
        <f t="shared" si="92"/>
        <v>4500000</v>
      </c>
      <c r="K499" s="290">
        <f t="shared" si="93"/>
        <v>1524186</v>
      </c>
      <c r="L499" s="227" t="s">
        <v>990</v>
      </c>
      <c r="M499" s="40">
        <v>1000</v>
      </c>
      <c r="N499" s="156">
        <v>1550</v>
      </c>
    </row>
    <row r="500" spans="1:18" x14ac:dyDescent="0.25">
      <c r="A500" s="279">
        <v>8</v>
      </c>
      <c r="B500" s="61" t="s">
        <v>985</v>
      </c>
      <c r="C500" s="62">
        <v>15000</v>
      </c>
      <c r="D500" s="264">
        <v>6674</v>
      </c>
      <c r="E500" s="62">
        <v>250</v>
      </c>
      <c r="F500" s="289">
        <f>3000-3000</f>
        <v>0</v>
      </c>
      <c r="G500" s="289">
        <f t="shared" si="90"/>
        <v>250</v>
      </c>
      <c r="H500" s="289">
        <f>200+2350-2550+200-200</f>
        <v>0</v>
      </c>
      <c r="I500" s="251">
        <f t="shared" si="91"/>
        <v>250</v>
      </c>
      <c r="J500" s="251">
        <f t="shared" si="92"/>
        <v>3750000</v>
      </c>
      <c r="K500" s="290">
        <f t="shared" si="93"/>
        <v>1668500</v>
      </c>
      <c r="L500" s="227" t="s">
        <v>990</v>
      </c>
      <c r="M500" s="40">
        <v>200</v>
      </c>
      <c r="N500" s="156">
        <v>2350</v>
      </c>
    </row>
    <row r="501" spans="1:18" x14ac:dyDescent="0.25">
      <c r="A501" s="279">
        <v>9</v>
      </c>
      <c r="B501" s="61" t="s">
        <v>986</v>
      </c>
      <c r="C501" s="62">
        <v>13000</v>
      </c>
      <c r="D501" s="263">
        <v>4736.6000000000004</v>
      </c>
      <c r="E501" s="62">
        <v>200</v>
      </c>
      <c r="F501" s="289">
        <f>3000-3000</f>
        <v>0</v>
      </c>
      <c r="G501" s="289">
        <f t="shared" si="90"/>
        <v>200</v>
      </c>
      <c r="H501" s="289">
        <f>(200+2350-2550+200-200)+50-50</f>
        <v>0</v>
      </c>
      <c r="I501" s="251">
        <f t="shared" si="91"/>
        <v>200</v>
      </c>
      <c r="J501" s="251">
        <f t="shared" si="92"/>
        <v>2600000</v>
      </c>
      <c r="K501" s="290">
        <f t="shared" si="93"/>
        <v>947320.00000000012</v>
      </c>
      <c r="L501" s="227" t="s">
        <v>990</v>
      </c>
      <c r="M501" s="40">
        <v>200</v>
      </c>
      <c r="N501" s="156">
        <v>2350</v>
      </c>
    </row>
    <row r="502" spans="1:18" x14ac:dyDescent="0.25">
      <c r="A502" s="279">
        <v>10</v>
      </c>
      <c r="B502" s="61" t="s">
        <v>1028</v>
      </c>
      <c r="C502" s="62">
        <v>14000</v>
      </c>
      <c r="D502" s="263">
        <v>4804.93</v>
      </c>
      <c r="E502" s="62">
        <v>150</v>
      </c>
      <c r="F502" s="289">
        <f>3000-3000</f>
        <v>0</v>
      </c>
      <c r="G502" s="289">
        <f t="shared" si="90"/>
        <v>150</v>
      </c>
      <c r="H502" s="289">
        <f>(2450+50-2500+100-100+200-200)+50-50</f>
        <v>0</v>
      </c>
      <c r="I502" s="251">
        <f t="shared" si="91"/>
        <v>150</v>
      </c>
      <c r="J502" s="251">
        <f t="shared" si="92"/>
        <v>2100000</v>
      </c>
      <c r="K502" s="290">
        <f t="shared" si="93"/>
        <v>720739.5</v>
      </c>
      <c r="L502" s="227" t="s">
        <v>1046</v>
      </c>
      <c r="M502" s="40" t="s">
        <v>1042</v>
      </c>
    </row>
    <row r="503" spans="1:18" x14ac:dyDescent="0.25">
      <c r="A503" s="279">
        <v>11</v>
      </c>
      <c r="B503" s="61" t="s">
        <v>1030</v>
      </c>
      <c r="C503" s="62">
        <v>10000</v>
      </c>
      <c r="D503" s="263">
        <v>4366.17</v>
      </c>
      <c r="E503" s="62">
        <v>150</v>
      </c>
      <c r="F503" s="289">
        <f>3000-3000</f>
        <v>0</v>
      </c>
      <c r="G503" s="289">
        <f t="shared" si="90"/>
        <v>150</v>
      </c>
      <c r="H503" s="289">
        <f>(1000+1700-2700)+50-50+100-100</f>
        <v>0</v>
      </c>
      <c r="I503" s="251">
        <f t="shared" si="91"/>
        <v>150</v>
      </c>
      <c r="J503" s="251">
        <f t="shared" si="92"/>
        <v>1500000</v>
      </c>
      <c r="K503" s="290">
        <f t="shared" si="93"/>
        <v>654925.5</v>
      </c>
      <c r="L503" s="194"/>
      <c r="M503" s="178"/>
    </row>
    <row r="504" spans="1:18" x14ac:dyDescent="0.25">
      <c r="A504" s="279">
        <v>12</v>
      </c>
      <c r="B504" s="61" t="s">
        <v>1155</v>
      </c>
      <c r="C504" s="62">
        <v>15000</v>
      </c>
      <c r="D504" s="388">
        <v>5454</v>
      </c>
      <c r="E504" s="62">
        <v>320</v>
      </c>
      <c r="F504" s="289">
        <f>2000-2000</f>
        <v>0</v>
      </c>
      <c r="G504" s="289">
        <f t="shared" si="90"/>
        <v>320</v>
      </c>
      <c r="H504" s="289">
        <f>(1120+410+100-1630)+50-50</f>
        <v>0</v>
      </c>
      <c r="I504" s="251">
        <f t="shared" si="91"/>
        <v>320</v>
      </c>
      <c r="J504" s="251">
        <f t="shared" si="92"/>
        <v>4800000</v>
      </c>
      <c r="K504" s="290">
        <f t="shared" si="93"/>
        <v>1745280</v>
      </c>
      <c r="L504" s="215"/>
      <c r="M504" s="254" t="s">
        <v>1159</v>
      </c>
      <c r="O504" t="s">
        <v>1172</v>
      </c>
    </row>
    <row r="505" spans="1:18" x14ac:dyDescent="0.25">
      <c r="A505" s="279">
        <v>13</v>
      </c>
      <c r="B505" s="61" t="s">
        <v>1164</v>
      </c>
      <c r="C505" s="62">
        <v>14000</v>
      </c>
      <c r="D505" s="263">
        <v>5952</v>
      </c>
      <c r="E505" s="62">
        <v>0</v>
      </c>
      <c r="F505" s="289">
        <f>1000-1000</f>
        <v>0</v>
      </c>
      <c r="G505" s="289">
        <f t="shared" si="90"/>
        <v>0</v>
      </c>
      <c r="H505" s="289">
        <f>(950-950)+50-50</f>
        <v>0</v>
      </c>
      <c r="I505" s="251">
        <f t="shared" si="91"/>
        <v>0</v>
      </c>
      <c r="J505" s="251">
        <f t="shared" si="92"/>
        <v>0</v>
      </c>
      <c r="K505" s="290">
        <f t="shared" si="93"/>
        <v>0</v>
      </c>
      <c r="L505" s="215"/>
    </row>
    <row r="506" spans="1:18" x14ac:dyDescent="0.25">
      <c r="A506" s="279">
        <v>14</v>
      </c>
      <c r="B506" s="61" t="s">
        <v>1178</v>
      </c>
      <c r="C506" s="62">
        <v>17000</v>
      </c>
      <c r="D506" s="389">
        <v>5768</v>
      </c>
      <c r="E506" s="62">
        <v>275</v>
      </c>
      <c r="F506" s="289">
        <f>2000-2000</f>
        <v>0</v>
      </c>
      <c r="G506" s="289">
        <f t="shared" si="90"/>
        <v>275</v>
      </c>
      <c r="H506" s="289">
        <f>1600+100-1700+25-25</f>
        <v>0</v>
      </c>
      <c r="I506" s="251">
        <f t="shared" si="91"/>
        <v>275</v>
      </c>
      <c r="J506" s="251">
        <f t="shared" si="92"/>
        <v>4675000</v>
      </c>
      <c r="K506" s="290">
        <f t="shared" si="93"/>
        <v>1586200</v>
      </c>
      <c r="L506" s="215"/>
      <c r="M506" t="s">
        <v>1192</v>
      </c>
    </row>
    <row r="507" spans="1:18" x14ac:dyDescent="0.25">
      <c r="A507" s="279">
        <v>15</v>
      </c>
      <c r="B507" s="61" t="s">
        <v>1189</v>
      </c>
      <c r="C507" s="62">
        <v>10000</v>
      </c>
      <c r="D507" s="310">
        <v>0</v>
      </c>
      <c r="E507" s="62">
        <v>0</v>
      </c>
      <c r="F507" s="289">
        <f>3000-3000</f>
        <v>0</v>
      </c>
      <c r="G507" s="289">
        <f t="shared" si="90"/>
        <v>0</v>
      </c>
      <c r="H507" s="289">
        <f>3000-3000</f>
        <v>0</v>
      </c>
      <c r="I507" s="251">
        <f t="shared" si="91"/>
        <v>0</v>
      </c>
      <c r="J507" s="251">
        <f t="shared" si="92"/>
        <v>0</v>
      </c>
      <c r="K507" s="290">
        <f t="shared" si="93"/>
        <v>0</v>
      </c>
      <c r="L507" s="194"/>
      <c r="M507" s="183"/>
      <c r="R507" s="162"/>
    </row>
    <row r="508" spans="1:18" x14ac:dyDescent="0.25">
      <c r="A508" s="279">
        <v>16</v>
      </c>
      <c r="B508" s="61" t="s">
        <v>1216</v>
      </c>
      <c r="C508" s="62">
        <v>10000</v>
      </c>
      <c r="D508" s="310">
        <v>0</v>
      </c>
      <c r="E508" s="62">
        <v>0</v>
      </c>
      <c r="F508" s="289">
        <f>300-300</f>
        <v>0</v>
      </c>
      <c r="G508" s="289">
        <f t="shared" si="90"/>
        <v>0</v>
      </c>
      <c r="H508" s="289">
        <f>100+100+100-300</f>
        <v>0</v>
      </c>
      <c r="I508" s="251">
        <f t="shared" si="91"/>
        <v>0</v>
      </c>
      <c r="J508" s="251">
        <f t="shared" si="92"/>
        <v>0</v>
      </c>
      <c r="K508" s="290">
        <f t="shared" si="93"/>
        <v>0</v>
      </c>
      <c r="L508" s="215"/>
      <c r="R508" s="163"/>
    </row>
    <row r="509" spans="1:18" x14ac:dyDescent="0.25">
      <c r="A509" s="338">
        <v>17</v>
      </c>
      <c r="B509" s="90" t="s">
        <v>1229</v>
      </c>
      <c r="C509" s="91">
        <v>17000</v>
      </c>
      <c r="D509" s="390">
        <v>5576.98</v>
      </c>
      <c r="E509" s="91">
        <v>30</v>
      </c>
      <c r="F509" s="292">
        <f>2000-500+500-2000</f>
        <v>0</v>
      </c>
      <c r="G509" s="300">
        <f t="shared" si="90"/>
        <v>30</v>
      </c>
      <c r="H509" s="289">
        <f>500+1440+30-1970</f>
        <v>0</v>
      </c>
      <c r="I509" s="292">
        <f t="shared" si="91"/>
        <v>30</v>
      </c>
      <c r="J509" s="292">
        <f t="shared" si="92"/>
        <v>510000</v>
      </c>
      <c r="K509" s="293">
        <f t="shared" si="93"/>
        <v>167309.4</v>
      </c>
      <c r="L509" s="215"/>
    </row>
    <row r="510" spans="1:18" x14ac:dyDescent="0.25">
      <c r="A510" s="377">
        <v>18</v>
      </c>
      <c r="B510" s="61"/>
      <c r="C510" s="375"/>
      <c r="D510" s="310">
        <v>0</v>
      </c>
      <c r="E510" s="91">
        <v>0</v>
      </c>
      <c r="F510" s="292"/>
      <c r="G510" s="300">
        <f t="shared" si="90"/>
        <v>0</v>
      </c>
      <c r="H510" s="289"/>
      <c r="I510" s="292">
        <f t="shared" si="91"/>
        <v>0</v>
      </c>
      <c r="J510" s="292">
        <f t="shared" si="92"/>
        <v>0</v>
      </c>
      <c r="K510" s="293">
        <f t="shared" si="93"/>
        <v>0</v>
      </c>
      <c r="L510" s="215"/>
      <c r="N510" s="172"/>
      <c r="O510" s="172"/>
    </row>
    <row r="511" spans="1:18" x14ac:dyDescent="0.25">
      <c r="A511" s="338">
        <v>19</v>
      </c>
      <c r="B511" s="378"/>
      <c r="C511" s="375"/>
      <c r="D511" s="310">
        <v>0</v>
      </c>
      <c r="E511" s="91">
        <v>0</v>
      </c>
      <c r="F511" s="292"/>
      <c r="G511" s="300">
        <f t="shared" si="90"/>
        <v>0</v>
      </c>
      <c r="H511" s="289"/>
      <c r="I511" s="292">
        <f t="shared" si="91"/>
        <v>0</v>
      </c>
      <c r="J511" s="292">
        <f t="shared" si="92"/>
        <v>0</v>
      </c>
      <c r="K511" s="293">
        <f t="shared" si="93"/>
        <v>0</v>
      </c>
      <c r="L511" s="215"/>
      <c r="N511" s="172"/>
    </row>
    <row r="512" spans="1:18" ht="15.75" thickBot="1" x14ac:dyDescent="0.3">
      <c r="A512" s="377">
        <v>20</v>
      </c>
      <c r="B512" s="379"/>
      <c r="C512" s="375"/>
      <c r="D512" s="310">
        <v>0</v>
      </c>
      <c r="E512" s="91">
        <v>0</v>
      </c>
      <c r="F512" s="292"/>
      <c r="G512" s="300">
        <f t="shared" si="90"/>
        <v>0</v>
      </c>
      <c r="H512" s="289"/>
      <c r="I512" s="292">
        <f t="shared" si="91"/>
        <v>0</v>
      </c>
      <c r="J512" s="292">
        <f t="shared" si="92"/>
        <v>0</v>
      </c>
      <c r="K512" s="293">
        <f t="shared" si="93"/>
        <v>0</v>
      </c>
      <c r="L512" s="215"/>
    </row>
    <row r="513" spans="1:15" ht="15.75" thickBot="1" x14ac:dyDescent="0.3">
      <c r="A513" s="313"/>
      <c r="B513" s="96" t="s">
        <v>907</v>
      </c>
      <c r="C513" s="296"/>
      <c r="D513" s="296"/>
      <c r="E513" s="97">
        <f t="shared" ref="E513:K513" si="94">SUM(E493:E512)</f>
        <v>3365</v>
      </c>
      <c r="F513" s="97">
        <f t="shared" si="94"/>
        <v>0</v>
      </c>
      <c r="G513" s="97">
        <f t="shared" si="94"/>
        <v>3365</v>
      </c>
      <c r="H513" s="97">
        <f t="shared" si="94"/>
        <v>0</v>
      </c>
      <c r="I513" s="97">
        <f t="shared" si="94"/>
        <v>3365</v>
      </c>
      <c r="J513" s="97">
        <f t="shared" si="94"/>
        <v>85215000</v>
      </c>
      <c r="K513" s="297">
        <f t="shared" si="94"/>
        <v>25019309.399999999</v>
      </c>
      <c r="L513" s="151"/>
    </row>
    <row r="514" spans="1:15" x14ac:dyDescent="0.25">
      <c r="A514" s="298"/>
      <c r="B514" s="298"/>
      <c r="C514" s="298"/>
      <c r="D514" s="298"/>
      <c r="E514" s="298"/>
      <c r="F514" s="298"/>
      <c r="G514" s="298"/>
      <c r="H514" s="298"/>
      <c r="I514" s="298"/>
      <c r="J514" s="298"/>
      <c r="K514" s="298"/>
    </row>
    <row r="515" spans="1:15" ht="15.75" thickBot="1" x14ac:dyDescent="0.3">
      <c r="A515" s="312" t="s">
        <v>542</v>
      </c>
      <c r="B515" s="298"/>
      <c r="C515" s="298"/>
      <c r="D515" s="298"/>
      <c r="E515" s="298"/>
      <c r="F515" s="298"/>
      <c r="G515" s="298"/>
      <c r="H515" s="298"/>
      <c r="I515" s="298"/>
      <c r="J515" s="298"/>
      <c r="K515" s="298"/>
    </row>
    <row r="516" spans="1:15" ht="15.75" thickBot="1" x14ac:dyDescent="0.3">
      <c r="A516" s="313"/>
      <c r="B516" s="96" t="s">
        <v>910</v>
      </c>
      <c r="C516" s="296"/>
      <c r="D516" s="296"/>
      <c r="E516" s="301">
        <f t="shared" ref="E516:K516" si="95">+E26+E44+E66+E88+E121+E182+E224+E252+E328+E369+E402+E425+E449+E487+E513</f>
        <v>203291</v>
      </c>
      <c r="F516" s="301">
        <f t="shared" si="95"/>
        <v>0</v>
      </c>
      <c r="G516" s="301">
        <f t="shared" si="95"/>
        <v>203291</v>
      </c>
      <c r="H516" s="301">
        <f t="shared" si="95"/>
        <v>2</v>
      </c>
      <c r="I516" s="301">
        <f t="shared" si="95"/>
        <v>203289</v>
      </c>
      <c r="J516" s="301">
        <f t="shared" si="95"/>
        <v>1972536500</v>
      </c>
      <c r="K516" s="391">
        <f t="shared" si="95"/>
        <v>458281343.52999997</v>
      </c>
      <c r="L516" s="217"/>
      <c r="M516" s="40">
        <v>203291</v>
      </c>
      <c r="N516" s="40">
        <v>1972553500</v>
      </c>
      <c r="O516" s="40">
        <v>441025330.76999998</v>
      </c>
    </row>
    <row r="517" spans="1:15" x14ac:dyDescent="0.25">
      <c r="M517" s="145">
        <f>+M516-I516</f>
        <v>2</v>
      </c>
      <c r="N517" s="145">
        <f>+N516-J516</f>
        <v>17000</v>
      </c>
      <c r="O517" s="145">
        <f>+O516-K516</f>
        <v>-17256012.75999999</v>
      </c>
    </row>
    <row r="518" spans="1:15" x14ac:dyDescent="0.25">
      <c r="K518" s="40">
        <v>13</v>
      </c>
    </row>
    <row r="521" spans="1:15" x14ac:dyDescent="0.25">
      <c r="E521" s="19"/>
      <c r="F521" s="19"/>
      <c r="G521" s="19"/>
      <c r="H521" s="19"/>
      <c r="I521" s="19"/>
      <c r="J521" s="19"/>
      <c r="K521" s="147"/>
      <c r="L521" s="147"/>
    </row>
    <row r="523" spans="1:15" x14ac:dyDescent="0.25">
      <c r="E523" s="145"/>
      <c r="F523" s="145"/>
      <c r="G523" s="145"/>
      <c r="H523" s="145"/>
      <c r="I523" s="145"/>
      <c r="J523" s="145"/>
      <c r="K523" s="145"/>
      <c r="L523" s="145"/>
    </row>
  </sheetData>
  <mergeCells count="105">
    <mergeCell ref="K3:K4"/>
    <mergeCell ref="A3:A5"/>
    <mergeCell ref="B3:B4"/>
    <mergeCell ref="C3:C4"/>
    <mergeCell ref="D3:D4"/>
    <mergeCell ref="J3:J4"/>
    <mergeCell ref="E3:I3"/>
    <mergeCell ref="J451:J452"/>
    <mergeCell ref="K451:K452"/>
    <mergeCell ref="A451:A453"/>
    <mergeCell ref="B451:B452"/>
    <mergeCell ref="C451:C452"/>
    <mergeCell ref="D451:D452"/>
    <mergeCell ref="E451:I451"/>
    <mergeCell ref="K28:K29"/>
    <mergeCell ref="A46:A48"/>
    <mergeCell ref="B46:B47"/>
    <mergeCell ref="C46:C47"/>
    <mergeCell ref="D46:D47"/>
    <mergeCell ref="J46:J47"/>
    <mergeCell ref="K46:K47"/>
    <mergeCell ref="A28:A30"/>
    <mergeCell ref="B28:B29"/>
    <mergeCell ref="C28:C29"/>
    <mergeCell ref="D28:D29"/>
    <mergeCell ref="J28:J29"/>
    <mergeCell ref="E28:I28"/>
    <mergeCell ref="E46:I46"/>
    <mergeCell ref="K68:K69"/>
    <mergeCell ref="A90:A92"/>
    <mergeCell ref="B90:B91"/>
    <mergeCell ref="C90:C91"/>
    <mergeCell ref="D90:D91"/>
    <mergeCell ref="J90:J91"/>
    <mergeCell ref="K90:K91"/>
    <mergeCell ref="A68:A70"/>
    <mergeCell ref="B68:B69"/>
    <mergeCell ref="C68:C69"/>
    <mergeCell ref="D68:D69"/>
    <mergeCell ref="J68:J69"/>
    <mergeCell ref="E90:I90"/>
    <mergeCell ref="E68:I68"/>
    <mergeCell ref="K123:K124"/>
    <mergeCell ref="A184:A186"/>
    <mergeCell ref="B184:B185"/>
    <mergeCell ref="C184:C185"/>
    <mergeCell ref="D184:D185"/>
    <mergeCell ref="J184:J185"/>
    <mergeCell ref="K184:K185"/>
    <mergeCell ref="A123:A125"/>
    <mergeCell ref="B123:B124"/>
    <mergeCell ref="C123:C124"/>
    <mergeCell ref="D123:D124"/>
    <mergeCell ref="J123:J124"/>
    <mergeCell ref="E123:I123"/>
    <mergeCell ref="E184:I184"/>
    <mergeCell ref="K226:K227"/>
    <mergeCell ref="A254:A256"/>
    <mergeCell ref="B254:B255"/>
    <mergeCell ref="C254:C255"/>
    <mergeCell ref="D254:D255"/>
    <mergeCell ref="J254:J255"/>
    <mergeCell ref="K254:K255"/>
    <mergeCell ref="A226:A228"/>
    <mergeCell ref="B226:B227"/>
    <mergeCell ref="C226:C227"/>
    <mergeCell ref="D226:D227"/>
    <mergeCell ref="J226:J227"/>
    <mergeCell ref="E226:I226"/>
    <mergeCell ref="E254:I254"/>
    <mergeCell ref="K330:K331"/>
    <mergeCell ref="A371:A373"/>
    <mergeCell ref="B371:B372"/>
    <mergeCell ref="C371:C372"/>
    <mergeCell ref="D371:D372"/>
    <mergeCell ref="J371:J372"/>
    <mergeCell ref="K371:K372"/>
    <mergeCell ref="A330:A332"/>
    <mergeCell ref="B330:B331"/>
    <mergeCell ref="C330:C331"/>
    <mergeCell ref="D330:D331"/>
    <mergeCell ref="J330:J331"/>
    <mergeCell ref="E330:I330"/>
    <mergeCell ref="E371:I371"/>
    <mergeCell ref="J489:J490"/>
    <mergeCell ref="K489:K490"/>
    <mergeCell ref="A489:A491"/>
    <mergeCell ref="B489:B490"/>
    <mergeCell ref="C489:C490"/>
    <mergeCell ref="D489:D490"/>
    <mergeCell ref="E489:I489"/>
    <mergeCell ref="K427:K428"/>
    <mergeCell ref="K404:K405"/>
    <mergeCell ref="A404:A406"/>
    <mergeCell ref="B404:B405"/>
    <mergeCell ref="C404:C405"/>
    <mergeCell ref="D404:D405"/>
    <mergeCell ref="J404:J405"/>
    <mergeCell ref="E404:I404"/>
    <mergeCell ref="E427:I427"/>
    <mergeCell ref="A427:A429"/>
    <mergeCell ref="B427:B428"/>
    <mergeCell ref="C427:C428"/>
    <mergeCell ref="D427:D428"/>
    <mergeCell ref="J427:J428"/>
  </mergeCells>
  <pageMargins left="0.196850393700787" right="0" top="0.196850393700787" bottom="0.196850393700787" header="0.196850393700787" footer="0.196850393700787"/>
  <pageSetup paperSize="9" orientation="landscape" horizontalDpi="120" verticalDpi="72"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164"/>
  <sheetViews>
    <sheetView topLeftCell="A149" workbookViewId="0">
      <selection activeCell="G142" sqref="G142"/>
    </sheetView>
  </sheetViews>
  <sheetFormatPr defaultColWidth="9.140625" defaultRowHeight="15" x14ac:dyDescent="0.25"/>
  <cols>
    <col min="1" max="1" width="4.7109375" style="40" customWidth="1"/>
    <col min="2" max="2" width="21.5703125" style="40" customWidth="1"/>
    <col min="3" max="3" width="11.85546875" style="40" customWidth="1"/>
    <col min="4" max="4" width="11.140625" style="40" customWidth="1"/>
    <col min="5" max="5" width="14.140625" style="40" customWidth="1"/>
    <col min="6" max="6" width="13.28515625" style="40" customWidth="1"/>
    <col min="7" max="7" width="14.85546875" style="40" customWidth="1"/>
    <col min="8" max="8" width="11.7109375" style="40" customWidth="1"/>
    <col min="9" max="9" width="11.85546875" style="40" customWidth="1"/>
    <col min="10" max="10" width="15" style="40" customWidth="1"/>
    <col min="11" max="11" width="14.7109375" style="40" customWidth="1"/>
    <col min="12" max="14" width="9.140625" style="40" customWidth="1"/>
    <col min="15" max="16384" width="9.140625" style="40"/>
  </cols>
  <sheetData>
    <row r="2" spans="1:13" ht="15.75" thickBot="1" x14ac:dyDescent="0.3">
      <c r="A2" s="312" t="s">
        <v>713</v>
      </c>
      <c r="B2" s="298"/>
      <c r="C2" s="298"/>
      <c r="D2" s="298"/>
      <c r="E2" s="298"/>
      <c r="F2" s="298"/>
      <c r="G2" s="363" t="str">
        <f>A.Prangko!G2</f>
        <v>desember 2017</v>
      </c>
      <c r="H2" s="298"/>
      <c r="I2" s="298"/>
      <c r="J2" s="298"/>
      <c r="K2" s="298"/>
    </row>
    <row r="3" spans="1:13" ht="15.75" thickBot="1" x14ac:dyDescent="0.3">
      <c r="A3" s="418" t="s">
        <v>653</v>
      </c>
      <c r="B3" s="421" t="s">
        <v>704</v>
      </c>
      <c r="C3" s="421" t="s">
        <v>1</v>
      </c>
      <c r="D3" s="422" t="s">
        <v>645</v>
      </c>
      <c r="E3" s="423" t="s">
        <v>19</v>
      </c>
      <c r="F3" s="423"/>
      <c r="G3" s="423"/>
      <c r="H3" s="423"/>
      <c r="I3" s="423"/>
      <c r="J3" s="416" t="s">
        <v>20</v>
      </c>
      <c r="K3" s="418" t="s">
        <v>598</v>
      </c>
    </row>
    <row r="4" spans="1:13" ht="45.75" thickBot="1" x14ac:dyDescent="0.3">
      <c r="A4" s="420"/>
      <c r="B4" s="421"/>
      <c r="C4" s="421"/>
      <c r="D4" s="422"/>
      <c r="E4" s="272" t="s">
        <v>21</v>
      </c>
      <c r="F4" s="272" t="s">
        <v>596</v>
      </c>
      <c r="G4" s="272" t="s">
        <v>597</v>
      </c>
      <c r="H4" s="272" t="s">
        <v>585</v>
      </c>
      <c r="I4" s="272" t="s">
        <v>597</v>
      </c>
      <c r="J4" s="417"/>
      <c r="K4" s="419"/>
    </row>
    <row r="5" spans="1:13" ht="15.75" thickBot="1" x14ac:dyDescent="0.3">
      <c r="A5" s="419"/>
      <c r="B5" s="273">
        <v>1</v>
      </c>
      <c r="C5" s="273">
        <v>2</v>
      </c>
      <c r="D5" s="273">
        <v>3</v>
      </c>
      <c r="E5" s="274">
        <v>4</v>
      </c>
      <c r="F5" s="274">
        <f>+E5+1</f>
        <v>5</v>
      </c>
      <c r="G5" s="274" t="s">
        <v>648</v>
      </c>
      <c r="H5" s="274">
        <v>7</v>
      </c>
      <c r="I5" s="275" t="s">
        <v>647</v>
      </c>
      <c r="J5" s="287" t="s">
        <v>646</v>
      </c>
      <c r="K5" s="287" t="s">
        <v>649</v>
      </c>
    </row>
    <row r="6" spans="1:13" x14ac:dyDescent="0.25">
      <c r="A6" s="324"/>
      <c r="B6" s="288"/>
      <c r="C6" s="288"/>
      <c r="D6" s="288"/>
      <c r="E6" s="288"/>
      <c r="F6" s="288"/>
      <c r="G6" s="288"/>
      <c r="H6" s="288"/>
      <c r="I6" s="288"/>
      <c r="J6" s="288"/>
      <c r="K6" s="288"/>
    </row>
    <row r="7" spans="1:13" x14ac:dyDescent="0.25">
      <c r="A7" s="279">
        <v>1</v>
      </c>
      <c r="B7" s="61" t="s">
        <v>455</v>
      </c>
      <c r="C7" s="62">
        <v>7500</v>
      </c>
      <c r="D7" s="316">
        <v>4609.91</v>
      </c>
      <c r="E7" s="62">
        <v>199</v>
      </c>
      <c r="F7" s="61"/>
      <c r="G7" s="289">
        <f t="shared" ref="G7:G27" si="0">+E7+F7</f>
        <v>199</v>
      </c>
      <c r="H7" s="61"/>
      <c r="I7" s="251">
        <f t="shared" ref="I7:I27" si="1">+G7-H7</f>
        <v>199</v>
      </c>
      <c r="J7" s="251">
        <f t="shared" ref="J7:J27" si="2">I7*C7</f>
        <v>1492500</v>
      </c>
      <c r="K7" s="290">
        <f t="shared" ref="K7:K27" si="3">+D7*I7</f>
        <v>917372.09</v>
      </c>
      <c r="M7" s="40" t="s">
        <v>893</v>
      </c>
    </row>
    <row r="8" spans="1:13" x14ac:dyDescent="0.25">
      <c r="A8" s="279">
        <v>2</v>
      </c>
      <c r="B8" s="285" t="s">
        <v>456</v>
      </c>
      <c r="C8" s="62">
        <v>25000</v>
      </c>
      <c r="D8" s="316">
        <v>9075</v>
      </c>
      <c r="E8" s="62">
        <v>0</v>
      </c>
      <c r="F8" s="61">
        <f>100-100</f>
        <v>0</v>
      </c>
      <c r="G8" s="289">
        <f t="shared" si="0"/>
        <v>0</v>
      </c>
      <c r="H8" s="61">
        <f>170-170+100-100</f>
        <v>0</v>
      </c>
      <c r="I8" s="251">
        <f t="shared" si="1"/>
        <v>0</v>
      </c>
      <c r="J8" s="251">
        <f t="shared" si="2"/>
        <v>0</v>
      </c>
      <c r="K8" s="290">
        <f t="shared" si="3"/>
        <v>0</v>
      </c>
      <c r="M8" s="40">
        <v>100</v>
      </c>
    </row>
    <row r="9" spans="1:13" x14ac:dyDescent="0.25">
      <c r="A9" s="279">
        <v>3</v>
      </c>
      <c r="B9" s="61" t="s">
        <v>457</v>
      </c>
      <c r="C9" s="62">
        <v>250000</v>
      </c>
      <c r="D9" s="316">
        <v>80399.92</v>
      </c>
      <c r="E9" s="62">
        <v>15</v>
      </c>
      <c r="F9" s="61">
        <f>16-16</f>
        <v>0</v>
      </c>
      <c r="G9" s="289">
        <f t="shared" si="0"/>
        <v>15</v>
      </c>
      <c r="H9" s="61">
        <f>66-66+1-1</f>
        <v>0</v>
      </c>
      <c r="I9" s="251">
        <f t="shared" si="1"/>
        <v>15</v>
      </c>
      <c r="J9" s="251">
        <f t="shared" si="2"/>
        <v>3750000</v>
      </c>
      <c r="K9" s="290">
        <f t="shared" si="3"/>
        <v>1205998.8</v>
      </c>
      <c r="M9" s="40">
        <v>0</v>
      </c>
    </row>
    <row r="10" spans="1:13" x14ac:dyDescent="0.25">
      <c r="A10" s="279">
        <v>4</v>
      </c>
      <c r="B10" s="61" t="s">
        <v>766</v>
      </c>
      <c r="C10" s="62">
        <v>125000</v>
      </c>
      <c r="D10" s="316">
        <v>21174.93</v>
      </c>
      <c r="E10" s="62">
        <v>0</v>
      </c>
      <c r="F10" s="61"/>
      <c r="G10" s="289">
        <f t="shared" si="0"/>
        <v>0</v>
      </c>
      <c r="H10" s="61">
        <f>79-79</f>
        <v>0</v>
      </c>
      <c r="I10" s="251">
        <f t="shared" si="1"/>
        <v>0</v>
      </c>
      <c r="J10" s="251">
        <f t="shared" si="2"/>
        <v>0</v>
      </c>
      <c r="K10" s="290">
        <f t="shared" si="3"/>
        <v>0</v>
      </c>
      <c r="M10" s="40">
        <v>0</v>
      </c>
    </row>
    <row r="11" spans="1:13" x14ac:dyDescent="0.25">
      <c r="A11" s="279">
        <v>5</v>
      </c>
      <c r="B11" s="61" t="s">
        <v>458</v>
      </c>
      <c r="C11" s="62">
        <v>135000</v>
      </c>
      <c r="D11" s="316">
        <v>9350</v>
      </c>
      <c r="E11" s="62">
        <v>4</v>
      </c>
      <c r="F11" s="61"/>
      <c r="G11" s="289">
        <f t="shared" si="0"/>
        <v>4</v>
      </c>
      <c r="H11" s="61"/>
      <c r="I11" s="251">
        <f t="shared" si="1"/>
        <v>4</v>
      </c>
      <c r="J11" s="251">
        <f t="shared" si="2"/>
        <v>540000</v>
      </c>
      <c r="K11" s="290">
        <f t="shared" si="3"/>
        <v>37400</v>
      </c>
    </row>
    <row r="12" spans="1:13" x14ac:dyDescent="0.25">
      <c r="A12" s="279">
        <v>6</v>
      </c>
      <c r="B12" s="61" t="s">
        <v>459</v>
      </c>
      <c r="C12" s="62">
        <v>20000</v>
      </c>
      <c r="D12" s="316">
        <v>3465</v>
      </c>
      <c r="E12" s="62">
        <v>0</v>
      </c>
      <c r="F12" s="61"/>
      <c r="G12" s="289">
        <f t="shared" si="0"/>
        <v>0</v>
      </c>
      <c r="H12" s="61">
        <f>26-26</f>
        <v>0</v>
      </c>
      <c r="I12" s="251">
        <f t="shared" si="1"/>
        <v>0</v>
      </c>
      <c r="J12" s="251">
        <f t="shared" si="2"/>
        <v>0</v>
      </c>
      <c r="K12" s="290">
        <f t="shared" si="3"/>
        <v>0</v>
      </c>
      <c r="M12" s="40">
        <v>0</v>
      </c>
    </row>
    <row r="13" spans="1:13" x14ac:dyDescent="0.25">
      <c r="A13" s="279">
        <v>7</v>
      </c>
      <c r="B13" s="61" t="s">
        <v>460</v>
      </c>
      <c r="C13" s="62">
        <v>10000</v>
      </c>
      <c r="D13" s="316">
        <v>1155</v>
      </c>
      <c r="E13" s="62">
        <v>8</v>
      </c>
      <c r="F13" s="61">
        <f>8-8</f>
        <v>0</v>
      </c>
      <c r="G13" s="289">
        <f t="shared" si="0"/>
        <v>8</v>
      </c>
      <c r="H13" s="61">
        <f>64-64</f>
        <v>0</v>
      </c>
      <c r="I13" s="251">
        <f t="shared" si="1"/>
        <v>8</v>
      </c>
      <c r="J13" s="251">
        <f t="shared" si="2"/>
        <v>80000</v>
      </c>
      <c r="K13" s="290">
        <f t="shared" si="3"/>
        <v>9240</v>
      </c>
      <c r="M13" s="40">
        <v>0</v>
      </c>
    </row>
    <row r="14" spans="1:13" x14ac:dyDescent="0.25">
      <c r="A14" s="279">
        <v>8</v>
      </c>
      <c r="B14" s="61" t="s">
        <v>461</v>
      </c>
      <c r="C14" s="62">
        <v>10000</v>
      </c>
      <c r="D14" s="316">
        <v>1210</v>
      </c>
      <c r="E14" s="62">
        <v>9</v>
      </c>
      <c r="F14" s="61">
        <f>9-9</f>
        <v>0</v>
      </c>
      <c r="G14" s="289">
        <f t="shared" si="0"/>
        <v>9</v>
      </c>
      <c r="H14" s="61">
        <f>22-22</f>
        <v>0</v>
      </c>
      <c r="I14" s="251">
        <f t="shared" si="1"/>
        <v>9</v>
      </c>
      <c r="J14" s="251">
        <f t="shared" si="2"/>
        <v>90000</v>
      </c>
      <c r="K14" s="290">
        <f t="shared" si="3"/>
        <v>10890</v>
      </c>
      <c r="M14" s="40">
        <v>0</v>
      </c>
    </row>
    <row r="15" spans="1:13" x14ac:dyDescent="0.25">
      <c r="A15" s="279">
        <v>9</v>
      </c>
      <c r="B15" s="285" t="s">
        <v>733</v>
      </c>
      <c r="C15" s="62">
        <v>17500</v>
      </c>
      <c r="D15" s="316">
        <v>3190</v>
      </c>
      <c r="E15" s="62">
        <v>0</v>
      </c>
      <c r="F15" s="61"/>
      <c r="G15" s="289">
        <f t="shared" si="0"/>
        <v>0</v>
      </c>
      <c r="H15" s="61">
        <f>9-9</f>
        <v>0</v>
      </c>
      <c r="I15" s="251">
        <f t="shared" si="1"/>
        <v>0</v>
      </c>
      <c r="J15" s="251">
        <f t="shared" si="2"/>
        <v>0</v>
      </c>
      <c r="K15" s="290">
        <f t="shared" si="3"/>
        <v>0</v>
      </c>
      <c r="M15" s="40">
        <v>0</v>
      </c>
    </row>
    <row r="16" spans="1:13" x14ac:dyDescent="0.25">
      <c r="A16" s="279">
        <v>10</v>
      </c>
      <c r="B16" s="358" t="s">
        <v>735</v>
      </c>
      <c r="C16" s="62">
        <v>30000</v>
      </c>
      <c r="D16" s="316">
        <v>6050</v>
      </c>
      <c r="E16" s="62">
        <v>0</v>
      </c>
      <c r="F16" s="61"/>
      <c r="G16" s="289">
        <f t="shared" si="0"/>
        <v>0</v>
      </c>
      <c r="H16" s="61">
        <f>4-4</f>
        <v>0</v>
      </c>
      <c r="I16" s="251">
        <f t="shared" si="1"/>
        <v>0</v>
      </c>
      <c r="J16" s="251">
        <f t="shared" si="2"/>
        <v>0</v>
      </c>
      <c r="K16" s="290">
        <f t="shared" si="3"/>
        <v>0</v>
      </c>
      <c r="M16" s="40">
        <v>0</v>
      </c>
    </row>
    <row r="17" spans="1:13" x14ac:dyDescent="0.25">
      <c r="A17" s="279">
        <v>11</v>
      </c>
      <c r="B17" s="61" t="s">
        <v>1242</v>
      </c>
      <c r="C17" s="62">
        <v>50000</v>
      </c>
      <c r="D17" s="316">
        <v>15620</v>
      </c>
      <c r="E17" s="62">
        <v>21</v>
      </c>
      <c r="F17" s="61">
        <f>(37-37)+16-16</f>
        <v>0</v>
      </c>
      <c r="G17" s="289">
        <f t="shared" si="0"/>
        <v>21</v>
      </c>
      <c r="H17" s="61">
        <f>37-37+1-1</f>
        <v>0</v>
      </c>
      <c r="I17" s="251">
        <f t="shared" si="1"/>
        <v>21</v>
      </c>
      <c r="J17" s="251">
        <f t="shared" si="2"/>
        <v>1050000</v>
      </c>
      <c r="K17" s="290">
        <f t="shared" si="3"/>
        <v>328020</v>
      </c>
      <c r="M17" s="40">
        <v>37</v>
      </c>
    </row>
    <row r="18" spans="1:13" x14ac:dyDescent="0.25">
      <c r="A18" s="279">
        <v>12</v>
      </c>
      <c r="B18" s="61" t="s">
        <v>1243</v>
      </c>
      <c r="C18" s="62">
        <v>40000</v>
      </c>
      <c r="D18" s="316">
        <v>8580</v>
      </c>
      <c r="E18" s="62">
        <v>0</v>
      </c>
      <c r="F18" s="61">
        <f>14-14</f>
        <v>0</v>
      </c>
      <c r="G18" s="289">
        <f t="shared" si="0"/>
        <v>0</v>
      </c>
      <c r="H18" s="61">
        <f>14-14+1-1</f>
        <v>0</v>
      </c>
      <c r="I18" s="251">
        <f t="shared" si="1"/>
        <v>0</v>
      </c>
      <c r="J18" s="251">
        <f t="shared" si="2"/>
        <v>0</v>
      </c>
      <c r="K18" s="290">
        <f t="shared" si="3"/>
        <v>0</v>
      </c>
      <c r="M18" s="40">
        <v>14</v>
      </c>
    </row>
    <row r="19" spans="1:13" x14ac:dyDescent="0.25">
      <c r="A19" s="279">
        <v>13</v>
      </c>
      <c r="B19" s="285" t="s">
        <v>462</v>
      </c>
      <c r="C19" s="62">
        <v>20000</v>
      </c>
      <c r="D19" s="316">
        <v>5940</v>
      </c>
      <c r="E19" s="62">
        <v>57</v>
      </c>
      <c r="F19" s="61"/>
      <c r="G19" s="289">
        <f t="shared" si="0"/>
        <v>57</v>
      </c>
      <c r="H19" s="61">
        <f>1-1+1-1</f>
        <v>0</v>
      </c>
      <c r="I19" s="251">
        <f t="shared" si="1"/>
        <v>57</v>
      </c>
      <c r="J19" s="251">
        <f t="shared" si="2"/>
        <v>1140000</v>
      </c>
      <c r="K19" s="290">
        <f t="shared" si="3"/>
        <v>338580</v>
      </c>
    </row>
    <row r="20" spans="1:13" x14ac:dyDescent="0.25">
      <c r="A20" s="279">
        <v>14</v>
      </c>
      <c r="B20" s="358" t="s">
        <v>734</v>
      </c>
      <c r="C20" s="62">
        <v>60000</v>
      </c>
      <c r="D20" s="316">
        <v>17459.12</v>
      </c>
      <c r="E20" s="62">
        <v>6</v>
      </c>
      <c r="F20" s="61">
        <f>44-44</f>
        <v>0</v>
      </c>
      <c r="G20" s="289">
        <f t="shared" si="0"/>
        <v>6</v>
      </c>
      <c r="H20" s="61">
        <f>44-44+1-1</f>
        <v>0</v>
      </c>
      <c r="I20" s="251">
        <f t="shared" si="1"/>
        <v>6</v>
      </c>
      <c r="J20" s="251">
        <f t="shared" si="2"/>
        <v>360000</v>
      </c>
      <c r="K20" s="290">
        <f t="shared" si="3"/>
        <v>104754.72</v>
      </c>
      <c r="L20" s="40" t="s">
        <v>1094</v>
      </c>
      <c r="M20" s="40">
        <v>44</v>
      </c>
    </row>
    <row r="21" spans="1:13" x14ac:dyDescent="0.25">
      <c r="A21" s="279">
        <v>15</v>
      </c>
      <c r="B21" s="358" t="s">
        <v>463</v>
      </c>
      <c r="C21" s="62">
        <v>70000</v>
      </c>
      <c r="D21" s="316">
        <v>31466</v>
      </c>
      <c r="E21" s="62">
        <v>2</v>
      </c>
      <c r="F21" s="61">
        <f>43-43</f>
        <v>0</v>
      </c>
      <c r="G21" s="289">
        <f t="shared" si="0"/>
        <v>2</v>
      </c>
      <c r="H21" s="61">
        <f>43-43+1-1</f>
        <v>0</v>
      </c>
      <c r="I21" s="251">
        <f t="shared" si="1"/>
        <v>2</v>
      </c>
      <c r="J21" s="251">
        <f t="shared" si="2"/>
        <v>140000</v>
      </c>
      <c r="K21" s="290">
        <f t="shared" si="3"/>
        <v>62932</v>
      </c>
      <c r="M21" s="40">
        <v>43</v>
      </c>
    </row>
    <row r="22" spans="1:13" x14ac:dyDescent="0.25">
      <c r="A22" s="279">
        <v>16</v>
      </c>
      <c r="B22" s="90" t="s">
        <v>464</v>
      </c>
      <c r="C22" s="91">
        <v>45000</v>
      </c>
      <c r="D22" s="351">
        <v>9676.75</v>
      </c>
      <c r="E22" s="91">
        <v>60</v>
      </c>
      <c r="F22" s="90">
        <f>49-49</f>
        <v>0</v>
      </c>
      <c r="G22" s="300">
        <f t="shared" si="0"/>
        <v>60</v>
      </c>
      <c r="H22" s="90">
        <f>1-1</f>
        <v>0</v>
      </c>
      <c r="I22" s="292">
        <f t="shared" si="1"/>
        <v>60</v>
      </c>
      <c r="J22" s="292">
        <f t="shared" si="2"/>
        <v>2700000</v>
      </c>
      <c r="K22" s="293">
        <f t="shared" si="3"/>
        <v>580605</v>
      </c>
    </row>
    <row r="23" spans="1:13" x14ac:dyDescent="0.25">
      <c r="A23" s="279">
        <v>17</v>
      </c>
      <c r="B23" s="90" t="s">
        <v>885</v>
      </c>
      <c r="C23" s="91">
        <v>15000</v>
      </c>
      <c r="D23" s="351"/>
      <c r="E23" s="91">
        <v>0</v>
      </c>
      <c r="F23" s="90">
        <f>24-24</f>
        <v>0</v>
      </c>
      <c r="G23" s="300">
        <f t="shared" si="0"/>
        <v>0</v>
      </c>
      <c r="H23" s="90">
        <f>24-24</f>
        <v>0</v>
      </c>
      <c r="I23" s="292">
        <f>+G23-H23</f>
        <v>0</v>
      </c>
      <c r="J23" s="292">
        <f>I23*C23</f>
        <v>0</v>
      </c>
      <c r="K23" s="293">
        <f>+D23*I23</f>
        <v>0</v>
      </c>
      <c r="M23" s="40">
        <v>24</v>
      </c>
    </row>
    <row r="24" spans="1:13" x14ac:dyDescent="0.25">
      <c r="A24" s="279">
        <v>18</v>
      </c>
      <c r="B24" s="359" t="s">
        <v>886</v>
      </c>
      <c r="C24" s="91">
        <v>45000</v>
      </c>
      <c r="D24" s="351"/>
      <c r="E24" s="91">
        <v>0</v>
      </c>
      <c r="F24" s="90">
        <f>85-85</f>
        <v>0</v>
      </c>
      <c r="G24" s="300">
        <f t="shared" si="0"/>
        <v>0</v>
      </c>
      <c r="H24" s="90">
        <f>85-85</f>
        <v>0</v>
      </c>
      <c r="I24" s="292">
        <f>+G24-H24</f>
        <v>0</v>
      </c>
      <c r="J24" s="292">
        <f>I24*C24</f>
        <v>0</v>
      </c>
      <c r="K24" s="293">
        <f>+D24*I24</f>
        <v>0</v>
      </c>
      <c r="M24" s="40">
        <v>85</v>
      </c>
    </row>
    <row r="25" spans="1:13" x14ac:dyDescent="0.25">
      <c r="A25" s="279">
        <v>19</v>
      </c>
      <c r="B25" s="61" t="s">
        <v>1244</v>
      </c>
      <c r="C25" s="62">
        <v>40000</v>
      </c>
      <c r="D25" s="351"/>
      <c r="E25" s="91">
        <v>10</v>
      </c>
      <c r="F25" s="90">
        <f>(29-29)+10-10</f>
        <v>0</v>
      </c>
      <c r="G25" s="300">
        <f t="shared" si="0"/>
        <v>10</v>
      </c>
      <c r="H25" s="90">
        <f>29-29</f>
        <v>0</v>
      </c>
      <c r="I25" s="292">
        <f>+G25-H25</f>
        <v>10</v>
      </c>
      <c r="J25" s="292">
        <f>I25*C25</f>
        <v>400000</v>
      </c>
      <c r="K25" s="293">
        <f>+D25*I25</f>
        <v>0</v>
      </c>
      <c r="M25" s="40">
        <v>29</v>
      </c>
    </row>
    <row r="26" spans="1:13" x14ac:dyDescent="0.25">
      <c r="A26" s="279">
        <v>20</v>
      </c>
      <c r="B26" s="61" t="s">
        <v>1245</v>
      </c>
      <c r="C26" s="91">
        <v>35000</v>
      </c>
      <c r="D26" s="351"/>
      <c r="E26" s="91">
        <v>42</v>
      </c>
      <c r="F26" s="90">
        <f>(63-53-10)+42-42</f>
        <v>0</v>
      </c>
      <c r="G26" s="300">
        <f t="shared" si="0"/>
        <v>42</v>
      </c>
      <c r="H26" s="90">
        <f>63-63</f>
        <v>0</v>
      </c>
      <c r="I26" s="292">
        <f>+G26-H26</f>
        <v>42</v>
      </c>
      <c r="J26" s="292">
        <f>I26*C26</f>
        <v>1470000</v>
      </c>
      <c r="K26" s="293">
        <f>+D26*I26</f>
        <v>0</v>
      </c>
      <c r="M26" s="40">
        <v>63</v>
      </c>
    </row>
    <row r="27" spans="1:13" ht="15.75" thickBot="1" x14ac:dyDescent="0.3">
      <c r="A27" s="279">
        <v>21</v>
      </c>
      <c r="B27" s="392" t="s">
        <v>887</v>
      </c>
      <c r="C27" s="282">
        <v>100000</v>
      </c>
      <c r="D27" s="317"/>
      <c r="E27" s="282">
        <v>0</v>
      </c>
      <c r="F27" s="281">
        <f>12-12</f>
        <v>0</v>
      </c>
      <c r="G27" s="295">
        <f t="shared" si="0"/>
        <v>0</v>
      </c>
      <c r="H27" s="281">
        <f>12-12</f>
        <v>0</v>
      </c>
      <c r="I27" s="322">
        <f t="shared" si="1"/>
        <v>0</v>
      </c>
      <c r="J27" s="322">
        <f t="shared" si="2"/>
        <v>0</v>
      </c>
      <c r="K27" s="323">
        <f t="shared" si="3"/>
        <v>0</v>
      </c>
      <c r="M27" s="40">
        <v>12</v>
      </c>
    </row>
    <row r="28" spans="1:13" ht="15.75" thickBot="1" x14ac:dyDescent="0.3">
      <c r="A28" s="313"/>
      <c r="B28" s="96" t="s">
        <v>714</v>
      </c>
      <c r="C28" s="296"/>
      <c r="D28" s="296"/>
      <c r="E28" s="97">
        <f t="shared" ref="E28:K28" si="4">SUM(E7:E27)</f>
        <v>433</v>
      </c>
      <c r="F28" s="97">
        <f t="shared" si="4"/>
        <v>0</v>
      </c>
      <c r="G28" s="296">
        <f t="shared" si="4"/>
        <v>433</v>
      </c>
      <c r="H28" s="97">
        <f t="shared" si="4"/>
        <v>0</v>
      </c>
      <c r="I28" s="97">
        <f t="shared" si="4"/>
        <v>433</v>
      </c>
      <c r="J28" s="97">
        <f t="shared" si="4"/>
        <v>13212500</v>
      </c>
      <c r="K28" s="297">
        <f t="shared" si="4"/>
        <v>3595792.6100000003</v>
      </c>
    </row>
    <row r="29" spans="1:13" ht="15.75" thickBot="1" x14ac:dyDescent="0.3">
      <c r="A29" s="298"/>
      <c r="B29" s="138"/>
      <c r="C29" s="139"/>
      <c r="D29" s="140"/>
      <c r="E29" s="141"/>
      <c r="F29" s="138"/>
      <c r="G29" s="141"/>
      <c r="H29" s="141"/>
      <c r="I29" s="141"/>
      <c r="J29" s="141"/>
      <c r="K29" s="140"/>
    </row>
    <row r="30" spans="1:13" ht="15.75" thickBot="1" x14ac:dyDescent="0.3">
      <c r="A30" s="418" t="s">
        <v>653</v>
      </c>
      <c r="B30" s="421" t="s">
        <v>704</v>
      </c>
      <c r="C30" s="421" t="s">
        <v>1</v>
      </c>
      <c r="D30" s="422" t="s">
        <v>645</v>
      </c>
      <c r="E30" s="423" t="s">
        <v>19</v>
      </c>
      <c r="F30" s="423"/>
      <c r="G30" s="423"/>
      <c r="H30" s="423"/>
      <c r="I30" s="423"/>
      <c r="J30" s="416" t="s">
        <v>20</v>
      </c>
      <c r="K30" s="418" t="s">
        <v>598</v>
      </c>
    </row>
    <row r="31" spans="1:13" ht="45.75" thickBot="1" x14ac:dyDescent="0.3">
      <c r="A31" s="420"/>
      <c r="B31" s="421"/>
      <c r="C31" s="421"/>
      <c r="D31" s="422"/>
      <c r="E31" s="272" t="s">
        <v>21</v>
      </c>
      <c r="F31" s="272" t="s">
        <v>596</v>
      </c>
      <c r="G31" s="272" t="s">
        <v>597</v>
      </c>
      <c r="H31" s="272" t="s">
        <v>585</v>
      </c>
      <c r="I31" s="272" t="s">
        <v>597</v>
      </c>
      <c r="J31" s="417"/>
      <c r="K31" s="419"/>
    </row>
    <row r="32" spans="1:13" ht="15.75" thickBot="1" x14ac:dyDescent="0.3">
      <c r="A32" s="419"/>
      <c r="B32" s="273">
        <v>1</v>
      </c>
      <c r="C32" s="273">
        <v>2</v>
      </c>
      <c r="D32" s="273">
        <v>3</v>
      </c>
      <c r="E32" s="274">
        <v>4</v>
      </c>
      <c r="F32" s="274">
        <f>+E32+1</f>
        <v>5</v>
      </c>
      <c r="G32" s="274" t="s">
        <v>648</v>
      </c>
      <c r="H32" s="274">
        <v>7</v>
      </c>
      <c r="I32" s="275" t="s">
        <v>647</v>
      </c>
      <c r="J32" s="287" t="s">
        <v>646</v>
      </c>
      <c r="K32" s="287" t="s">
        <v>649</v>
      </c>
    </row>
    <row r="33" spans="1:13" x14ac:dyDescent="0.25">
      <c r="A33" s="288"/>
      <c r="B33" s="288"/>
      <c r="C33" s="288"/>
      <c r="D33" s="288"/>
      <c r="E33" s="288"/>
      <c r="F33" s="288"/>
      <c r="G33" s="288"/>
      <c r="H33" s="288"/>
      <c r="I33" s="288"/>
      <c r="J33" s="288"/>
      <c r="K33" s="288"/>
      <c r="M33" s="40" t="s">
        <v>893</v>
      </c>
    </row>
    <row r="34" spans="1:13" x14ac:dyDescent="0.25">
      <c r="A34" s="279">
        <v>1</v>
      </c>
      <c r="B34" s="61" t="s">
        <v>465</v>
      </c>
      <c r="C34" s="62">
        <v>100000</v>
      </c>
      <c r="D34" s="316">
        <v>30910</v>
      </c>
      <c r="E34" s="62">
        <v>98</v>
      </c>
      <c r="F34" s="61">
        <f>(98-98+99-99+30-30)+98-98</f>
        <v>0</v>
      </c>
      <c r="G34" s="289">
        <f t="shared" ref="G34:G44" si="5">+E34+F34</f>
        <v>98</v>
      </c>
      <c r="H34" s="61">
        <f>98-98+99-99+30-30</f>
        <v>0</v>
      </c>
      <c r="I34" s="251">
        <f t="shared" ref="I34:I44" si="6">+G34-H34</f>
        <v>98</v>
      </c>
      <c r="J34" s="251">
        <f t="shared" ref="J34:J44" si="7">I34*C34</f>
        <v>9800000</v>
      </c>
      <c r="K34" s="290">
        <f t="shared" ref="K34:K44" si="8">+D34*I34</f>
        <v>3029180</v>
      </c>
      <c r="M34" s="172">
        <v>30</v>
      </c>
    </row>
    <row r="35" spans="1:13" x14ac:dyDescent="0.25">
      <c r="A35" s="279">
        <v>2</v>
      </c>
      <c r="B35" s="61" t="s">
        <v>466</v>
      </c>
      <c r="C35" s="62">
        <v>75000</v>
      </c>
      <c r="D35" s="316">
        <v>12773</v>
      </c>
      <c r="E35" s="62">
        <v>0</v>
      </c>
      <c r="F35" s="61">
        <f>17-17</f>
        <v>0</v>
      </c>
      <c r="G35" s="289">
        <f t="shared" si="5"/>
        <v>0</v>
      </c>
      <c r="H35" s="61">
        <f>47-47+17-17</f>
        <v>0</v>
      </c>
      <c r="I35" s="251">
        <f t="shared" si="6"/>
        <v>0</v>
      </c>
      <c r="J35" s="251">
        <f t="shared" si="7"/>
        <v>0</v>
      </c>
      <c r="K35" s="290">
        <f t="shared" si="8"/>
        <v>0</v>
      </c>
      <c r="L35" s="176">
        <f>+I35-47+47</f>
        <v>0</v>
      </c>
      <c r="M35" s="40">
        <v>17</v>
      </c>
    </row>
    <row r="36" spans="1:13" x14ac:dyDescent="0.25">
      <c r="A36" s="279">
        <v>3</v>
      </c>
      <c r="B36" s="61" t="s">
        <v>467</v>
      </c>
      <c r="C36" s="62">
        <v>2000</v>
      </c>
      <c r="D36" s="316">
        <v>613.49</v>
      </c>
      <c r="E36" s="62">
        <v>0</v>
      </c>
      <c r="F36" s="61"/>
      <c r="G36" s="289">
        <f t="shared" si="5"/>
        <v>0</v>
      </c>
      <c r="H36" s="61"/>
      <c r="I36" s="251">
        <f t="shared" si="6"/>
        <v>0</v>
      </c>
      <c r="J36" s="251">
        <f t="shared" si="7"/>
        <v>0</v>
      </c>
      <c r="K36" s="290">
        <f t="shared" si="8"/>
        <v>0</v>
      </c>
    </row>
    <row r="37" spans="1:13" x14ac:dyDescent="0.25">
      <c r="A37" s="279">
        <v>4</v>
      </c>
      <c r="B37" s="285" t="s">
        <v>468</v>
      </c>
      <c r="C37" s="62">
        <v>5000</v>
      </c>
      <c r="D37" s="316">
        <v>1002</v>
      </c>
      <c r="E37" s="62">
        <v>1200</v>
      </c>
      <c r="F37" s="61"/>
      <c r="G37" s="289">
        <f t="shared" si="5"/>
        <v>1200</v>
      </c>
      <c r="H37" s="61"/>
      <c r="I37" s="251">
        <f t="shared" si="6"/>
        <v>1200</v>
      </c>
      <c r="J37" s="251">
        <f t="shared" si="7"/>
        <v>6000000</v>
      </c>
      <c r="K37" s="290">
        <f t="shared" si="8"/>
        <v>1202400</v>
      </c>
    </row>
    <row r="38" spans="1:13" x14ac:dyDescent="0.25">
      <c r="A38" s="279">
        <v>5</v>
      </c>
      <c r="B38" s="61" t="s">
        <v>469</v>
      </c>
      <c r="C38" s="62">
        <v>50000</v>
      </c>
      <c r="D38" s="316">
        <f>1837+11000</f>
        <v>12837</v>
      </c>
      <c r="E38" s="62">
        <v>0</v>
      </c>
      <c r="F38" s="61"/>
      <c r="G38" s="289">
        <f t="shared" si="5"/>
        <v>0</v>
      </c>
      <c r="H38" s="61"/>
      <c r="I38" s="251">
        <f t="shared" si="6"/>
        <v>0</v>
      </c>
      <c r="J38" s="251">
        <f t="shared" si="7"/>
        <v>0</v>
      </c>
      <c r="K38" s="290">
        <f t="shared" si="8"/>
        <v>0</v>
      </c>
    </row>
    <row r="39" spans="1:13" x14ac:dyDescent="0.25">
      <c r="A39" s="279">
        <v>6</v>
      </c>
      <c r="B39" s="61" t="s">
        <v>470</v>
      </c>
      <c r="C39" s="62">
        <v>250000</v>
      </c>
      <c r="D39" s="316">
        <v>29835.67</v>
      </c>
      <c r="E39" s="62">
        <v>461</v>
      </c>
      <c r="F39" s="61"/>
      <c r="G39" s="289">
        <f t="shared" si="5"/>
        <v>461</v>
      </c>
      <c r="H39" s="61"/>
      <c r="I39" s="251">
        <f t="shared" si="6"/>
        <v>461</v>
      </c>
      <c r="J39" s="251">
        <f t="shared" si="7"/>
        <v>115250000</v>
      </c>
      <c r="K39" s="290">
        <f t="shared" si="8"/>
        <v>13754243.869999999</v>
      </c>
    </row>
    <row r="40" spans="1:13" x14ac:dyDescent="0.25">
      <c r="A40" s="279">
        <v>7</v>
      </c>
      <c r="B40" s="61" t="s">
        <v>471</v>
      </c>
      <c r="C40" s="62">
        <v>25000</v>
      </c>
      <c r="D40" s="316">
        <v>992.22</v>
      </c>
      <c r="E40" s="62">
        <v>40</v>
      </c>
      <c r="F40" s="61"/>
      <c r="G40" s="289">
        <f t="shared" si="5"/>
        <v>40</v>
      </c>
      <c r="H40" s="61"/>
      <c r="I40" s="251">
        <f t="shared" si="6"/>
        <v>40</v>
      </c>
      <c r="J40" s="251">
        <f t="shared" si="7"/>
        <v>1000000</v>
      </c>
      <c r="K40" s="290">
        <f t="shared" si="8"/>
        <v>39688.800000000003</v>
      </c>
    </row>
    <row r="41" spans="1:13" x14ac:dyDescent="0.25">
      <c r="A41" s="279">
        <v>8</v>
      </c>
      <c r="B41" s="61" t="s">
        <v>472</v>
      </c>
      <c r="C41" s="62">
        <v>7000</v>
      </c>
      <c r="D41" s="316">
        <v>677.89</v>
      </c>
      <c r="E41" s="62">
        <v>166</v>
      </c>
      <c r="F41" s="61"/>
      <c r="G41" s="289">
        <f t="shared" si="5"/>
        <v>166</v>
      </c>
      <c r="H41" s="61"/>
      <c r="I41" s="251">
        <f t="shared" si="6"/>
        <v>166</v>
      </c>
      <c r="J41" s="251">
        <f t="shared" si="7"/>
        <v>1162000</v>
      </c>
      <c r="K41" s="290">
        <f t="shared" si="8"/>
        <v>112529.73999999999</v>
      </c>
    </row>
    <row r="42" spans="1:13" x14ac:dyDescent="0.25">
      <c r="A42" s="279">
        <v>9</v>
      </c>
      <c r="B42" s="285" t="s">
        <v>473</v>
      </c>
      <c r="C42" s="62">
        <v>65000</v>
      </c>
      <c r="D42" s="316">
        <f>3112.12*4+9625</f>
        <v>22073.48</v>
      </c>
      <c r="E42" s="62">
        <v>0</v>
      </c>
      <c r="F42" s="61"/>
      <c r="G42" s="289">
        <f t="shared" si="5"/>
        <v>0</v>
      </c>
      <c r="H42" s="61"/>
      <c r="I42" s="251">
        <f t="shared" si="6"/>
        <v>0</v>
      </c>
      <c r="J42" s="251">
        <f t="shared" si="7"/>
        <v>0</v>
      </c>
      <c r="K42" s="290">
        <f t="shared" si="8"/>
        <v>0</v>
      </c>
    </row>
    <row r="43" spans="1:13" x14ac:dyDescent="0.25">
      <c r="A43" s="279">
        <v>10</v>
      </c>
      <c r="B43" s="285" t="s">
        <v>474</v>
      </c>
      <c r="C43" s="62">
        <v>5000</v>
      </c>
      <c r="D43" s="316">
        <v>9625</v>
      </c>
      <c r="E43" s="62">
        <v>725</v>
      </c>
      <c r="F43" s="61"/>
      <c r="G43" s="289">
        <f t="shared" si="5"/>
        <v>725</v>
      </c>
      <c r="H43" s="61"/>
      <c r="I43" s="251">
        <f t="shared" si="6"/>
        <v>725</v>
      </c>
      <c r="J43" s="251">
        <f t="shared" si="7"/>
        <v>3625000</v>
      </c>
      <c r="K43" s="290">
        <f t="shared" si="8"/>
        <v>6978125</v>
      </c>
    </row>
    <row r="44" spans="1:13" ht="15.75" thickBot="1" x14ac:dyDescent="0.3">
      <c r="A44" s="280">
        <v>11</v>
      </c>
      <c r="B44" s="281" t="s">
        <v>475</v>
      </c>
      <c r="C44" s="282">
        <v>110000</v>
      </c>
      <c r="D44" s="317">
        <v>45000</v>
      </c>
      <c r="E44" s="282">
        <v>40</v>
      </c>
      <c r="F44" s="281">
        <f>(25-25)+41-41</f>
        <v>0</v>
      </c>
      <c r="G44" s="295">
        <f t="shared" si="5"/>
        <v>40</v>
      </c>
      <c r="H44" s="281">
        <f>258-258+25-25+1-1</f>
        <v>0</v>
      </c>
      <c r="I44" s="322">
        <f t="shared" si="6"/>
        <v>40</v>
      </c>
      <c r="J44" s="322">
        <f t="shared" si="7"/>
        <v>4400000</v>
      </c>
      <c r="K44" s="323">
        <f t="shared" si="8"/>
        <v>1800000</v>
      </c>
      <c r="M44" s="40">
        <v>25</v>
      </c>
    </row>
    <row r="45" spans="1:13" ht="15.75" thickBot="1" x14ac:dyDescent="0.3">
      <c r="A45" s="313"/>
      <c r="B45" s="96" t="s">
        <v>662</v>
      </c>
      <c r="C45" s="296"/>
      <c r="D45" s="296"/>
      <c r="E45" s="97">
        <f t="shared" ref="E45:K45" si="9">SUM(E34:E44)</f>
        <v>2730</v>
      </c>
      <c r="F45" s="97">
        <f t="shared" si="9"/>
        <v>0</v>
      </c>
      <c r="G45" s="97">
        <f t="shared" si="9"/>
        <v>2730</v>
      </c>
      <c r="H45" s="97">
        <f t="shared" si="9"/>
        <v>0</v>
      </c>
      <c r="I45" s="97">
        <f t="shared" si="9"/>
        <v>2730</v>
      </c>
      <c r="J45" s="97">
        <f t="shared" si="9"/>
        <v>141237000</v>
      </c>
      <c r="K45" s="297">
        <f t="shared" si="9"/>
        <v>26916167.409999996</v>
      </c>
    </row>
    <row r="46" spans="1:13" ht="15.75" thickBot="1" x14ac:dyDescent="0.3">
      <c r="A46" s="298"/>
      <c r="B46" s="138"/>
      <c r="C46" s="139"/>
      <c r="D46" s="140"/>
      <c r="E46" s="141"/>
      <c r="F46" s="138"/>
      <c r="G46" s="141"/>
      <c r="H46" s="141"/>
      <c r="I46" s="141"/>
      <c r="J46" s="141"/>
      <c r="K46" s="140"/>
    </row>
    <row r="47" spans="1:13" ht="15.75" thickBot="1" x14ac:dyDescent="0.3">
      <c r="A47" s="418" t="s">
        <v>653</v>
      </c>
      <c r="B47" s="421" t="s">
        <v>704</v>
      </c>
      <c r="C47" s="421" t="s">
        <v>1</v>
      </c>
      <c r="D47" s="422" t="s">
        <v>645</v>
      </c>
      <c r="E47" s="423" t="s">
        <v>19</v>
      </c>
      <c r="F47" s="423"/>
      <c r="G47" s="423"/>
      <c r="H47" s="423"/>
      <c r="I47" s="423"/>
      <c r="J47" s="416" t="s">
        <v>20</v>
      </c>
      <c r="K47" s="418" t="s">
        <v>598</v>
      </c>
    </row>
    <row r="48" spans="1:13" ht="45.75" thickBot="1" x14ac:dyDescent="0.3">
      <c r="A48" s="420"/>
      <c r="B48" s="421"/>
      <c r="C48" s="421"/>
      <c r="D48" s="422"/>
      <c r="E48" s="272" t="s">
        <v>21</v>
      </c>
      <c r="F48" s="272" t="s">
        <v>596</v>
      </c>
      <c r="G48" s="272" t="s">
        <v>597</v>
      </c>
      <c r="H48" s="272" t="s">
        <v>585</v>
      </c>
      <c r="I48" s="272" t="s">
        <v>597</v>
      </c>
      <c r="J48" s="417"/>
      <c r="K48" s="419"/>
    </row>
    <row r="49" spans="1:12" ht="15.75" thickBot="1" x14ac:dyDescent="0.3">
      <c r="A49" s="419"/>
      <c r="B49" s="273">
        <v>1</v>
      </c>
      <c r="C49" s="273">
        <v>2</v>
      </c>
      <c r="D49" s="273">
        <v>3</v>
      </c>
      <c r="E49" s="274">
        <v>4</v>
      </c>
      <c r="F49" s="274">
        <f>+E49+1</f>
        <v>5</v>
      </c>
      <c r="G49" s="274" t="s">
        <v>648</v>
      </c>
      <c r="H49" s="274">
        <v>7</v>
      </c>
      <c r="I49" s="275" t="s">
        <v>647</v>
      </c>
      <c r="J49" s="287" t="s">
        <v>646</v>
      </c>
      <c r="K49" s="287" t="s">
        <v>649</v>
      </c>
    </row>
    <row r="50" spans="1:12" x14ac:dyDescent="0.25">
      <c r="A50" s="288"/>
      <c r="B50" s="288"/>
      <c r="C50" s="288"/>
      <c r="D50" s="288"/>
      <c r="E50" s="288"/>
      <c r="F50" s="288"/>
      <c r="G50" s="288"/>
      <c r="H50" s="288"/>
      <c r="I50" s="288"/>
      <c r="J50" s="288"/>
      <c r="K50" s="288"/>
    </row>
    <row r="51" spans="1:12" x14ac:dyDescent="0.25">
      <c r="A51" s="279">
        <v>1</v>
      </c>
      <c r="B51" s="61" t="s">
        <v>476</v>
      </c>
      <c r="C51" s="62">
        <v>35000</v>
      </c>
      <c r="D51" s="316">
        <f>4840+1554.67</f>
        <v>6394.67</v>
      </c>
      <c r="E51" s="62">
        <v>686</v>
      </c>
      <c r="F51" s="61"/>
      <c r="G51" s="289">
        <f>+E51+F51</f>
        <v>686</v>
      </c>
      <c r="H51" s="61"/>
      <c r="I51" s="251">
        <f>+G51-H51</f>
        <v>686</v>
      </c>
      <c r="J51" s="251">
        <f>I51*C51</f>
        <v>24010000</v>
      </c>
      <c r="K51" s="290">
        <f>+D51*I51</f>
        <v>4386743.62</v>
      </c>
    </row>
    <row r="52" spans="1:12" x14ac:dyDescent="0.25">
      <c r="A52" s="279">
        <v>2</v>
      </c>
      <c r="B52" s="61" t="s">
        <v>477</v>
      </c>
      <c r="C52" s="62">
        <v>40000</v>
      </c>
      <c r="D52" s="316">
        <f>6*145.15+920.06+1920.45+2812.06+7700</f>
        <v>14223.47</v>
      </c>
      <c r="E52" s="62">
        <v>0</v>
      </c>
      <c r="F52" s="61"/>
      <c r="G52" s="289">
        <f>+E52+F52</f>
        <v>0</v>
      </c>
      <c r="H52" s="61">
        <f>3-3</f>
        <v>0</v>
      </c>
      <c r="I52" s="251">
        <f>+G52-H52</f>
        <v>0</v>
      </c>
      <c r="J52" s="251">
        <f>I52*C52</f>
        <v>0</v>
      </c>
      <c r="K52" s="290">
        <f>+D52*I52</f>
        <v>0</v>
      </c>
    </row>
    <row r="53" spans="1:12" x14ac:dyDescent="0.25">
      <c r="A53" s="279">
        <v>3</v>
      </c>
      <c r="B53" s="358" t="s">
        <v>478</v>
      </c>
      <c r="C53" s="62">
        <v>45000</v>
      </c>
      <c r="D53" s="316">
        <f>8*208.86+2457.94+1407.72+4950</f>
        <v>10486.54</v>
      </c>
      <c r="E53" s="62">
        <v>90</v>
      </c>
      <c r="F53" s="61">
        <f>6-6</f>
        <v>0</v>
      </c>
      <c r="G53" s="289">
        <f>+E53+F53</f>
        <v>90</v>
      </c>
      <c r="H53" s="61"/>
      <c r="I53" s="251">
        <f>+G53-H53</f>
        <v>90</v>
      </c>
      <c r="J53" s="251">
        <f>I53*C53</f>
        <v>4050000</v>
      </c>
      <c r="K53" s="290">
        <f>+D53*I53</f>
        <v>943788.60000000009</v>
      </c>
    </row>
    <row r="54" spans="1:12" ht="15.75" thickBot="1" x14ac:dyDescent="0.3">
      <c r="A54" s="280">
        <v>4</v>
      </c>
      <c r="B54" s="281" t="s">
        <v>479</v>
      </c>
      <c r="C54" s="282">
        <v>50000</v>
      </c>
      <c r="D54" s="317">
        <v>36801.18</v>
      </c>
      <c r="E54" s="282">
        <v>6</v>
      </c>
      <c r="F54" s="61">
        <f>6-6</f>
        <v>0</v>
      </c>
      <c r="G54" s="295">
        <f>+E54+F54</f>
        <v>6</v>
      </c>
      <c r="H54" s="281">
        <f>7-7</f>
        <v>0</v>
      </c>
      <c r="I54" s="322">
        <f>+G54-H54</f>
        <v>6</v>
      </c>
      <c r="J54" s="322">
        <f>I54*C54</f>
        <v>300000</v>
      </c>
      <c r="K54" s="323">
        <f>+D54*I54</f>
        <v>220807.08000000002</v>
      </c>
    </row>
    <row r="55" spans="1:12" ht="15.75" thickBot="1" x14ac:dyDescent="0.3">
      <c r="A55" s="313"/>
      <c r="B55" s="96" t="s">
        <v>665</v>
      </c>
      <c r="C55" s="296"/>
      <c r="D55" s="296"/>
      <c r="E55" s="97">
        <f t="shared" ref="E55:K55" si="10">SUM(E51:E54)</f>
        <v>782</v>
      </c>
      <c r="F55" s="97">
        <f t="shared" si="10"/>
        <v>0</v>
      </c>
      <c r="G55" s="97">
        <f t="shared" si="10"/>
        <v>782</v>
      </c>
      <c r="H55" s="97">
        <f t="shared" si="10"/>
        <v>0</v>
      </c>
      <c r="I55" s="97">
        <f t="shared" si="10"/>
        <v>782</v>
      </c>
      <c r="J55" s="97">
        <f t="shared" si="10"/>
        <v>28360000</v>
      </c>
      <c r="K55" s="393">
        <f t="shared" si="10"/>
        <v>5551339.3000000007</v>
      </c>
    </row>
    <row r="56" spans="1:12" ht="15.75" thickBot="1" x14ac:dyDescent="0.3">
      <c r="A56" s="298"/>
      <c r="B56" s="138"/>
      <c r="C56" s="139"/>
      <c r="D56" s="140"/>
      <c r="E56" s="141"/>
      <c r="F56" s="138"/>
      <c r="G56" s="141"/>
      <c r="H56" s="141"/>
      <c r="I56" s="141"/>
      <c r="J56" s="141"/>
      <c r="K56" s="140"/>
    </row>
    <row r="57" spans="1:12" ht="15.75" thickBot="1" x14ac:dyDescent="0.3">
      <c r="A57" s="418" t="s">
        <v>653</v>
      </c>
      <c r="B57" s="421" t="s">
        <v>704</v>
      </c>
      <c r="C57" s="421" t="s">
        <v>1</v>
      </c>
      <c r="D57" s="422" t="s">
        <v>645</v>
      </c>
      <c r="E57" s="423" t="s">
        <v>19</v>
      </c>
      <c r="F57" s="423"/>
      <c r="G57" s="423"/>
      <c r="H57" s="423"/>
      <c r="I57" s="423"/>
      <c r="J57" s="416" t="s">
        <v>20</v>
      </c>
      <c r="K57" s="418" t="s">
        <v>598</v>
      </c>
    </row>
    <row r="58" spans="1:12" ht="45.75" thickBot="1" x14ac:dyDescent="0.3">
      <c r="A58" s="420"/>
      <c r="B58" s="421"/>
      <c r="C58" s="421"/>
      <c r="D58" s="422"/>
      <c r="E58" s="272" t="s">
        <v>21</v>
      </c>
      <c r="F58" s="272" t="s">
        <v>596</v>
      </c>
      <c r="G58" s="272" t="s">
        <v>597</v>
      </c>
      <c r="H58" s="272" t="s">
        <v>585</v>
      </c>
      <c r="I58" s="272" t="s">
        <v>597</v>
      </c>
      <c r="J58" s="417"/>
      <c r="K58" s="419"/>
    </row>
    <row r="59" spans="1:12" ht="15.75" thickBot="1" x14ac:dyDescent="0.3">
      <c r="A59" s="419"/>
      <c r="B59" s="273">
        <v>1</v>
      </c>
      <c r="C59" s="273">
        <v>2</v>
      </c>
      <c r="D59" s="273">
        <v>3</v>
      </c>
      <c r="E59" s="274">
        <v>4</v>
      </c>
      <c r="F59" s="274">
        <f>+E59+1</f>
        <v>5</v>
      </c>
      <c r="G59" s="274" t="s">
        <v>648</v>
      </c>
      <c r="H59" s="274">
        <v>7</v>
      </c>
      <c r="I59" s="275" t="s">
        <v>647</v>
      </c>
      <c r="J59" s="287" t="s">
        <v>646</v>
      </c>
      <c r="K59" s="287" t="s">
        <v>649</v>
      </c>
    </row>
    <row r="60" spans="1:12" x14ac:dyDescent="0.25">
      <c r="A60" s="288"/>
      <c r="B60" s="288"/>
      <c r="C60" s="288"/>
      <c r="D60" s="288"/>
      <c r="E60" s="288"/>
      <c r="F60" s="288"/>
      <c r="G60" s="288"/>
      <c r="H60" s="288"/>
      <c r="I60" s="288"/>
      <c r="J60" s="288"/>
      <c r="K60" s="288"/>
    </row>
    <row r="61" spans="1:12" x14ac:dyDescent="0.25">
      <c r="A61" s="279">
        <v>1</v>
      </c>
      <c r="B61" s="61" t="s">
        <v>480</v>
      </c>
      <c r="C61" s="62">
        <v>30000</v>
      </c>
      <c r="D61" s="316">
        <f>6600+1630+1732.5</f>
        <v>9962.5</v>
      </c>
      <c r="E61" s="62">
        <v>333</v>
      </c>
      <c r="F61" s="61">
        <f>97-97+2-2</f>
        <v>0</v>
      </c>
      <c r="G61" s="289">
        <f>+E61+F61</f>
        <v>333</v>
      </c>
      <c r="H61" s="61">
        <f>97-97</f>
        <v>0</v>
      </c>
      <c r="I61" s="251">
        <f>+G61-H61</f>
        <v>333</v>
      </c>
      <c r="J61" s="251">
        <f>I61*C61</f>
        <v>9990000</v>
      </c>
      <c r="K61" s="290">
        <f>+D61*I61</f>
        <v>3317512.5</v>
      </c>
      <c r="L61" s="176">
        <f>+I61-331</f>
        <v>2</v>
      </c>
    </row>
    <row r="62" spans="1:12" x14ac:dyDescent="0.25">
      <c r="A62" s="279">
        <v>2</v>
      </c>
      <c r="B62" s="61" t="s">
        <v>481</v>
      </c>
      <c r="C62" s="62">
        <v>45000</v>
      </c>
      <c r="D62" s="316">
        <v>0</v>
      </c>
      <c r="E62" s="62">
        <v>20</v>
      </c>
      <c r="F62" s="61"/>
      <c r="G62" s="289">
        <f>+E62+F62</f>
        <v>20</v>
      </c>
      <c r="H62" s="61"/>
      <c r="I62" s="251">
        <f>+G62-H62</f>
        <v>20</v>
      </c>
      <c r="J62" s="251">
        <f>I62*C62</f>
        <v>900000</v>
      </c>
      <c r="K62" s="290">
        <f>+D62*I62</f>
        <v>0</v>
      </c>
    </row>
    <row r="63" spans="1:12" x14ac:dyDescent="0.25">
      <c r="A63" s="279">
        <v>3</v>
      </c>
      <c r="B63" s="61" t="s">
        <v>482</v>
      </c>
      <c r="C63" s="62">
        <v>80000</v>
      </c>
      <c r="D63" s="316">
        <f>8800+3761.46</f>
        <v>12561.46</v>
      </c>
      <c r="E63" s="62">
        <v>84</v>
      </c>
      <c r="F63" s="61">
        <f>17-17</f>
        <v>0</v>
      </c>
      <c r="G63" s="289">
        <f>+E63+F63</f>
        <v>84</v>
      </c>
      <c r="H63" s="61"/>
      <c r="I63" s="251">
        <f>+G63-H63</f>
        <v>84</v>
      </c>
      <c r="J63" s="251">
        <f>I63*C63</f>
        <v>6720000</v>
      </c>
      <c r="K63" s="290">
        <f>+D63*I63</f>
        <v>1055162.6399999999</v>
      </c>
    </row>
    <row r="64" spans="1:12" x14ac:dyDescent="0.25">
      <c r="A64" s="279">
        <v>4</v>
      </c>
      <c r="B64" s="61" t="s">
        <v>483</v>
      </c>
      <c r="C64" s="62">
        <v>45000</v>
      </c>
      <c r="D64" s="316">
        <v>14975.55</v>
      </c>
      <c r="E64" s="62">
        <v>1083</v>
      </c>
      <c r="F64" s="61"/>
      <c r="G64" s="289">
        <f>+E64+F64</f>
        <v>1083</v>
      </c>
      <c r="H64" s="61"/>
      <c r="I64" s="251">
        <f>+G64-H64</f>
        <v>1083</v>
      </c>
      <c r="J64" s="251">
        <f>I64*C64</f>
        <v>48735000</v>
      </c>
      <c r="K64" s="290">
        <f>+D64*I64</f>
        <v>16218520.649999999</v>
      </c>
    </row>
    <row r="65" spans="1:12" ht="15.75" thickBot="1" x14ac:dyDescent="0.3">
      <c r="A65" s="280">
        <v>5</v>
      </c>
      <c r="B65" s="392" t="s">
        <v>484</v>
      </c>
      <c r="C65" s="282">
        <v>60000</v>
      </c>
      <c r="D65" s="317">
        <v>29759.75</v>
      </c>
      <c r="E65" s="282">
        <v>105</v>
      </c>
      <c r="F65" s="281">
        <f>9-9</f>
        <v>0</v>
      </c>
      <c r="G65" s="295">
        <f>+E65+F65</f>
        <v>105</v>
      </c>
      <c r="H65" s="281">
        <f>25-25</f>
        <v>0</v>
      </c>
      <c r="I65" s="322">
        <f>+G65-H65</f>
        <v>105</v>
      </c>
      <c r="J65" s="322">
        <f>I65*C65</f>
        <v>6300000</v>
      </c>
      <c r="K65" s="323">
        <f>+D65*I65</f>
        <v>3124773.75</v>
      </c>
      <c r="L65" s="176">
        <f>+I65-96</f>
        <v>9</v>
      </c>
    </row>
    <row r="66" spans="1:12" ht="15.75" thickBot="1" x14ac:dyDescent="0.3">
      <c r="A66" s="313"/>
      <c r="B66" s="96" t="s">
        <v>666</v>
      </c>
      <c r="C66" s="296"/>
      <c r="D66" s="296"/>
      <c r="E66" s="97">
        <f t="shared" ref="E66:K66" si="11">SUM(E61:E65)</f>
        <v>1625</v>
      </c>
      <c r="F66" s="97">
        <f t="shared" si="11"/>
        <v>0</v>
      </c>
      <c r="G66" s="97">
        <f t="shared" si="11"/>
        <v>1625</v>
      </c>
      <c r="H66" s="97">
        <f t="shared" si="11"/>
        <v>0</v>
      </c>
      <c r="I66" s="97">
        <f t="shared" si="11"/>
        <v>1625</v>
      </c>
      <c r="J66" s="97">
        <f t="shared" si="11"/>
        <v>72645000</v>
      </c>
      <c r="K66" s="297">
        <f t="shared" si="11"/>
        <v>23715969.539999999</v>
      </c>
    </row>
    <row r="67" spans="1:12" ht="15.75" thickBot="1" x14ac:dyDescent="0.3">
      <c r="A67" s="298"/>
      <c r="B67" s="138"/>
      <c r="C67" s="139"/>
      <c r="D67" s="140"/>
      <c r="E67" s="141"/>
      <c r="F67" s="138"/>
      <c r="G67" s="141"/>
      <c r="H67" s="141"/>
      <c r="I67" s="141"/>
      <c r="J67" s="141"/>
      <c r="K67" s="140"/>
    </row>
    <row r="68" spans="1:12" ht="15.75" thickBot="1" x14ac:dyDescent="0.3">
      <c r="A68" s="418" t="s">
        <v>653</v>
      </c>
      <c r="B68" s="421" t="s">
        <v>704</v>
      </c>
      <c r="C68" s="421" t="s">
        <v>1</v>
      </c>
      <c r="D68" s="422" t="s">
        <v>645</v>
      </c>
      <c r="E68" s="423" t="s">
        <v>19</v>
      </c>
      <c r="F68" s="423"/>
      <c r="G68" s="423"/>
      <c r="H68" s="423"/>
      <c r="I68" s="423"/>
      <c r="J68" s="416" t="s">
        <v>20</v>
      </c>
      <c r="K68" s="418" t="s">
        <v>598</v>
      </c>
    </row>
    <row r="69" spans="1:12" ht="45.75" thickBot="1" x14ac:dyDescent="0.3">
      <c r="A69" s="420"/>
      <c r="B69" s="421"/>
      <c r="C69" s="421"/>
      <c r="D69" s="422"/>
      <c r="E69" s="272" t="s">
        <v>21</v>
      </c>
      <c r="F69" s="272" t="s">
        <v>596</v>
      </c>
      <c r="G69" s="272" t="s">
        <v>597</v>
      </c>
      <c r="H69" s="272" t="s">
        <v>585</v>
      </c>
      <c r="I69" s="272" t="s">
        <v>597</v>
      </c>
      <c r="J69" s="417"/>
      <c r="K69" s="419"/>
    </row>
    <row r="70" spans="1:12" ht="15.75" thickBot="1" x14ac:dyDescent="0.3">
      <c r="A70" s="419"/>
      <c r="B70" s="273">
        <v>1</v>
      </c>
      <c r="C70" s="273">
        <v>2</v>
      </c>
      <c r="D70" s="273">
        <v>3</v>
      </c>
      <c r="E70" s="274">
        <v>4</v>
      </c>
      <c r="F70" s="274">
        <f>+E70+1</f>
        <v>5</v>
      </c>
      <c r="G70" s="274" t="s">
        <v>648</v>
      </c>
      <c r="H70" s="274">
        <v>7</v>
      </c>
      <c r="I70" s="275" t="s">
        <v>647</v>
      </c>
      <c r="J70" s="287" t="s">
        <v>646</v>
      </c>
      <c r="K70" s="287" t="s">
        <v>649</v>
      </c>
    </row>
    <row r="71" spans="1:12" x14ac:dyDescent="0.25">
      <c r="A71" s="298"/>
      <c r="B71" s="394"/>
      <c r="C71" s="394"/>
      <c r="D71" s="394"/>
      <c r="E71" s="394"/>
      <c r="F71" s="394"/>
      <c r="G71" s="394"/>
      <c r="H71" s="394"/>
      <c r="I71" s="395"/>
      <c r="J71" s="394"/>
      <c r="K71" s="394"/>
    </row>
    <row r="72" spans="1:12" ht="15.75" thickBot="1" x14ac:dyDescent="0.3">
      <c r="A72" s="338">
        <v>1</v>
      </c>
      <c r="B72" s="396" t="s">
        <v>762</v>
      </c>
      <c r="C72" s="397">
        <v>12000</v>
      </c>
      <c r="D72" s="398">
        <f>136.57*4+5500</f>
        <v>6046.28</v>
      </c>
      <c r="E72" s="397">
        <v>30</v>
      </c>
      <c r="F72" s="61">
        <f>4-4</f>
        <v>0</v>
      </c>
      <c r="G72" s="91">
        <f>+E72+F72</f>
        <v>30</v>
      </c>
      <c r="H72" s="90"/>
      <c r="I72" s="292">
        <f>+G72-H72</f>
        <v>30</v>
      </c>
      <c r="J72" s="292">
        <f>I72*C72</f>
        <v>360000</v>
      </c>
      <c r="K72" s="293">
        <f>+D72*I72</f>
        <v>181388.4</v>
      </c>
    </row>
    <row r="73" spans="1:12" ht="15.75" thickBot="1" x14ac:dyDescent="0.3">
      <c r="A73" s="313"/>
      <c r="B73" s="96" t="s">
        <v>669</v>
      </c>
      <c r="C73" s="296"/>
      <c r="D73" s="296"/>
      <c r="E73" s="97">
        <f t="shared" ref="E73:K73" si="12">E72</f>
        <v>30</v>
      </c>
      <c r="F73" s="97">
        <f t="shared" si="12"/>
        <v>0</v>
      </c>
      <c r="G73" s="97">
        <f t="shared" si="12"/>
        <v>30</v>
      </c>
      <c r="H73" s="97">
        <f t="shared" si="12"/>
        <v>0</v>
      </c>
      <c r="I73" s="97">
        <f t="shared" si="12"/>
        <v>30</v>
      </c>
      <c r="J73" s="97">
        <f t="shared" si="12"/>
        <v>360000</v>
      </c>
      <c r="K73" s="297">
        <f t="shared" si="12"/>
        <v>181388.4</v>
      </c>
    </row>
    <row r="74" spans="1:12" ht="15.75" thickBot="1" x14ac:dyDescent="0.3">
      <c r="A74" s="298"/>
      <c r="B74" s="138"/>
      <c r="C74" s="139"/>
      <c r="D74" s="140"/>
      <c r="E74" s="141"/>
      <c r="F74" s="138"/>
      <c r="G74" s="141"/>
      <c r="H74" s="141"/>
      <c r="I74" s="141"/>
      <c r="J74" s="141"/>
      <c r="K74" s="140"/>
    </row>
    <row r="75" spans="1:12" ht="15.75" thickBot="1" x14ac:dyDescent="0.3">
      <c r="A75" s="418" t="s">
        <v>653</v>
      </c>
      <c r="B75" s="421" t="s">
        <v>704</v>
      </c>
      <c r="C75" s="421" t="s">
        <v>1</v>
      </c>
      <c r="D75" s="422" t="s">
        <v>645</v>
      </c>
      <c r="E75" s="423" t="s">
        <v>19</v>
      </c>
      <c r="F75" s="423"/>
      <c r="G75" s="423"/>
      <c r="H75" s="423"/>
      <c r="I75" s="423"/>
      <c r="J75" s="416" t="s">
        <v>20</v>
      </c>
      <c r="K75" s="418" t="s">
        <v>598</v>
      </c>
    </row>
    <row r="76" spans="1:12" ht="45.75" thickBot="1" x14ac:dyDescent="0.3">
      <c r="A76" s="420"/>
      <c r="B76" s="421"/>
      <c r="C76" s="421"/>
      <c r="D76" s="422"/>
      <c r="E76" s="272" t="s">
        <v>21</v>
      </c>
      <c r="F76" s="272" t="s">
        <v>596</v>
      </c>
      <c r="G76" s="272" t="s">
        <v>597</v>
      </c>
      <c r="H76" s="272" t="s">
        <v>585</v>
      </c>
      <c r="I76" s="272" t="s">
        <v>597</v>
      </c>
      <c r="J76" s="417"/>
      <c r="K76" s="419"/>
    </row>
    <row r="77" spans="1:12" ht="15.75" thickBot="1" x14ac:dyDescent="0.3">
      <c r="A77" s="419"/>
      <c r="B77" s="273">
        <v>1</v>
      </c>
      <c r="C77" s="273">
        <v>2</v>
      </c>
      <c r="D77" s="273">
        <v>3</v>
      </c>
      <c r="E77" s="274">
        <v>4</v>
      </c>
      <c r="F77" s="274">
        <f>+E77+1</f>
        <v>5</v>
      </c>
      <c r="G77" s="274" t="s">
        <v>648</v>
      </c>
      <c r="H77" s="274">
        <v>7</v>
      </c>
      <c r="I77" s="275" t="s">
        <v>647</v>
      </c>
      <c r="J77" s="287" t="s">
        <v>646</v>
      </c>
      <c r="K77" s="287" t="s">
        <v>649</v>
      </c>
    </row>
    <row r="78" spans="1:12" x14ac:dyDescent="0.25">
      <c r="A78" s="288"/>
      <c r="B78" s="288"/>
      <c r="C78" s="288"/>
      <c r="D78" s="288"/>
      <c r="E78" s="288"/>
      <c r="F78" s="288"/>
      <c r="G78" s="288"/>
      <c r="H78" s="288"/>
      <c r="I78" s="288"/>
      <c r="J78" s="288"/>
      <c r="K78" s="288"/>
    </row>
    <row r="79" spans="1:12" x14ac:dyDescent="0.25">
      <c r="A79" s="279">
        <v>1</v>
      </c>
      <c r="B79" s="285" t="s">
        <v>763</v>
      </c>
      <c r="C79" s="62">
        <v>100000</v>
      </c>
      <c r="D79" s="316">
        <v>8693.16</v>
      </c>
      <c r="E79" s="62">
        <v>4</v>
      </c>
      <c r="F79" s="62"/>
      <c r="G79" s="62">
        <f>+E79+F79</f>
        <v>4</v>
      </c>
      <c r="H79" s="61"/>
      <c r="I79" s="251">
        <f>+G79-H79</f>
        <v>4</v>
      </c>
      <c r="J79" s="251">
        <f>I79*C79</f>
        <v>400000</v>
      </c>
      <c r="K79" s="290">
        <f>+D79*I79</f>
        <v>34772.639999999999</v>
      </c>
    </row>
    <row r="80" spans="1:12" x14ac:dyDescent="0.25">
      <c r="A80" s="279">
        <v>2</v>
      </c>
      <c r="B80" s="285" t="s">
        <v>767</v>
      </c>
      <c r="C80" s="62">
        <v>60000</v>
      </c>
      <c r="D80" s="316">
        <v>13622.62</v>
      </c>
      <c r="E80" s="62">
        <v>40</v>
      </c>
      <c r="F80" s="62"/>
      <c r="G80" s="62">
        <f>+E80+F80</f>
        <v>40</v>
      </c>
      <c r="H80" s="61"/>
      <c r="I80" s="251">
        <f>+G80-H80</f>
        <v>40</v>
      </c>
      <c r="J80" s="251">
        <f>I80*C80</f>
        <v>2400000</v>
      </c>
      <c r="K80" s="290">
        <f>+D80*I80</f>
        <v>544904.80000000005</v>
      </c>
    </row>
    <row r="81" spans="1:12" ht="15.75" thickBot="1" x14ac:dyDescent="0.3">
      <c r="A81" s="369">
        <v>3</v>
      </c>
      <c r="B81" s="399" t="s">
        <v>1227</v>
      </c>
      <c r="C81" s="362">
        <v>30000</v>
      </c>
      <c r="D81" s="400">
        <v>0</v>
      </c>
      <c r="E81" s="362">
        <v>1</v>
      </c>
      <c r="F81" s="61">
        <f>1-1</f>
        <v>0</v>
      </c>
      <c r="G81" s="362">
        <f>+E81+F81</f>
        <v>1</v>
      </c>
      <c r="H81" s="361"/>
      <c r="I81" s="371">
        <f>+G81-H81</f>
        <v>1</v>
      </c>
      <c r="J81" s="371">
        <f>I81*C81</f>
        <v>30000</v>
      </c>
      <c r="K81" s="372">
        <f>+D81*I81</f>
        <v>0</v>
      </c>
    </row>
    <row r="82" spans="1:12" ht="15.75" thickBot="1" x14ac:dyDescent="0.3">
      <c r="A82" s="313"/>
      <c r="B82" s="96" t="s">
        <v>670</v>
      </c>
      <c r="C82" s="296"/>
      <c r="D82" s="296"/>
      <c r="E82" s="97">
        <f t="shared" ref="E82:K82" si="13">SUM(E79:E81)</f>
        <v>45</v>
      </c>
      <c r="F82" s="97">
        <f t="shared" si="13"/>
        <v>0</v>
      </c>
      <c r="G82" s="97">
        <f t="shared" si="13"/>
        <v>45</v>
      </c>
      <c r="H82" s="97">
        <f t="shared" si="13"/>
        <v>0</v>
      </c>
      <c r="I82" s="97">
        <f t="shared" si="13"/>
        <v>45</v>
      </c>
      <c r="J82" s="97">
        <f t="shared" si="13"/>
        <v>2830000</v>
      </c>
      <c r="K82" s="297">
        <f t="shared" si="13"/>
        <v>579677.44000000006</v>
      </c>
    </row>
    <row r="83" spans="1:12" ht="15.75" thickBot="1" x14ac:dyDescent="0.3">
      <c r="A83" s="298"/>
      <c r="B83" s="138"/>
      <c r="C83" s="139"/>
      <c r="D83" s="140"/>
      <c r="E83" s="141"/>
      <c r="F83" s="138"/>
      <c r="G83" s="141"/>
      <c r="H83" s="141"/>
      <c r="I83" s="141"/>
      <c r="J83" s="141"/>
      <c r="K83" s="140"/>
    </row>
    <row r="84" spans="1:12" ht="15.75" thickBot="1" x14ac:dyDescent="0.3">
      <c r="A84" s="418" t="s">
        <v>653</v>
      </c>
      <c r="B84" s="421" t="s">
        <v>704</v>
      </c>
      <c r="C84" s="421" t="s">
        <v>1</v>
      </c>
      <c r="D84" s="422" t="s">
        <v>645</v>
      </c>
      <c r="E84" s="423" t="s">
        <v>19</v>
      </c>
      <c r="F84" s="423"/>
      <c r="G84" s="423"/>
      <c r="H84" s="423"/>
      <c r="I84" s="423"/>
      <c r="J84" s="416" t="s">
        <v>20</v>
      </c>
      <c r="K84" s="418" t="s">
        <v>598</v>
      </c>
    </row>
    <row r="85" spans="1:12" ht="45.75" thickBot="1" x14ac:dyDescent="0.3">
      <c r="A85" s="420"/>
      <c r="B85" s="421"/>
      <c r="C85" s="421"/>
      <c r="D85" s="422"/>
      <c r="E85" s="272" t="s">
        <v>21</v>
      </c>
      <c r="F85" s="272" t="s">
        <v>596</v>
      </c>
      <c r="G85" s="272" t="s">
        <v>597</v>
      </c>
      <c r="H85" s="272" t="s">
        <v>585</v>
      </c>
      <c r="I85" s="272" t="s">
        <v>597</v>
      </c>
      <c r="J85" s="417"/>
      <c r="K85" s="419"/>
    </row>
    <row r="86" spans="1:12" ht="15.75" thickBot="1" x14ac:dyDescent="0.3">
      <c r="A86" s="419"/>
      <c r="B86" s="273">
        <v>1</v>
      </c>
      <c r="C86" s="273">
        <v>2</v>
      </c>
      <c r="D86" s="273">
        <v>3</v>
      </c>
      <c r="E86" s="274">
        <v>4</v>
      </c>
      <c r="F86" s="274">
        <f>+E86+1</f>
        <v>5</v>
      </c>
      <c r="G86" s="274" t="s">
        <v>648</v>
      </c>
      <c r="H86" s="274">
        <v>7</v>
      </c>
      <c r="I86" s="275" t="s">
        <v>647</v>
      </c>
      <c r="J86" s="287" t="s">
        <v>646</v>
      </c>
      <c r="K86" s="287" t="s">
        <v>649</v>
      </c>
    </row>
    <row r="87" spans="1:12" x14ac:dyDescent="0.25">
      <c r="A87" s="288"/>
      <c r="B87" s="288"/>
      <c r="C87" s="288"/>
      <c r="D87" s="288"/>
      <c r="E87" s="288"/>
      <c r="F87" s="288"/>
      <c r="G87" s="288"/>
      <c r="H87" s="288"/>
      <c r="I87" s="288"/>
      <c r="J87" s="288"/>
      <c r="K87" s="288"/>
    </row>
    <row r="88" spans="1:12" x14ac:dyDescent="0.25">
      <c r="A88" s="279">
        <v>1</v>
      </c>
      <c r="B88" s="285" t="s">
        <v>485</v>
      </c>
      <c r="C88" s="62">
        <v>30000</v>
      </c>
      <c r="D88" s="316">
        <v>7897</v>
      </c>
      <c r="E88" s="61">
        <v>0</v>
      </c>
      <c r="F88" s="61"/>
      <c r="G88" s="62">
        <f>+E88+F88</f>
        <v>0</v>
      </c>
      <c r="H88" s="61">
        <f>39-39</f>
        <v>0</v>
      </c>
      <c r="I88" s="251">
        <f>+G88-H88</f>
        <v>0</v>
      </c>
      <c r="J88" s="251">
        <f>I88*C88</f>
        <v>0</v>
      </c>
      <c r="K88" s="290">
        <f>+D88*I88</f>
        <v>0</v>
      </c>
      <c r="L88" s="176">
        <f>+I88-39+39</f>
        <v>0</v>
      </c>
    </row>
    <row r="89" spans="1:12" x14ac:dyDescent="0.25">
      <c r="A89" s="279">
        <v>2</v>
      </c>
      <c r="B89" s="285" t="s">
        <v>736</v>
      </c>
      <c r="C89" s="62">
        <v>100000</v>
      </c>
      <c r="D89" s="316">
        <v>16171</v>
      </c>
      <c r="E89" s="61">
        <v>0</v>
      </c>
      <c r="F89" s="61"/>
      <c r="G89" s="62">
        <f>+E89+F89</f>
        <v>0</v>
      </c>
      <c r="H89" s="61">
        <f>9-9</f>
        <v>0</v>
      </c>
      <c r="I89" s="251">
        <f>+G89-H89</f>
        <v>0</v>
      </c>
      <c r="J89" s="251">
        <f>I89*C89</f>
        <v>0</v>
      </c>
      <c r="K89" s="290">
        <f>+D89*I89</f>
        <v>0</v>
      </c>
    </row>
    <row r="90" spans="1:12" x14ac:dyDescent="0.25">
      <c r="A90" s="279">
        <v>3</v>
      </c>
      <c r="B90" s="285" t="s">
        <v>737</v>
      </c>
      <c r="C90" s="62">
        <v>60000</v>
      </c>
      <c r="D90" s="316">
        <v>16171</v>
      </c>
      <c r="E90" s="61">
        <v>0</v>
      </c>
      <c r="F90" s="61"/>
      <c r="G90" s="62">
        <f>+E90+F90</f>
        <v>0</v>
      </c>
      <c r="H90" s="61"/>
      <c r="I90" s="251">
        <f>+G90-H90</f>
        <v>0</v>
      </c>
      <c r="J90" s="251">
        <f>I90*C90</f>
        <v>0</v>
      </c>
      <c r="K90" s="290">
        <f>+D90*I90</f>
        <v>0</v>
      </c>
    </row>
    <row r="91" spans="1:12" ht="15.75" thickBot="1" x14ac:dyDescent="0.3">
      <c r="A91" s="280">
        <v>4</v>
      </c>
      <c r="B91" s="392" t="s">
        <v>738</v>
      </c>
      <c r="C91" s="282">
        <v>350000</v>
      </c>
      <c r="D91" s="317"/>
      <c r="E91" s="281">
        <v>260</v>
      </c>
      <c r="F91" s="281"/>
      <c r="G91" s="282">
        <f>+E91+F91</f>
        <v>260</v>
      </c>
      <c r="H91" s="281"/>
      <c r="I91" s="322">
        <f>+G91-H91</f>
        <v>260</v>
      </c>
      <c r="J91" s="322">
        <f>I91*C91</f>
        <v>91000000</v>
      </c>
      <c r="K91" s="323">
        <f>+D91*I91</f>
        <v>0</v>
      </c>
      <c r="L91" s="176">
        <f>+I91-260</f>
        <v>0</v>
      </c>
    </row>
    <row r="92" spans="1:12" ht="15.75" thickBot="1" x14ac:dyDescent="0.3">
      <c r="A92" s="313"/>
      <c r="B92" s="96" t="s">
        <v>672</v>
      </c>
      <c r="C92" s="296"/>
      <c r="D92" s="296"/>
      <c r="E92" s="296">
        <f>SUM(E88:E91)</f>
        <v>260</v>
      </c>
      <c r="F92" s="296"/>
      <c r="G92" s="296">
        <f>SUM(G88:G91)</f>
        <v>260</v>
      </c>
      <c r="H92" s="97">
        <f>SUM(H88:H91)</f>
        <v>0</v>
      </c>
      <c r="I92" s="296">
        <f>SUM(I88:I91)</f>
        <v>260</v>
      </c>
      <c r="J92" s="97">
        <f>SUM(J88:J91)</f>
        <v>91000000</v>
      </c>
      <c r="K92" s="297">
        <f>SUM(K88:K91)</f>
        <v>0</v>
      </c>
    </row>
    <row r="93" spans="1:12" ht="15.75" thickBot="1" x14ac:dyDescent="0.3">
      <c r="A93" s="298"/>
      <c r="B93" s="138"/>
      <c r="C93" s="139"/>
      <c r="D93" s="140"/>
      <c r="E93" s="141"/>
      <c r="F93" s="138"/>
      <c r="G93" s="141"/>
      <c r="H93" s="141"/>
      <c r="I93" s="141"/>
      <c r="J93" s="141"/>
      <c r="K93" s="140"/>
    </row>
    <row r="94" spans="1:12" ht="15.75" thickBot="1" x14ac:dyDescent="0.3">
      <c r="A94" s="418" t="s">
        <v>653</v>
      </c>
      <c r="B94" s="421" t="s">
        <v>704</v>
      </c>
      <c r="C94" s="421" t="s">
        <v>1</v>
      </c>
      <c r="D94" s="422" t="s">
        <v>645</v>
      </c>
      <c r="E94" s="423" t="s">
        <v>19</v>
      </c>
      <c r="F94" s="423"/>
      <c r="G94" s="423"/>
      <c r="H94" s="423"/>
      <c r="I94" s="423"/>
      <c r="J94" s="416" t="s">
        <v>20</v>
      </c>
      <c r="K94" s="418" t="s">
        <v>598</v>
      </c>
    </row>
    <row r="95" spans="1:12" ht="45.75" thickBot="1" x14ac:dyDescent="0.3">
      <c r="A95" s="420"/>
      <c r="B95" s="421"/>
      <c r="C95" s="421"/>
      <c r="D95" s="422"/>
      <c r="E95" s="272" t="s">
        <v>21</v>
      </c>
      <c r="F95" s="272" t="s">
        <v>596</v>
      </c>
      <c r="G95" s="272" t="s">
        <v>597</v>
      </c>
      <c r="H95" s="272" t="s">
        <v>585</v>
      </c>
      <c r="I95" s="272" t="s">
        <v>597</v>
      </c>
      <c r="J95" s="417"/>
      <c r="K95" s="419"/>
    </row>
    <row r="96" spans="1:12" ht="15.75" thickBot="1" x14ac:dyDescent="0.3">
      <c r="A96" s="419"/>
      <c r="B96" s="273">
        <v>1</v>
      </c>
      <c r="C96" s="273">
        <v>2</v>
      </c>
      <c r="D96" s="273">
        <v>3</v>
      </c>
      <c r="E96" s="274">
        <v>4</v>
      </c>
      <c r="F96" s="274">
        <f>+E96+1</f>
        <v>5</v>
      </c>
      <c r="G96" s="274" t="s">
        <v>648</v>
      </c>
      <c r="H96" s="274">
        <v>7</v>
      </c>
      <c r="I96" s="275" t="s">
        <v>647</v>
      </c>
      <c r="J96" s="287" t="s">
        <v>646</v>
      </c>
      <c r="K96" s="287" t="s">
        <v>649</v>
      </c>
    </row>
    <row r="97" spans="1:12" x14ac:dyDescent="0.25">
      <c r="A97" s="288"/>
      <c r="B97" s="288"/>
      <c r="C97" s="288"/>
      <c r="D97" s="288"/>
      <c r="E97" s="288"/>
      <c r="F97" s="288"/>
      <c r="G97" s="288"/>
      <c r="H97" s="288"/>
      <c r="I97" s="288"/>
      <c r="J97" s="288"/>
      <c r="K97" s="288"/>
    </row>
    <row r="98" spans="1:12" x14ac:dyDescent="0.25">
      <c r="A98" s="279">
        <v>1</v>
      </c>
      <c r="B98" s="401" t="s">
        <v>486</v>
      </c>
      <c r="C98" s="291">
        <v>20000</v>
      </c>
      <c r="D98" s="326">
        <v>3753.24</v>
      </c>
      <c r="E98" s="61"/>
      <c r="F98" s="61"/>
      <c r="G98" s="62">
        <f>+E98+F98</f>
        <v>0</v>
      </c>
      <c r="H98" s="61"/>
      <c r="I98" s="251">
        <f>+G98-H98</f>
        <v>0</v>
      </c>
      <c r="J98" s="251">
        <f>I98*C98</f>
        <v>0</v>
      </c>
      <c r="K98" s="290">
        <f>+D98*I98</f>
        <v>0</v>
      </c>
    </row>
    <row r="99" spans="1:12" ht="15.75" thickBot="1" x14ac:dyDescent="0.3">
      <c r="A99" s="280">
        <v>2</v>
      </c>
      <c r="B99" s="402" t="s">
        <v>487</v>
      </c>
      <c r="C99" s="403">
        <v>30000</v>
      </c>
      <c r="D99" s="320">
        <v>9732.9599999999991</v>
      </c>
      <c r="E99" s="281"/>
      <c r="F99" s="281"/>
      <c r="G99" s="282">
        <f>+E99+F99</f>
        <v>0</v>
      </c>
      <c r="H99" s="281"/>
      <c r="I99" s="322">
        <f>+G99-H99</f>
        <v>0</v>
      </c>
      <c r="J99" s="322">
        <f>I99*C99</f>
        <v>0</v>
      </c>
      <c r="K99" s="323">
        <f>+D99*I99</f>
        <v>0</v>
      </c>
    </row>
    <row r="100" spans="1:12" ht="15.75" thickBot="1" x14ac:dyDescent="0.3">
      <c r="A100" s="313"/>
      <c r="B100" s="96" t="s">
        <v>680</v>
      </c>
      <c r="C100" s="296"/>
      <c r="D100" s="296"/>
      <c r="E100" s="97">
        <f>SUM(E98:E99)</f>
        <v>0</v>
      </c>
      <c r="F100" s="97"/>
      <c r="G100" s="97">
        <f>SUM(G98:G99)</f>
        <v>0</v>
      </c>
      <c r="H100" s="97">
        <f>SUM(H98:H99)</f>
        <v>0</v>
      </c>
      <c r="I100" s="97">
        <f>SUM(I98:I99)</f>
        <v>0</v>
      </c>
      <c r="J100" s="97">
        <f>SUM(J98:J99)</f>
        <v>0</v>
      </c>
      <c r="K100" s="97">
        <f>SUM(K98:K99)</f>
        <v>0</v>
      </c>
    </row>
    <row r="101" spans="1:12" ht="15.75" thickBot="1" x14ac:dyDescent="0.3">
      <c r="A101" s="298"/>
      <c r="B101" s="138"/>
      <c r="C101" s="139"/>
      <c r="D101" s="140"/>
      <c r="E101" s="141"/>
      <c r="F101" s="138"/>
      <c r="G101" s="141"/>
      <c r="H101" s="141"/>
      <c r="I101" s="141"/>
      <c r="J101" s="141"/>
      <c r="K101" s="140"/>
    </row>
    <row r="102" spans="1:12" ht="15.75" thickBot="1" x14ac:dyDescent="0.3">
      <c r="A102" s="418" t="s">
        <v>653</v>
      </c>
      <c r="B102" s="421" t="s">
        <v>704</v>
      </c>
      <c r="C102" s="421" t="s">
        <v>1</v>
      </c>
      <c r="D102" s="422" t="s">
        <v>645</v>
      </c>
      <c r="E102" s="423" t="s">
        <v>19</v>
      </c>
      <c r="F102" s="423"/>
      <c r="G102" s="423"/>
      <c r="H102" s="423"/>
      <c r="I102" s="423"/>
      <c r="J102" s="416" t="s">
        <v>20</v>
      </c>
      <c r="K102" s="418" t="s">
        <v>598</v>
      </c>
    </row>
    <row r="103" spans="1:12" ht="45.75" thickBot="1" x14ac:dyDescent="0.3">
      <c r="A103" s="420"/>
      <c r="B103" s="421"/>
      <c r="C103" s="421"/>
      <c r="D103" s="422"/>
      <c r="E103" s="272" t="s">
        <v>21</v>
      </c>
      <c r="F103" s="272" t="s">
        <v>596</v>
      </c>
      <c r="G103" s="272" t="s">
        <v>597</v>
      </c>
      <c r="H103" s="272" t="s">
        <v>585</v>
      </c>
      <c r="I103" s="272" t="s">
        <v>597</v>
      </c>
      <c r="J103" s="417"/>
      <c r="K103" s="419"/>
    </row>
    <row r="104" spans="1:12" ht="15.75" thickBot="1" x14ac:dyDescent="0.3">
      <c r="A104" s="419"/>
      <c r="B104" s="273">
        <v>1</v>
      </c>
      <c r="C104" s="273">
        <v>2</v>
      </c>
      <c r="D104" s="273">
        <v>3</v>
      </c>
      <c r="E104" s="274">
        <v>4</v>
      </c>
      <c r="F104" s="274">
        <f>+E104+1</f>
        <v>5</v>
      </c>
      <c r="G104" s="274" t="s">
        <v>648</v>
      </c>
      <c r="H104" s="274">
        <v>7</v>
      </c>
      <c r="I104" s="275" t="s">
        <v>647</v>
      </c>
      <c r="J104" s="287" t="s">
        <v>646</v>
      </c>
      <c r="K104" s="287" t="s">
        <v>649</v>
      </c>
    </row>
    <row r="105" spans="1:12" x14ac:dyDescent="0.25">
      <c r="A105" s="288"/>
      <c r="B105" s="288"/>
      <c r="C105" s="288"/>
      <c r="D105" s="288"/>
      <c r="E105" s="288"/>
      <c r="F105" s="288"/>
      <c r="G105" s="288"/>
      <c r="H105" s="288"/>
      <c r="I105" s="288"/>
      <c r="J105" s="288"/>
      <c r="K105" s="288"/>
    </row>
    <row r="106" spans="1:12" x14ac:dyDescent="0.25">
      <c r="A106" s="279">
        <v>1</v>
      </c>
      <c r="B106" s="401" t="s">
        <v>488</v>
      </c>
      <c r="C106" s="291">
        <v>35000</v>
      </c>
      <c r="D106" s="326">
        <v>8071</v>
      </c>
      <c r="E106" s="62">
        <v>0</v>
      </c>
      <c r="F106" s="61"/>
      <c r="G106" s="62">
        <f>+E106+F106</f>
        <v>0</v>
      </c>
      <c r="H106" s="61">
        <f>450-450</f>
        <v>0</v>
      </c>
      <c r="I106" s="251">
        <f>+G106-H106</f>
        <v>0</v>
      </c>
      <c r="J106" s="251">
        <f>I106*C106</f>
        <v>0</v>
      </c>
      <c r="K106" s="290">
        <f>+D106*I106</f>
        <v>0</v>
      </c>
      <c r="L106" s="176">
        <f>+I106-450+450</f>
        <v>0</v>
      </c>
    </row>
    <row r="107" spans="1:12" x14ac:dyDescent="0.25">
      <c r="A107" s="279">
        <v>2</v>
      </c>
      <c r="B107" s="61" t="s">
        <v>489</v>
      </c>
      <c r="C107" s="62">
        <v>100000</v>
      </c>
      <c r="D107" s="316">
        <v>1925</v>
      </c>
      <c r="E107" s="62">
        <v>505</v>
      </c>
      <c r="F107" s="61"/>
      <c r="G107" s="62">
        <f>+E107+F107</f>
        <v>505</v>
      </c>
      <c r="H107" s="61"/>
      <c r="I107" s="251">
        <f>+G107-H107</f>
        <v>505</v>
      </c>
      <c r="J107" s="251">
        <f>I107*C107</f>
        <v>50500000</v>
      </c>
      <c r="K107" s="290">
        <f>+D107*I107</f>
        <v>972125</v>
      </c>
    </row>
    <row r="108" spans="1:12" x14ac:dyDescent="0.25">
      <c r="A108" s="279">
        <v>3</v>
      </c>
      <c r="B108" s="90" t="s">
        <v>556</v>
      </c>
      <c r="C108" s="91">
        <v>50000</v>
      </c>
      <c r="D108" s="351">
        <v>10857.7</v>
      </c>
      <c r="E108" s="91">
        <v>0</v>
      </c>
      <c r="F108" s="61"/>
      <c r="G108" s="62">
        <f>+E108+F108</f>
        <v>0</v>
      </c>
      <c r="H108" s="61">
        <f>330-330</f>
        <v>0</v>
      </c>
      <c r="I108" s="251">
        <f>+G108-H108</f>
        <v>0</v>
      </c>
      <c r="J108" s="251">
        <f>I108*C108</f>
        <v>0</v>
      </c>
      <c r="K108" s="290">
        <f>+D108*I108</f>
        <v>0</v>
      </c>
    </row>
    <row r="109" spans="1:12" x14ac:dyDescent="0.25">
      <c r="A109" s="279">
        <v>4</v>
      </c>
      <c r="B109" s="61" t="s">
        <v>631</v>
      </c>
      <c r="C109" s="62">
        <v>7500</v>
      </c>
      <c r="D109" s="61"/>
      <c r="E109" s="62">
        <v>100</v>
      </c>
      <c r="F109" s="61"/>
      <c r="G109" s="62">
        <f>+E109+F109</f>
        <v>100</v>
      </c>
      <c r="H109" s="61"/>
      <c r="I109" s="251">
        <f>+G109-H109</f>
        <v>100</v>
      </c>
      <c r="J109" s="251">
        <f>I109*C109</f>
        <v>750000</v>
      </c>
      <c r="K109" s="290">
        <f>+D109*I109</f>
        <v>0</v>
      </c>
    </row>
    <row r="110" spans="1:12" ht="15.75" thickBot="1" x14ac:dyDescent="0.3">
      <c r="A110" s="279">
        <v>5</v>
      </c>
      <c r="B110" s="281" t="s">
        <v>865</v>
      </c>
      <c r="C110" s="282">
        <v>130000</v>
      </c>
      <c r="D110" s="333">
        <v>17485</v>
      </c>
      <c r="E110" s="282">
        <v>50</v>
      </c>
      <c r="F110" s="281"/>
      <c r="G110" s="62">
        <f>+E110+F110</f>
        <v>50</v>
      </c>
      <c r="H110" s="61"/>
      <c r="I110" s="251">
        <f>+G110-H110</f>
        <v>50</v>
      </c>
      <c r="J110" s="251">
        <f>I110*C110</f>
        <v>6500000</v>
      </c>
      <c r="K110" s="290">
        <f>+D110*I110</f>
        <v>874250</v>
      </c>
    </row>
    <row r="111" spans="1:12" ht="15.75" thickBot="1" x14ac:dyDescent="0.3">
      <c r="A111" s="313"/>
      <c r="B111" s="96" t="s">
        <v>715</v>
      </c>
      <c r="C111" s="296"/>
      <c r="D111" s="296"/>
      <c r="E111" s="97">
        <f>SUM(E106:E110)</f>
        <v>655</v>
      </c>
      <c r="F111" s="97">
        <f t="shared" ref="F111:K111" si="14">SUM(F106:F110)</f>
        <v>0</v>
      </c>
      <c r="G111" s="97">
        <f t="shared" si="14"/>
        <v>655</v>
      </c>
      <c r="H111" s="97">
        <f t="shared" si="14"/>
        <v>0</v>
      </c>
      <c r="I111" s="97">
        <f t="shared" si="14"/>
        <v>655</v>
      </c>
      <c r="J111" s="97">
        <f t="shared" si="14"/>
        <v>57750000</v>
      </c>
      <c r="K111" s="328">
        <f t="shared" si="14"/>
        <v>1846375</v>
      </c>
    </row>
    <row r="112" spans="1:12" ht="15.75" thickBot="1" x14ac:dyDescent="0.3">
      <c r="A112" s="298"/>
      <c r="B112" s="138"/>
      <c r="C112" s="139"/>
      <c r="D112" s="140"/>
      <c r="E112" s="141"/>
      <c r="F112" s="138"/>
      <c r="G112" s="141"/>
      <c r="H112" s="141"/>
      <c r="I112" s="141"/>
      <c r="J112" s="141"/>
      <c r="K112" s="140"/>
    </row>
    <row r="113" spans="1:11" ht="15.75" thickBot="1" x14ac:dyDescent="0.3">
      <c r="A113" s="418" t="s">
        <v>653</v>
      </c>
      <c r="B113" s="421" t="s">
        <v>704</v>
      </c>
      <c r="C113" s="421" t="s">
        <v>1</v>
      </c>
      <c r="D113" s="422" t="s">
        <v>645</v>
      </c>
      <c r="E113" s="423" t="s">
        <v>19</v>
      </c>
      <c r="F113" s="423"/>
      <c r="G113" s="423"/>
      <c r="H113" s="423"/>
      <c r="I113" s="423"/>
      <c r="J113" s="416" t="s">
        <v>20</v>
      </c>
      <c r="K113" s="418" t="s">
        <v>598</v>
      </c>
    </row>
    <row r="114" spans="1:11" ht="45.75" thickBot="1" x14ac:dyDescent="0.3">
      <c r="A114" s="420"/>
      <c r="B114" s="421"/>
      <c r="C114" s="421"/>
      <c r="D114" s="422"/>
      <c r="E114" s="272" t="s">
        <v>21</v>
      </c>
      <c r="F114" s="272" t="s">
        <v>596</v>
      </c>
      <c r="G114" s="272" t="s">
        <v>597</v>
      </c>
      <c r="H114" s="272" t="s">
        <v>585</v>
      </c>
      <c r="I114" s="272" t="s">
        <v>597</v>
      </c>
      <c r="J114" s="417"/>
      <c r="K114" s="419"/>
    </row>
    <row r="115" spans="1:11" ht="15.75" thickBot="1" x14ac:dyDescent="0.3">
      <c r="A115" s="419"/>
      <c r="B115" s="273">
        <v>1</v>
      </c>
      <c r="C115" s="273">
        <v>2</v>
      </c>
      <c r="D115" s="273">
        <v>3</v>
      </c>
      <c r="E115" s="274">
        <v>4</v>
      </c>
      <c r="F115" s="274">
        <f>+E115+1</f>
        <v>5</v>
      </c>
      <c r="G115" s="274" t="s">
        <v>648</v>
      </c>
      <c r="H115" s="274">
        <v>7</v>
      </c>
      <c r="I115" s="275" t="s">
        <v>647</v>
      </c>
      <c r="J115" s="287" t="s">
        <v>646</v>
      </c>
      <c r="K115" s="287" t="s">
        <v>649</v>
      </c>
    </row>
    <row r="116" spans="1:11" x14ac:dyDescent="0.25">
      <c r="A116" s="288"/>
      <c r="B116" s="288"/>
      <c r="C116" s="288"/>
      <c r="D116" s="288"/>
      <c r="E116" s="288"/>
      <c r="F116" s="288"/>
      <c r="G116" s="288"/>
      <c r="H116" s="288"/>
      <c r="I116" s="288"/>
      <c r="J116" s="288"/>
      <c r="K116" s="288"/>
    </row>
    <row r="117" spans="1:11" x14ac:dyDescent="0.25">
      <c r="A117" s="279">
        <v>1</v>
      </c>
      <c r="B117" s="61" t="s">
        <v>594</v>
      </c>
      <c r="C117" s="62">
        <v>60000</v>
      </c>
      <c r="D117" s="316">
        <v>7150</v>
      </c>
      <c r="E117" s="62">
        <v>0</v>
      </c>
      <c r="F117" s="289"/>
      <c r="G117" s="62">
        <f>+E117+F117</f>
        <v>0</v>
      </c>
      <c r="H117" s="289">
        <f>1000-1000</f>
        <v>0</v>
      </c>
      <c r="I117" s="251">
        <f>+G117-H117</f>
        <v>0</v>
      </c>
      <c r="J117" s="251">
        <f>I117*C117</f>
        <v>0</v>
      </c>
      <c r="K117" s="290">
        <f>+D117*I117</f>
        <v>0</v>
      </c>
    </row>
    <row r="118" spans="1:11" ht="15.75" thickBot="1" x14ac:dyDescent="0.3">
      <c r="A118" s="280">
        <v>2</v>
      </c>
      <c r="B118" s="281" t="s">
        <v>620</v>
      </c>
      <c r="C118" s="282">
        <v>8000</v>
      </c>
      <c r="D118" s="317">
        <v>4989.0200000000004</v>
      </c>
      <c r="E118" s="282">
        <v>174</v>
      </c>
      <c r="F118" s="281"/>
      <c r="G118" s="282">
        <f>+E118+F118</f>
        <v>174</v>
      </c>
      <c r="H118" s="281"/>
      <c r="I118" s="322">
        <f>+G118-H118</f>
        <v>174</v>
      </c>
      <c r="J118" s="322">
        <f>I118*C118</f>
        <v>1392000</v>
      </c>
      <c r="K118" s="323">
        <f>+D118*I118</f>
        <v>868089.4800000001</v>
      </c>
    </row>
    <row r="119" spans="1:11" ht="15.75" thickBot="1" x14ac:dyDescent="0.3">
      <c r="A119" s="313"/>
      <c r="B119" s="96" t="s">
        <v>684</v>
      </c>
      <c r="C119" s="296"/>
      <c r="D119" s="296"/>
      <c r="E119" s="97">
        <f>SUM(E117:E118)</f>
        <v>174</v>
      </c>
      <c r="F119" s="97">
        <f t="shared" ref="F119:K119" si="15">SUM(F117:F118)</f>
        <v>0</v>
      </c>
      <c r="G119" s="97">
        <f t="shared" si="15"/>
        <v>174</v>
      </c>
      <c r="H119" s="97">
        <f t="shared" si="15"/>
        <v>0</v>
      </c>
      <c r="I119" s="97">
        <f t="shared" si="15"/>
        <v>174</v>
      </c>
      <c r="J119" s="97">
        <f t="shared" si="15"/>
        <v>1392000</v>
      </c>
      <c r="K119" s="297">
        <f t="shared" si="15"/>
        <v>868089.4800000001</v>
      </c>
    </row>
    <row r="120" spans="1:11" ht="15.75" thickBot="1" x14ac:dyDescent="0.3">
      <c r="A120" s="298"/>
      <c r="B120" s="298"/>
      <c r="C120" s="298"/>
      <c r="D120" s="298"/>
      <c r="E120" s="298"/>
      <c r="F120" s="298"/>
      <c r="G120" s="298"/>
      <c r="H120" s="298"/>
      <c r="I120" s="298"/>
      <c r="J120" s="298"/>
      <c r="K120" s="298"/>
    </row>
    <row r="121" spans="1:11" ht="15.75" thickBot="1" x14ac:dyDescent="0.3">
      <c r="A121" s="418" t="s">
        <v>653</v>
      </c>
      <c r="B121" s="421" t="s">
        <v>704</v>
      </c>
      <c r="C121" s="421" t="s">
        <v>1</v>
      </c>
      <c r="D121" s="422" t="s">
        <v>645</v>
      </c>
      <c r="E121" s="423" t="s">
        <v>19</v>
      </c>
      <c r="F121" s="423"/>
      <c r="G121" s="423"/>
      <c r="H121" s="423"/>
      <c r="I121" s="423"/>
      <c r="J121" s="416" t="s">
        <v>20</v>
      </c>
      <c r="K121" s="418" t="s">
        <v>598</v>
      </c>
    </row>
    <row r="122" spans="1:11" ht="45.75" thickBot="1" x14ac:dyDescent="0.3">
      <c r="A122" s="420"/>
      <c r="B122" s="421"/>
      <c r="C122" s="421"/>
      <c r="D122" s="422"/>
      <c r="E122" s="272" t="s">
        <v>21</v>
      </c>
      <c r="F122" s="272" t="s">
        <v>596</v>
      </c>
      <c r="G122" s="272" t="s">
        <v>597</v>
      </c>
      <c r="H122" s="272" t="s">
        <v>585</v>
      </c>
      <c r="I122" s="272" t="s">
        <v>597</v>
      </c>
      <c r="J122" s="417"/>
      <c r="K122" s="419"/>
    </row>
    <row r="123" spans="1:11" ht="15.75" thickBot="1" x14ac:dyDescent="0.3">
      <c r="A123" s="419"/>
      <c r="B123" s="273">
        <v>1</v>
      </c>
      <c r="C123" s="273">
        <v>2</v>
      </c>
      <c r="D123" s="273">
        <v>3</v>
      </c>
      <c r="E123" s="274">
        <v>4</v>
      </c>
      <c r="F123" s="274">
        <f>+E123+1</f>
        <v>5</v>
      </c>
      <c r="G123" s="274" t="s">
        <v>648</v>
      </c>
      <c r="H123" s="274">
        <v>7</v>
      </c>
      <c r="I123" s="275" t="s">
        <v>647</v>
      </c>
      <c r="J123" s="287" t="s">
        <v>646</v>
      </c>
      <c r="K123" s="287" t="s">
        <v>649</v>
      </c>
    </row>
    <row r="124" spans="1:11" x14ac:dyDescent="0.25">
      <c r="A124" s="288"/>
      <c r="B124" s="288"/>
      <c r="C124" s="288"/>
      <c r="D124" s="288"/>
      <c r="E124" s="288"/>
      <c r="F124" s="288"/>
      <c r="G124" s="288"/>
      <c r="H124" s="288"/>
      <c r="I124" s="288"/>
      <c r="J124" s="288"/>
      <c r="K124" s="288"/>
    </row>
    <row r="125" spans="1:11" x14ac:dyDescent="0.25">
      <c r="A125" s="279">
        <v>1</v>
      </c>
      <c r="B125" s="61" t="s">
        <v>793</v>
      </c>
      <c r="C125" s="62">
        <v>7500</v>
      </c>
      <c r="D125" s="316">
        <v>6764.25</v>
      </c>
      <c r="E125" s="62">
        <v>0</v>
      </c>
      <c r="F125" s="61"/>
      <c r="G125" s="62">
        <f>+E125+F125</f>
        <v>0</v>
      </c>
      <c r="H125" s="61"/>
      <c r="I125" s="251">
        <f>+G125-H125</f>
        <v>0</v>
      </c>
      <c r="J125" s="251">
        <f>I125*C125</f>
        <v>0</v>
      </c>
      <c r="K125" s="290">
        <f>+D125*I125</f>
        <v>0</v>
      </c>
    </row>
    <row r="126" spans="1:11" x14ac:dyDescent="0.25">
      <c r="A126" s="338">
        <v>2</v>
      </c>
      <c r="B126" s="61" t="s">
        <v>792</v>
      </c>
      <c r="C126" s="62">
        <v>100000</v>
      </c>
      <c r="D126" s="351"/>
      <c r="E126" s="91">
        <v>0</v>
      </c>
      <c r="F126" s="90"/>
      <c r="G126" s="62">
        <f>+E126+F126</f>
        <v>0</v>
      </c>
      <c r="H126" s="61"/>
      <c r="I126" s="251">
        <f>+G126-H126</f>
        <v>0</v>
      </c>
      <c r="J126" s="251">
        <f>I126*C126</f>
        <v>0</v>
      </c>
      <c r="K126" s="290">
        <f>+D126*I126</f>
        <v>0</v>
      </c>
    </row>
    <row r="127" spans="1:11" x14ac:dyDescent="0.25">
      <c r="A127" s="279">
        <v>3</v>
      </c>
      <c r="B127" s="90" t="s">
        <v>794</v>
      </c>
      <c r="C127" s="91">
        <v>40000</v>
      </c>
      <c r="D127" s="351"/>
      <c r="E127" s="91">
        <v>0</v>
      </c>
      <c r="F127" s="90"/>
      <c r="G127" s="62">
        <f>+E127+F127</f>
        <v>0</v>
      </c>
      <c r="H127" s="61"/>
      <c r="I127" s="251">
        <f>+G127-H127</f>
        <v>0</v>
      </c>
      <c r="J127" s="251">
        <f>I127*C127</f>
        <v>0</v>
      </c>
      <c r="K127" s="290">
        <f>+D127*I127</f>
        <v>0</v>
      </c>
    </row>
    <row r="128" spans="1:11" x14ac:dyDescent="0.25">
      <c r="A128" s="338">
        <v>4</v>
      </c>
      <c r="B128" s="90" t="s">
        <v>796</v>
      </c>
      <c r="C128" s="91">
        <v>80000</v>
      </c>
      <c r="D128" s="351">
        <v>0</v>
      </c>
      <c r="E128" s="91">
        <v>0</v>
      </c>
      <c r="F128" s="90"/>
      <c r="G128" s="91">
        <f>+E128+F128</f>
        <v>0</v>
      </c>
      <c r="H128" s="90"/>
      <c r="I128" s="292">
        <f>+G128-H128</f>
        <v>0</v>
      </c>
      <c r="J128" s="292">
        <f>I128*C128</f>
        <v>0</v>
      </c>
      <c r="K128" s="293">
        <f>+D128*I128</f>
        <v>0</v>
      </c>
    </row>
    <row r="129" spans="1:15" x14ac:dyDescent="0.25">
      <c r="A129" s="279">
        <v>5</v>
      </c>
      <c r="B129" s="61" t="s">
        <v>800</v>
      </c>
      <c r="C129" s="62">
        <v>100000</v>
      </c>
      <c r="D129" s="316"/>
      <c r="E129" s="62"/>
      <c r="F129" s="61"/>
      <c r="G129" s="62"/>
      <c r="H129" s="61"/>
      <c r="I129" s="251"/>
      <c r="J129" s="251"/>
      <c r="K129" s="290"/>
    </row>
    <row r="130" spans="1:15" x14ac:dyDescent="0.25">
      <c r="A130" s="338">
        <v>6</v>
      </c>
      <c r="B130" s="61" t="s">
        <v>813</v>
      </c>
      <c r="C130" s="62">
        <v>20000</v>
      </c>
      <c r="D130" s="316">
        <v>1629</v>
      </c>
      <c r="E130" s="62">
        <v>0</v>
      </c>
      <c r="F130" s="289">
        <f>2000-2000</f>
        <v>0</v>
      </c>
      <c r="G130" s="382">
        <f t="shared" ref="G130:G137" si="16">+E130+F130</f>
        <v>0</v>
      </c>
      <c r="H130" s="300">
        <f>1000+100-1100+50-50</f>
        <v>0</v>
      </c>
      <c r="I130" s="292">
        <f t="shared" ref="I130:I137" si="17">+G130-H130</f>
        <v>0</v>
      </c>
      <c r="J130" s="292">
        <f t="shared" ref="J130:J137" si="18">I130*C130</f>
        <v>0</v>
      </c>
      <c r="K130" s="293">
        <f t="shared" ref="K130:K137" si="19">+D130*I130</f>
        <v>0</v>
      </c>
      <c r="L130" s="183"/>
      <c r="N130" s="172">
        <v>1000</v>
      </c>
      <c r="O130" s="172">
        <v>100</v>
      </c>
    </row>
    <row r="131" spans="1:15" x14ac:dyDescent="0.25">
      <c r="A131" s="279">
        <v>7</v>
      </c>
      <c r="B131" s="61" t="s">
        <v>814</v>
      </c>
      <c r="C131" s="62">
        <v>64000</v>
      </c>
      <c r="D131" s="316">
        <v>27632</v>
      </c>
      <c r="E131" s="62">
        <v>0</v>
      </c>
      <c r="F131" s="289">
        <f>2000-2000</f>
        <v>0</v>
      </c>
      <c r="G131" s="382">
        <f t="shared" si="16"/>
        <v>0</v>
      </c>
      <c r="H131" s="300">
        <f>2000-2000</f>
        <v>0</v>
      </c>
      <c r="I131" s="292">
        <f t="shared" si="17"/>
        <v>0</v>
      </c>
      <c r="J131" s="292">
        <f t="shared" si="18"/>
        <v>0</v>
      </c>
      <c r="K131" s="293">
        <f t="shared" si="19"/>
        <v>0</v>
      </c>
    </row>
    <row r="132" spans="1:15" x14ac:dyDescent="0.25">
      <c r="A132" s="338">
        <v>8</v>
      </c>
      <c r="B132" s="61" t="s">
        <v>815</v>
      </c>
      <c r="C132" s="62">
        <v>35000</v>
      </c>
      <c r="D132" s="316">
        <v>1474</v>
      </c>
      <c r="E132" s="62">
        <v>0</v>
      </c>
      <c r="F132" s="289">
        <f>500-500</f>
        <v>0</v>
      </c>
      <c r="G132" s="382">
        <f t="shared" si="16"/>
        <v>0</v>
      </c>
      <c r="H132" s="300">
        <f>500-500</f>
        <v>0</v>
      </c>
      <c r="I132" s="292">
        <f t="shared" si="17"/>
        <v>0</v>
      </c>
      <c r="J132" s="292">
        <f t="shared" si="18"/>
        <v>0</v>
      </c>
      <c r="K132" s="293">
        <f t="shared" si="19"/>
        <v>0</v>
      </c>
      <c r="N132" s="53"/>
    </row>
    <row r="133" spans="1:15" x14ac:dyDescent="0.25">
      <c r="A133" s="338">
        <v>9</v>
      </c>
      <c r="B133" s="90" t="s">
        <v>818</v>
      </c>
      <c r="C133" s="91">
        <v>64000</v>
      </c>
      <c r="D133" s="316">
        <v>23782</v>
      </c>
      <c r="E133" s="91">
        <v>699</v>
      </c>
      <c r="F133" s="300">
        <f>2000-2000+3000-3000</f>
        <v>0</v>
      </c>
      <c r="G133" s="382">
        <f t="shared" si="16"/>
        <v>699</v>
      </c>
      <c r="H133" s="300">
        <f>199+2150+100-2449+50-50+1-1</f>
        <v>0</v>
      </c>
      <c r="I133" s="292">
        <f t="shared" si="17"/>
        <v>699</v>
      </c>
      <c r="J133" s="292">
        <f t="shared" si="18"/>
        <v>44736000</v>
      </c>
      <c r="K133" s="293">
        <f t="shared" si="19"/>
        <v>16623618</v>
      </c>
      <c r="L133" s="183" t="s">
        <v>840</v>
      </c>
      <c r="M133" s="172">
        <v>199</v>
      </c>
      <c r="N133" s="174">
        <v>2150</v>
      </c>
      <c r="O133" s="172">
        <v>100</v>
      </c>
    </row>
    <row r="134" spans="1:15" x14ac:dyDescent="0.25">
      <c r="A134" s="279">
        <v>10</v>
      </c>
      <c r="B134" s="61" t="s">
        <v>821</v>
      </c>
      <c r="C134" s="62">
        <v>100000</v>
      </c>
      <c r="D134" s="189">
        <v>40400</v>
      </c>
      <c r="E134" s="62">
        <v>0</v>
      </c>
      <c r="F134" s="289">
        <f>450-450</f>
        <v>0</v>
      </c>
      <c r="G134" s="382">
        <f t="shared" si="16"/>
        <v>0</v>
      </c>
      <c r="H134" s="289">
        <f>200+250-450</f>
        <v>0</v>
      </c>
      <c r="I134" s="292">
        <f t="shared" si="17"/>
        <v>0</v>
      </c>
      <c r="J134" s="292">
        <f t="shared" si="18"/>
        <v>0</v>
      </c>
      <c r="K134" s="293">
        <f t="shared" si="19"/>
        <v>0</v>
      </c>
      <c r="L134" s="170"/>
      <c r="M134" s="172">
        <v>200</v>
      </c>
      <c r="N134" s="174">
        <v>250</v>
      </c>
    </row>
    <row r="135" spans="1:15" x14ac:dyDescent="0.25">
      <c r="A135" s="279">
        <v>11</v>
      </c>
      <c r="B135" s="61" t="s">
        <v>828</v>
      </c>
      <c r="C135" s="62">
        <v>70000</v>
      </c>
      <c r="D135" s="189">
        <v>24007.5</v>
      </c>
      <c r="E135" s="62">
        <v>0</v>
      </c>
      <c r="F135" s="289">
        <f>100-100</f>
        <v>0</v>
      </c>
      <c r="G135" s="382">
        <f t="shared" si="16"/>
        <v>0</v>
      </c>
      <c r="H135" s="289">
        <f>100-100</f>
        <v>0</v>
      </c>
      <c r="I135" s="292">
        <f t="shared" si="17"/>
        <v>0</v>
      </c>
      <c r="J135" s="292">
        <f t="shared" si="18"/>
        <v>0</v>
      </c>
      <c r="K135" s="293">
        <f t="shared" si="19"/>
        <v>0</v>
      </c>
      <c r="L135" s="170"/>
      <c r="N135" s="171"/>
    </row>
    <row r="136" spans="1:15" x14ac:dyDescent="0.25">
      <c r="A136" s="279">
        <v>12</v>
      </c>
      <c r="B136" s="61" t="s">
        <v>856</v>
      </c>
      <c r="C136" s="62">
        <v>100000</v>
      </c>
      <c r="D136" s="316"/>
      <c r="E136" s="62">
        <v>0</v>
      </c>
      <c r="F136" s="61">
        <f>861-861</f>
        <v>0</v>
      </c>
      <c r="G136" s="91">
        <f t="shared" si="16"/>
        <v>0</v>
      </c>
      <c r="H136" s="61">
        <f>861-861</f>
        <v>0</v>
      </c>
      <c r="I136" s="292">
        <f t="shared" si="17"/>
        <v>0</v>
      </c>
      <c r="J136" s="292">
        <f t="shared" si="18"/>
        <v>0</v>
      </c>
      <c r="K136" s="293">
        <f t="shared" si="19"/>
        <v>0</v>
      </c>
      <c r="L136" s="170"/>
      <c r="N136" s="171"/>
    </row>
    <row r="137" spans="1:15" x14ac:dyDescent="0.25">
      <c r="A137" s="279">
        <v>13</v>
      </c>
      <c r="B137" s="61" t="s">
        <v>884</v>
      </c>
      <c r="C137" s="62">
        <v>50000</v>
      </c>
      <c r="D137" s="316">
        <v>13007.5</v>
      </c>
      <c r="E137" s="62">
        <v>0</v>
      </c>
      <c r="F137" s="61">
        <f>1500-1500</f>
        <v>0</v>
      </c>
      <c r="G137" s="91">
        <f t="shared" si="16"/>
        <v>0</v>
      </c>
      <c r="H137" s="61">
        <f>1500-1500</f>
        <v>0</v>
      </c>
      <c r="I137" s="292">
        <f t="shared" si="17"/>
        <v>0</v>
      </c>
      <c r="J137" s="292">
        <f t="shared" si="18"/>
        <v>0</v>
      </c>
      <c r="K137" s="293">
        <f t="shared" si="19"/>
        <v>0</v>
      </c>
      <c r="L137" s="170"/>
      <c r="N137" s="171"/>
    </row>
    <row r="138" spans="1:15" ht="15.75" thickBot="1" x14ac:dyDescent="0.3">
      <c r="A138" s="280"/>
      <c r="B138" s="281"/>
      <c r="C138" s="282"/>
      <c r="D138" s="317"/>
      <c r="E138" s="282"/>
      <c r="F138" s="281"/>
      <c r="G138" s="282"/>
      <c r="H138" s="281"/>
      <c r="I138" s="322"/>
      <c r="J138" s="322"/>
      <c r="K138" s="323"/>
      <c r="L138" s="170"/>
      <c r="N138" s="171"/>
    </row>
    <row r="139" spans="1:15" ht="15.75" thickBot="1" x14ac:dyDescent="0.3">
      <c r="A139" s="313"/>
      <c r="B139" s="96" t="s">
        <v>726</v>
      </c>
      <c r="C139" s="296"/>
      <c r="D139" s="296"/>
      <c r="E139" s="97">
        <f t="shared" ref="E139:K139" si="20">SUM(E125:E138)</f>
        <v>699</v>
      </c>
      <c r="F139" s="97">
        <f t="shared" si="20"/>
        <v>0</v>
      </c>
      <c r="G139" s="97">
        <f t="shared" si="20"/>
        <v>699</v>
      </c>
      <c r="H139" s="97">
        <f t="shared" si="20"/>
        <v>0</v>
      </c>
      <c r="I139" s="97">
        <f t="shared" si="20"/>
        <v>699</v>
      </c>
      <c r="J139" s="97">
        <f t="shared" si="20"/>
        <v>44736000</v>
      </c>
      <c r="K139" s="297">
        <f t="shared" si="20"/>
        <v>16623618</v>
      </c>
    </row>
    <row r="140" spans="1:15" ht="15.75" thickBot="1" x14ac:dyDescent="0.3">
      <c r="A140" s="298"/>
      <c r="B140" s="298"/>
      <c r="C140" s="298"/>
      <c r="D140" s="298"/>
      <c r="E140" s="298"/>
      <c r="F140" s="298"/>
      <c r="G140" s="298"/>
      <c r="H140" s="298"/>
      <c r="I140" s="298"/>
      <c r="J140" s="298"/>
      <c r="K140" s="298"/>
    </row>
    <row r="141" spans="1:15" ht="15.75" thickBot="1" x14ac:dyDescent="0.3">
      <c r="A141" s="418" t="s">
        <v>653</v>
      </c>
      <c r="B141" s="421" t="s">
        <v>704</v>
      </c>
      <c r="C141" s="421" t="s">
        <v>1</v>
      </c>
      <c r="D141" s="422" t="s">
        <v>645</v>
      </c>
      <c r="E141" s="423" t="s">
        <v>19</v>
      </c>
      <c r="F141" s="423"/>
      <c r="G141" s="423"/>
      <c r="H141" s="423"/>
      <c r="I141" s="423"/>
      <c r="J141" s="416" t="s">
        <v>20</v>
      </c>
      <c r="K141" s="418" t="s">
        <v>598</v>
      </c>
    </row>
    <row r="142" spans="1:15" ht="45.75" thickBot="1" x14ac:dyDescent="0.3">
      <c r="A142" s="420"/>
      <c r="B142" s="421"/>
      <c r="C142" s="421"/>
      <c r="D142" s="422"/>
      <c r="E142" s="272" t="s">
        <v>21</v>
      </c>
      <c r="F142" s="272" t="s">
        <v>596</v>
      </c>
      <c r="G142" s="272" t="s">
        <v>597</v>
      </c>
      <c r="H142" s="272" t="s">
        <v>585</v>
      </c>
      <c r="I142" s="272" t="s">
        <v>597</v>
      </c>
      <c r="J142" s="417"/>
      <c r="K142" s="419"/>
    </row>
    <row r="143" spans="1:15" ht="15.75" thickBot="1" x14ac:dyDescent="0.3">
      <c r="A143" s="419"/>
      <c r="B143" s="273">
        <v>1</v>
      </c>
      <c r="C143" s="273">
        <v>2</v>
      </c>
      <c r="D143" s="273">
        <v>3</v>
      </c>
      <c r="E143" s="274">
        <v>4</v>
      </c>
      <c r="F143" s="274">
        <f>+E143+1</f>
        <v>5</v>
      </c>
      <c r="G143" s="274" t="s">
        <v>648</v>
      </c>
      <c r="H143" s="274">
        <v>7</v>
      </c>
      <c r="I143" s="275" t="s">
        <v>647</v>
      </c>
      <c r="J143" s="287" t="s">
        <v>646</v>
      </c>
      <c r="K143" s="287" t="s">
        <v>649</v>
      </c>
    </row>
    <row r="144" spans="1:15" x14ac:dyDescent="0.25">
      <c r="A144" s="288"/>
      <c r="B144" s="288"/>
      <c r="C144" s="288"/>
      <c r="D144" s="288"/>
      <c r="E144" s="288"/>
      <c r="F144" s="288"/>
      <c r="G144" s="288"/>
      <c r="H144" s="288"/>
      <c r="I144" s="288"/>
      <c r="J144" s="288"/>
      <c r="K144" s="288"/>
    </row>
    <row r="145" spans="1:15" x14ac:dyDescent="0.25">
      <c r="A145" s="279">
        <v>1</v>
      </c>
      <c r="B145" s="61" t="s">
        <v>960</v>
      </c>
      <c r="C145" s="62">
        <v>100000</v>
      </c>
      <c r="D145" s="310">
        <v>0</v>
      </c>
      <c r="E145" s="62">
        <v>0</v>
      </c>
      <c r="F145" s="61">
        <f>4000-4000</f>
        <v>0</v>
      </c>
      <c r="G145" s="62">
        <f>+E145+F145</f>
        <v>0</v>
      </c>
      <c r="H145" s="61">
        <f>4000-4000</f>
        <v>0</v>
      </c>
      <c r="I145" s="251">
        <f>+G145-H145</f>
        <v>0</v>
      </c>
      <c r="J145" s="251">
        <f>I145*C145</f>
        <v>0</v>
      </c>
      <c r="K145" s="290">
        <f>+D145*I145</f>
        <v>0</v>
      </c>
    </row>
    <row r="146" spans="1:15" x14ac:dyDescent="0.25">
      <c r="A146" s="338">
        <v>2</v>
      </c>
      <c r="B146" s="61" t="s">
        <v>1182</v>
      </c>
      <c r="C146" s="62">
        <v>35000</v>
      </c>
      <c r="D146" s="310">
        <v>0</v>
      </c>
      <c r="E146" s="62">
        <v>0</v>
      </c>
      <c r="F146" s="90">
        <f>700-700</f>
        <v>0</v>
      </c>
      <c r="G146" s="62">
        <f>+E146+F146</f>
        <v>0</v>
      </c>
      <c r="H146" s="61">
        <f>700-700</f>
        <v>0</v>
      </c>
      <c r="I146" s="251">
        <f>+G146-H146</f>
        <v>0</v>
      </c>
      <c r="J146" s="251">
        <f>I146*C146</f>
        <v>0</v>
      </c>
      <c r="K146" s="290">
        <f>+D146*I146</f>
        <v>0</v>
      </c>
    </row>
    <row r="147" spans="1:15" x14ac:dyDescent="0.25">
      <c r="A147" s="279">
        <v>3</v>
      </c>
      <c r="B147" s="90" t="s">
        <v>1193</v>
      </c>
      <c r="C147" s="91">
        <v>100000</v>
      </c>
      <c r="D147" s="310">
        <v>0</v>
      </c>
      <c r="E147" s="62">
        <v>0</v>
      </c>
      <c r="F147" s="90">
        <f>760-760</f>
        <v>0</v>
      </c>
      <c r="G147" s="62">
        <f>+E147+F147</f>
        <v>0</v>
      </c>
      <c r="H147" s="61">
        <f>760-760</f>
        <v>0</v>
      </c>
      <c r="I147" s="251">
        <f>+G147-H147</f>
        <v>0</v>
      </c>
      <c r="J147" s="251">
        <f>I147*C147</f>
        <v>0</v>
      </c>
      <c r="K147" s="290">
        <f>+D147*I147</f>
        <v>0</v>
      </c>
    </row>
    <row r="148" spans="1:15" x14ac:dyDescent="0.25">
      <c r="A148" s="338">
        <v>4</v>
      </c>
      <c r="B148" s="90" t="s">
        <v>1203</v>
      </c>
      <c r="C148" s="91">
        <v>80000</v>
      </c>
      <c r="D148" s="310">
        <v>0</v>
      </c>
      <c r="E148" s="62">
        <v>0</v>
      </c>
      <c r="F148" s="90">
        <f>300-300</f>
        <v>0</v>
      </c>
      <c r="G148" s="91">
        <f>+E148+F148</f>
        <v>0</v>
      </c>
      <c r="H148" s="90">
        <f>300-300</f>
        <v>0</v>
      </c>
      <c r="I148" s="292">
        <f>+G148-H148</f>
        <v>0</v>
      </c>
      <c r="J148" s="292">
        <f>I148*C148</f>
        <v>0</v>
      </c>
      <c r="K148" s="293">
        <f>+D148*I148</f>
        <v>0</v>
      </c>
    </row>
    <row r="149" spans="1:15" x14ac:dyDescent="0.25">
      <c r="A149" s="279">
        <v>5</v>
      </c>
      <c r="B149" s="61" t="s">
        <v>1230</v>
      </c>
      <c r="C149" s="62">
        <v>50000</v>
      </c>
      <c r="D149" s="310">
        <v>0</v>
      </c>
      <c r="E149" s="62">
        <v>0</v>
      </c>
      <c r="F149" s="61">
        <f>500-500</f>
        <v>0</v>
      </c>
      <c r="G149" s="91">
        <f>+E149+F149</f>
        <v>0</v>
      </c>
      <c r="H149" s="90">
        <f>500-500</f>
        <v>0</v>
      </c>
      <c r="I149" s="292">
        <f>+G149-H149</f>
        <v>0</v>
      </c>
      <c r="J149" s="292">
        <f>I149*C149</f>
        <v>0</v>
      </c>
      <c r="K149" s="293">
        <f>+D149*I149</f>
        <v>0</v>
      </c>
    </row>
    <row r="150" spans="1:15" x14ac:dyDescent="0.25">
      <c r="A150" s="338">
        <v>6</v>
      </c>
      <c r="B150" s="61" t="s">
        <v>1231</v>
      </c>
      <c r="C150" s="62">
        <v>1000000</v>
      </c>
      <c r="D150" s="310">
        <v>0</v>
      </c>
      <c r="E150" s="62">
        <v>0</v>
      </c>
      <c r="F150" s="289">
        <f>5+76-81</f>
        <v>0</v>
      </c>
      <c r="G150" s="382">
        <f t="shared" ref="G150:G157" si="21">+E150+F150</f>
        <v>0</v>
      </c>
      <c r="H150" s="300">
        <f>81-81</f>
        <v>0</v>
      </c>
      <c r="I150" s="292">
        <f t="shared" ref="I150:I157" si="22">+G150-H150</f>
        <v>0</v>
      </c>
      <c r="J150" s="292">
        <f t="shared" ref="J150:J157" si="23">I150*C150</f>
        <v>0</v>
      </c>
      <c r="K150" s="293">
        <f t="shared" ref="K150:K157" si="24">+D150*I150</f>
        <v>0</v>
      </c>
      <c r="L150" s="183"/>
      <c r="N150" s="172"/>
      <c r="O150" s="172"/>
    </row>
    <row r="151" spans="1:15" x14ac:dyDescent="0.25">
      <c r="A151" s="279">
        <v>7</v>
      </c>
      <c r="B151" s="61" t="s">
        <v>1232</v>
      </c>
      <c r="C151" s="62">
        <v>1000000</v>
      </c>
      <c r="D151" s="310">
        <v>0</v>
      </c>
      <c r="E151" s="62">
        <v>0</v>
      </c>
      <c r="F151" s="289">
        <f>5+66-71</f>
        <v>0</v>
      </c>
      <c r="G151" s="382">
        <f t="shared" si="21"/>
        <v>0</v>
      </c>
      <c r="H151" s="300">
        <f>71-71</f>
        <v>0</v>
      </c>
      <c r="I151" s="292">
        <f t="shared" si="22"/>
        <v>0</v>
      </c>
      <c r="J151" s="292">
        <f t="shared" si="23"/>
        <v>0</v>
      </c>
      <c r="K151" s="293">
        <f t="shared" si="24"/>
        <v>0</v>
      </c>
    </row>
    <row r="152" spans="1:15" x14ac:dyDescent="0.25">
      <c r="A152" s="338">
        <v>8</v>
      </c>
      <c r="B152" s="61" t="s">
        <v>1233</v>
      </c>
      <c r="C152" s="62">
        <v>1000000</v>
      </c>
      <c r="D152" s="310">
        <v>0</v>
      </c>
      <c r="E152" s="62">
        <v>0</v>
      </c>
      <c r="F152" s="289">
        <f>5+67-72</f>
        <v>0</v>
      </c>
      <c r="G152" s="382">
        <f t="shared" si="21"/>
        <v>0</v>
      </c>
      <c r="H152" s="300">
        <f>72-72</f>
        <v>0</v>
      </c>
      <c r="I152" s="292">
        <f t="shared" si="22"/>
        <v>0</v>
      </c>
      <c r="J152" s="292">
        <f t="shared" si="23"/>
        <v>0</v>
      </c>
      <c r="K152" s="293">
        <f t="shared" si="24"/>
        <v>0</v>
      </c>
      <c r="N152" s="53"/>
    </row>
    <row r="153" spans="1:15" x14ac:dyDescent="0.25">
      <c r="A153" s="338">
        <v>9</v>
      </c>
      <c r="B153" s="61" t="s">
        <v>1234</v>
      </c>
      <c r="C153" s="62">
        <v>1000000</v>
      </c>
      <c r="D153" s="310">
        <v>0</v>
      </c>
      <c r="E153" s="62">
        <v>0</v>
      </c>
      <c r="F153" s="300">
        <f>5+80-85</f>
        <v>0</v>
      </c>
      <c r="G153" s="382">
        <f t="shared" si="21"/>
        <v>0</v>
      </c>
      <c r="H153" s="300">
        <f>85-85</f>
        <v>0</v>
      </c>
      <c r="I153" s="292">
        <f t="shared" si="22"/>
        <v>0</v>
      </c>
      <c r="J153" s="292">
        <f t="shared" si="23"/>
        <v>0</v>
      </c>
      <c r="K153" s="293">
        <f t="shared" si="24"/>
        <v>0</v>
      </c>
      <c r="L153" s="183"/>
      <c r="M153" s="172"/>
      <c r="N153" s="174"/>
      <c r="O153" s="172"/>
    </row>
    <row r="154" spans="1:15" x14ac:dyDescent="0.25">
      <c r="A154" s="279">
        <v>10</v>
      </c>
      <c r="B154" s="61" t="s">
        <v>1235</v>
      </c>
      <c r="C154" s="62">
        <v>1000000</v>
      </c>
      <c r="D154" s="310">
        <v>0</v>
      </c>
      <c r="E154" s="62">
        <v>0</v>
      </c>
      <c r="F154" s="289">
        <f>5+57-62</f>
        <v>0</v>
      </c>
      <c r="G154" s="382">
        <f t="shared" si="21"/>
        <v>0</v>
      </c>
      <c r="H154" s="300">
        <f>62-62</f>
        <v>0</v>
      </c>
      <c r="I154" s="292">
        <f t="shared" si="22"/>
        <v>0</v>
      </c>
      <c r="J154" s="292">
        <f t="shared" si="23"/>
        <v>0</v>
      </c>
      <c r="K154" s="293">
        <f t="shared" si="24"/>
        <v>0</v>
      </c>
      <c r="L154" s="170"/>
      <c r="M154" s="172"/>
      <c r="N154" s="174"/>
    </row>
    <row r="155" spans="1:15" x14ac:dyDescent="0.25">
      <c r="A155" s="279">
        <v>11</v>
      </c>
      <c r="B155" s="61" t="s">
        <v>1236</v>
      </c>
      <c r="C155" s="62">
        <v>42000</v>
      </c>
      <c r="D155" s="310">
        <v>0</v>
      </c>
      <c r="E155" s="62">
        <v>0</v>
      </c>
      <c r="F155" s="289">
        <f>1001-1001</f>
        <v>0</v>
      </c>
      <c r="G155" s="382">
        <f t="shared" si="21"/>
        <v>0</v>
      </c>
      <c r="H155" s="300">
        <f>1001-1001</f>
        <v>0</v>
      </c>
      <c r="I155" s="292">
        <f t="shared" si="22"/>
        <v>0</v>
      </c>
      <c r="J155" s="292">
        <f t="shared" si="23"/>
        <v>0</v>
      </c>
      <c r="K155" s="293">
        <f t="shared" si="24"/>
        <v>0</v>
      </c>
      <c r="L155" s="170"/>
      <c r="N155" s="171"/>
    </row>
    <row r="156" spans="1:15" x14ac:dyDescent="0.25">
      <c r="A156" s="279">
        <v>12</v>
      </c>
      <c r="B156" s="61" t="s">
        <v>1238</v>
      </c>
      <c r="C156" s="62">
        <v>351900</v>
      </c>
      <c r="D156" s="310">
        <v>0</v>
      </c>
      <c r="E156" s="62">
        <v>0</v>
      </c>
      <c r="F156" s="61">
        <f>500-500</f>
        <v>0</v>
      </c>
      <c r="G156" s="91">
        <f t="shared" si="21"/>
        <v>0</v>
      </c>
      <c r="H156" s="300">
        <f>500-500</f>
        <v>0</v>
      </c>
      <c r="I156" s="292">
        <f t="shared" si="22"/>
        <v>0</v>
      </c>
      <c r="J156" s="292">
        <f t="shared" si="23"/>
        <v>0</v>
      </c>
      <c r="K156" s="293">
        <f t="shared" si="24"/>
        <v>0</v>
      </c>
      <c r="L156" s="170"/>
      <c r="N156" s="171"/>
    </row>
    <row r="157" spans="1:15" x14ac:dyDescent="0.25">
      <c r="A157" s="279">
        <v>13</v>
      </c>
      <c r="B157" s="353" t="s">
        <v>1247</v>
      </c>
      <c r="C157" s="62">
        <v>68000</v>
      </c>
      <c r="D157" s="310">
        <v>0</v>
      </c>
      <c r="E157" s="62">
        <v>0</v>
      </c>
      <c r="F157" s="61">
        <v>730</v>
      </c>
      <c r="G157" s="91">
        <f t="shared" si="21"/>
        <v>730</v>
      </c>
      <c r="H157" s="300">
        <v>730</v>
      </c>
      <c r="I157" s="292">
        <f t="shared" si="22"/>
        <v>0</v>
      </c>
      <c r="J157" s="292">
        <f t="shared" si="23"/>
        <v>0</v>
      </c>
      <c r="K157" s="293">
        <f t="shared" si="24"/>
        <v>0</v>
      </c>
      <c r="L157" s="170"/>
      <c r="N157" s="171"/>
    </row>
    <row r="158" spans="1:15" ht="15.75" thickBot="1" x14ac:dyDescent="0.3">
      <c r="A158" s="280"/>
      <c r="B158" s="281"/>
      <c r="C158" s="282"/>
      <c r="D158" s="317"/>
      <c r="E158" s="282"/>
      <c r="F158" s="281"/>
      <c r="G158" s="282"/>
      <c r="H158" s="281"/>
      <c r="I158" s="322"/>
      <c r="J158" s="322"/>
      <c r="K158" s="323"/>
      <c r="L158" s="170"/>
      <c r="N158" s="171"/>
    </row>
    <row r="159" spans="1:15" ht="15.75" thickBot="1" x14ac:dyDescent="0.3">
      <c r="A159" s="313"/>
      <c r="B159" s="96" t="s">
        <v>907</v>
      </c>
      <c r="C159" s="296"/>
      <c r="D159" s="296"/>
      <c r="E159" s="97">
        <f t="shared" ref="E159:K159" si="25">SUM(E145:E158)</f>
        <v>0</v>
      </c>
      <c r="F159" s="97">
        <f>SUM(F145:F158)</f>
        <v>730</v>
      </c>
      <c r="G159" s="97">
        <f t="shared" si="25"/>
        <v>730</v>
      </c>
      <c r="H159" s="97">
        <f t="shared" si="25"/>
        <v>730</v>
      </c>
      <c r="I159" s="97">
        <f t="shared" si="25"/>
        <v>0</v>
      </c>
      <c r="J159" s="97">
        <f t="shared" si="25"/>
        <v>0</v>
      </c>
      <c r="K159" s="297">
        <f t="shared" si="25"/>
        <v>0</v>
      </c>
    </row>
    <row r="160" spans="1:15" x14ac:dyDescent="0.25">
      <c r="A160" s="298"/>
      <c r="B160" s="298"/>
      <c r="C160" s="298"/>
      <c r="D160" s="298"/>
      <c r="E160" s="298"/>
      <c r="F160" s="298"/>
      <c r="G160" s="298"/>
      <c r="H160" s="298"/>
      <c r="I160" s="298"/>
      <c r="J160" s="298"/>
      <c r="K160" s="298"/>
    </row>
    <row r="161" spans="1:16" ht="15.75" thickBot="1" x14ac:dyDescent="0.3">
      <c r="A161" s="312" t="s">
        <v>713</v>
      </c>
      <c r="B161" s="298"/>
      <c r="C161" s="298"/>
      <c r="D161" s="298"/>
      <c r="E161" s="298"/>
      <c r="F161" s="298"/>
      <c r="G161" s="298"/>
      <c r="H161" s="298"/>
      <c r="I161" s="298"/>
      <c r="J161" s="298"/>
      <c r="K161" s="298"/>
    </row>
    <row r="162" spans="1:16" ht="15.75" thickBot="1" x14ac:dyDescent="0.3">
      <c r="A162" s="313"/>
      <c r="B162" s="96" t="s">
        <v>909</v>
      </c>
      <c r="C162" s="96"/>
      <c r="D162" s="96"/>
      <c r="E162" s="349">
        <f t="shared" ref="E162:K162" si="26">+E28+E45+E55+E66+E73+E82+E92+E100+E111+E119+E139+E159</f>
        <v>7433</v>
      </c>
      <c r="F162" s="349">
        <f t="shared" si="26"/>
        <v>730</v>
      </c>
      <c r="G162" s="349">
        <f t="shared" si="26"/>
        <v>8163</v>
      </c>
      <c r="H162" s="349">
        <f t="shared" si="26"/>
        <v>730</v>
      </c>
      <c r="I162" s="349">
        <f t="shared" si="26"/>
        <v>7433</v>
      </c>
      <c r="J162" s="349">
        <f t="shared" si="26"/>
        <v>453522500</v>
      </c>
      <c r="K162" s="404">
        <f t="shared" si="26"/>
        <v>79878417.179999977</v>
      </c>
      <c r="L162" s="40">
        <v>7433</v>
      </c>
      <c r="M162" s="40">
        <v>453522500</v>
      </c>
      <c r="N162" s="40">
        <v>79878417.179999977</v>
      </c>
      <c r="P162" s="40" t="s">
        <v>825</v>
      </c>
    </row>
    <row r="163" spans="1:16" x14ac:dyDescent="0.25">
      <c r="L163" s="145">
        <f>+L162-I162</f>
        <v>0</v>
      </c>
      <c r="M163" s="145">
        <f>+M162-J162</f>
        <v>0</v>
      </c>
      <c r="N163" s="145">
        <f>+N162-K162</f>
        <v>0</v>
      </c>
    </row>
    <row r="164" spans="1:16" x14ac:dyDescent="0.25">
      <c r="L164" s="40">
        <v>5</v>
      </c>
    </row>
  </sheetData>
  <mergeCells count="84">
    <mergeCell ref="J141:J142"/>
    <mergeCell ref="K141:K142"/>
    <mergeCell ref="A141:A143"/>
    <mergeCell ref="B141:B142"/>
    <mergeCell ref="C141:C142"/>
    <mergeCell ref="D141:D142"/>
    <mergeCell ref="E141:I141"/>
    <mergeCell ref="K3:K4"/>
    <mergeCell ref="A30:A32"/>
    <mergeCell ref="B30:B31"/>
    <mergeCell ref="C30:C31"/>
    <mergeCell ref="D30:D31"/>
    <mergeCell ref="J30:J31"/>
    <mergeCell ref="K30:K31"/>
    <mergeCell ref="A3:A5"/>
    <mergeCell ref="B3:B4"/>
    <mergeCell ref="C3:C4"/>
    <mergeCell ref="D3:D4"/>
    <mergeCell ref="J3:J4"/>
    <mergeCell ref="E3:I3"/>
    <mergeCell ref="E30:I30"/>
    <mergeCell ref="K47:K48"/>
    <mergeCell ref="A57:A59"/>
    <mergeCell ref="B57:B58"/>
    <mergeCell ref="C57:C58"/>
    <mergeCell ref="D57:D58"/>
    <mergeCell ref="J57:J58"/>
    <mergeCell ref="K57:K58"/>
    <mergeCell ref="A47:A49"/>
    <mergeCell ref="B47:B48"/>
    <mergeCell ref="C47:C48"/>
    <mergeCell ref="D47:D48"/>
    <mergeCell ref="J47:J48"/>
    <mergeCell ref="E47:I47"/>
    <mergeCell ref="E57:I57"/>
    <mergeCell ref="K68:K69"/>
    <mergeCell ref="A75:A77"/>
    <mergeCell ref="B75:B76"/>
    <mergeCell ref="C75:C76"/>
    <mergeCell ref="D75:D76"/>
    <mergeCell ref="J75:J76"/>
    <mergeCell ref="K75:K76"/>
    <mergeCell ref="A68:A70"/>
    <mergeCell ref="B68:B69"/>
    <mergeCell ref="C68:C69"/>
    <mergeCell ref="D68:D69"/>
    <mergeCell ref="J68:J69"/>
    <mergeCell ref="E75:I75"/>
    <mergeCell ref="E68:I68"/>
    <mergeCell ref="K84:K85"/>
    <mergeCell ref="A94:A96"/>
    <mergeCell ref="B94:B95"/>
    <mergeCell ref="C94:C95"/>
    <mergeCell ref="D94:D95"/>
    <mergeCell ref="J94:J95"/>
    <mergeCell ref="K94:K95"/>
    <mergeCell ref="A84:A86"/>
    <mergeCell ref="B84:B85"/>
    <mergeCell ref="C84:C85"/>
    <mergeCell ref="D84:D85"/>
    <mergeCell ref="J84:J85"/>
    <mergeCell ref="E84:I84"/>
    <mergeCell ref="E94:I94"/>
    <mergeCell ref="K102:K103"/>
    <mergeCell ref="A113:A115"/>
    <mergeCell ref="B113:B114"/>
    <mergeCell ref="C113:C114"/>
    <mergeCell ref="D113:D114"/>
    <mergeCell ref="J113:J114"/>
    <mergeCell ref="K113:K114"/>
    <mergeCell ref="A102:A104"/>
    <mergeCell ref="B102:B103"/>
    <mergeCell ref="C102:C103"/>
    <mergeCell ref="D102:D103"/>
    <mergeCell ref="J102:J103"/>
    <mergeCell ref="E102:I102"/>
    <mergeCell ref="E113:I113"/>
    <mergeCell ref="J121:J122"/>
    <mergeCell ref="K121:K122"/>
    <mergeCell ref="A121:A123"/>
    <mergeCell ref="B121:B122"/>
    <mergeCell ref="C121:C122"/>
    <mergeCell ref="D121:D122"/>
    <mergeCell ref="E121:I121"/>
  </mergeCells>
  <pageMargins left="0.19685039370078741" right="0.19685039370078741" top="0.19685039370078741" bottom="0" header="0.19685039370078741" footer="0"/>
  <pageSetup paperSize="9" scale="95"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7"/>
  <sheetViews>
    <sheetView topLeftCell="A13" workbookViewId="0">
      <selection activeCell="B11" sqref="B11"/>
    </sheetView>
  </sheetViews>
  <sheetFormatPr defaultColWidth="9.140625" defaultRowHeight="15" x14ac:dyDescent="0.25"/>
  <cols>
    <col min="1" max="1" width="4.7109375" style="40" customWidth="1"/>
    <col min="2" max="2" width="20.5703125" style="40" customWidth="1"/>
    <col min="3" max="3" width="13.7109375" style="40" customWidth="1"/>
    <col min="4" max="4" width="12.42578125" style="40" customWidth="1"/>
    <col min="5" max="5" width="15.28515625" style="40" customWidth="1"/>
    <col min="6" max="6" width="13.28515625" style="40" customWidth="1"/>
    <col min="7" max="7" width="12.28515625" style="40" customWidth="1"/>
    <col min="8" max="8" width="11.5703125" style="40" customWidth="1"/>
    <col min="9" max="9" width="14.140625" style="40" customWidth="1"/>
    <col min="10" max="10" width="13.28515625" style="40" customWidth="1"/>
    <col min="11" max="11" width="15.42578125" style="40" customWidth="1"/>
    <col min="12" max="16384" width="9.140625" style="40"/>
  </cols>
  <sheetData>
    <row r="1" spans="1:16" x14ac:dyDescent="0.25">
      <c r="B1" s="146"/>
      <c r="C1" s="146"/>
      <c r="D1" s="146"/>
      <c r="E1" s="146"/>
      <c r="F1" s="146"/>
      <c r="G1" s="146"/>
      <c r="H1" s="146"/>
      <c r="I1" s="146"/>
      <c r="J1" s="146"/>
      <c r="K1" s="146"/>
    </row>
    <row r="2" spans="1:16" ht="15.75" thickBot="1" x14ac:dyDescent="0.3">
      <c r="A2" s="312" t="s">
        <v>716</v>
      </c>
      <c r="B2" s="298"/>
      <c r="C2" s="298"/>
      <c r="D2" s="298"/>
      <c r="E2" s="298"/>
      <c r="F2" s="298"/>
      <c r="G2" s="363" t="str">
        <f>A.Prangko!G2</f>
        <v>desember 2017</v>
      </c>
      <c r="H2" s="298"/>
      <c r="I2" s="298"/>
      <c r="J2" s="298"/>
      <c r="K2" s="298"/>
    </row>
    <row r="3" spans="1:16" ht="15.75" thickBot="1" x14ac:dyDescent="0.3">
      <c r="A3" s="418" t="s">
        <v>653</v>
      </c>
      <c r="B3" s="421" t="s">
        <v>704</v>
      </c>
      <c r="C3" s="421" t="s">
        <v>1</v>
      </c>
      <c r="D3" s="422" t="s">
        <v>645</v>
      </c>
      <c r="E3" s="423" t="s">
        <v>19</v>
      </c>
      <c r="F3" s="423"/>
      <c r="G3" s="423"/>
      <c r="H3" s="423"/>
      <c r="I3" s="423"/>
      <c r="J3" s="416" t="s">
        <v>20</v>
      </c>
      <c r="K3" s="418" t="s">
        <v>598</v>
      </c>
    </row>
    <row r="4" spans="1:16" ht="45.75" thickBot="1" x14ac:dyDescent="0.3">
      <c r="A4" s="420"/>
      <c r="B4" s="421"/>
      <c r="C4" s="421"/>
      <c r="D4" s="422"/>
      <c r="E4" s="272" t="s">
        <v>21</v>
      </c>
      <c r="F4" s="272" t="s">
        <v>596</v>
      </c>
      <c r="G4" s="272" t="s">
        <v>597</v>
      </c>
      <c r="H4" s="272" t="s">
        <v>585</v>
      </c>
      <c r="I4" s="272" t="s">
        <v>597</v>
      </c>
      <c r="J4" s="417"/>
      <c r="K4" s="419"/>
    </row>
    <row r="5" spans="1:16" ht="15.75" thickBot="1" x14ac:dyDescent="0.3">
      <c r="A5" s="419"/>
      <c r="B5" s="273">
        <v>1</v>
      </c>
      <c r="C5" s="273">
        <v>2</v>
      </c>
      <c r="D5" s="273">
        <v>3</v>
      </c>
      <c r="E5" s="274">
        <v>4</v>
      </c>
      <c r="F5" s="274">
        <f>+E5+1</f>
        <v>5</v>
      </c>
      <c r="G5" s="274" t="s">
        <v>648</v>
      </c>
      <c r="H5" s="274">
        <v>7</v>
      </c>
      <c r="I5" s="275" t="s">
        <v>647</v>
      </c>
      <c r="J5" s="287" t="s">
        <v>646</v>
      </c>
      <c r="K5" s="287" t="s">
        <v>649</v>
      </c>
    </row>
    <row r="6" spans="1:16" x14ac:dyDescent="0.25">
      <c r="A6" s="288"/>
      <c r="B6" s="288"/>
      <c r="C6" s="288"/>
      <c r="D6" s="288"/>
      <c r="E6" s="288"/>
      <c r="F6" s="288"/>
      <c r="G6" s="288"/>
      <c r="H6" s="288"/>
      <c r="I6" s="288"/>
      <c r="J6" s="288"/>
      <c r="K6" s="288"/>
      <c r="P6" s="40" t="s">
        <v>893</v>
      </c>
    </row>
    <row r="7" spans="1:16" x14ac:dyDescent="0.25">
      <c r="A7" s="279">
        <v>1</v>
      </c>
      <c r="B7" s="285" t="s">
        <v>490</v>
      </c>
      <c r="C7" s="62">
        <v>5000</v>
      </c>
      <c r="D7" s="316">
        <v>5500</v>
      </c>
      <c r="E7" s="62">
        <v>106</v>
      </c>
      <c r="F7" s="61">
        <f>16-16</f>
        <v>0</v>
      </c>
      <c r="G7" s="62">
        <f t="shared" ref="G7:G34" si="0">+E7+F7</f>
        <v>106</v>
      </c>
      <c r="H7" s="61">
        <f>16-16</f>
        <v>0</v>
      </c>
      <c r="I7" s="251">
        <f t="shared" ref="I7:I12" si="1">+G7-H7</f>
        <v>106</v>
      </c>
      <c r="J7" s="251">
        <f t="shared" ref="J7:J12" si="2">I7*C7</f>
        <v>530000</v>
      </c>
      <c r="K7" s="290">
        <f t="shared" ref="K7:K12" si="3">+D7*I7</f>
        <v>583000</v>
      </c>
      <c r="P7" s="40">
        <v>16</v>
      </c>
    </row>
    <row r="8" spans="1:16" x14ac:dyDescent="0.25">
      <c r="A8" s="279">
        <v>2</v>
      </c>
      <c r="B8" s="61" t="s">
        <v>491</v>
      </c>
      <c r="C8" s="62">
        <v>50000</v>
      </c>
      <c r="D8" s="316">
        <v>38170</v>
      </c>
      <c r="E8" s="62">
        <v>221</v>
      </c>
      <c r="F8" s="61"/>
      <c r="G8" s="62">
        <f t="shared" si="0"/>
        <v>221</v>
      </c>
      <c r="H8" s="61"/>
      <c r="I8" s="251">
        <f t="shared" si="1"/>
        <v>221</v>
      </c>
      <c r="J8" s="251">
        <f t="shared" si="2"/>
        <v>11050000</v>
      </c>
      <c r="K8" s="290">
        <f t="shared" si="3"/>
        <v>8435570</v>
      </c>
    </row>
    <row r="9" spans="1:16" x14ac:dyDescent="0.25">
      <c r="A9" s="279">
        <v>3</v>
      </c>
      <c r="B9" s="61" t="s">
        <v>492</v>
      </c>
      <c r="C9" s="62">
        <v>400000</v>
      </c>
      <c r="D9" s="316">
        <v>375000</v>
      </c>
      <c r="E9" s="62">
        <v>7</v>
      </c>
      <c r="F9" s="61"/>
      <c r="G9" s="62">
        <f t="shared" si="0"/>
        <v>7</v>
      </c>
      <c r="H9" s="61"/>
      <c r="I9" s="251">
        <f t="shared" si="1"/>
        <v>7</v>
      </c>
      <c r="J9" s="251">
        <f t="shared" si="2"/>
        <v>2800000</v>
      </c>
      <c r="K9" s="290">
        <f t="shared" si="3"/>
        <v>2625000</v>
      </c>
    </row>
    <row r="10" spans="1:16" x14ac:dyDescent="0.25">
      <c r="A10" s="279">
        <v>4</v>
      </c>
      <c r="B10" s="61" t="s">
        <v>493</v>
      </c>
      <c r="C10" s="62">
        <v>750</v>
      </c>
      <c r="D10" s="316">
        <v>250</v>
      </c>
      <c r="E10" s="62">
        <v>69</v>
      </c>
      <c r="F10" s="289"/>
      <c r="G10" s="62">
        <f t="shared" si="0"/>
        <v>69</v>
      </c>
      <c r="H10" s="289"/>
      <c r="I10" s="251">
        <f t="shared" si="1"/>
        <v>69</v>
      </c>
      <c r="J10" s="251">
        <f t="shared" si="2"/>
        <v>51750</v>
      </c>
      <c r="K10" s="290">
        <f t="shared" si="3"/>
        <v>17250</v>
      </c>
    </row>
    <row r="11" spans="1:16" x14ac:dyDescent="0.25">
      <c r="A11" s="279">
        <v>5</v>
      </c>
      <c r="B11" s="61" t="s">
        <v>494</v>
      </c>
      <c r="C11" s="62">
        <v>125000</v>
      </c>
      <c r="D11" s="316">
        <v>134200</v>
      </c>
      <c r="E11" s="62">
        <v>179</v>
      </c>
      <c r="F11" s="289"/>
      <c r="G11" s="62">
        <f t="shared" si="0"/>
        <v>179</v>
      </c>
      <c r="H11" s="289"/>
      <c r="I11" s="251">
        <f t="shared" si="1"/>
        <v>179</v>
      </c>
      <c r="J11" s="251">
        <f t="shared" si="2"/>
        <v>22375000</v>
      </c>
      <c r="K11" s="290">
        <f t="shared" si="3"/>
        <v>24021800</v>
      </c>
    </row>
    <row r="12" spans="1:16" x14ac:dyDescent="0.25">
      <c r="A12" s="279">
        <v>6</v>
      </c>
      <c r="B12" s="61" t="s">
        <v>495</v>
      </c>
      <c r="C12" s="62">
        <v>75000</v>
      </c>
      <c r="D12" s="316">
        <f>45000+45000*10%</f>
        <v>49500</v>
      </c>
      <c r="E12" s="62">
        <v>0</v>
      </c>
      <c r="F12" s="289"/>
      <c r="G12" s="62">
        <f t="shared" si="0"/>
        <v>0</v>
      </c>
      <c r="H12" s="289"/>
      <c r="I12" s="251">
        <f t="shared" si="1"/>
        <v>0</v>
      </c>
      <c r="J12" s="251">
        <f t="shared" si="2"/>
        <v>0</v>
      </c>
      <c r="K12" s="290">
        <f t="shared" si="3"/>
        <v>0</v>
      </c>
    </row>
    <row r="13" spans="1:16" x14ac:dyDescent="0.25">
      <c r="A13" s="279">
        <v>7</v>
      </c>
      <c r="B13" s="61" t="s">
        <v>835</v>
      </c>
      <c r="C13" s="62">
        <v>8000</v>
      </c>
      <c r="D13" s="316">
        <v>7260</v>
      </c>
      <c r="E13" s="62">
        <v>600</v>
      </c>
      <c r="F13" s="289">
        <f>2000-2000</f>
        <v>0</v>
      </c>
      <c r="G13" s="62">
        <f t="shared" si="0"/>
        <v>600</v>
      </c>
      <c r="H13" s="289">
        <f>1200+100-1300+100-100</f>
        <v>0</v>
      </c>
      <c r="I13" s="251">
        <f t="shared" ref="I13:I21" si="4">+G13-H13</f>
        <v>600</v>
      </c>
      <c r="J13" s="251">
        <f t="shared" ref="J13:J21" si="5">I13*C13</f>
        <v>4800000</v>
      </c>
      <c r="K13" s="290">
        <f t="shared" ref="K13:K21" si="6">+D13*I13</f>
        <v>4356000</v>
      </c>
      <c r="L13" s="170" t="s">
        <v>1000</v>
      </c>
      <c r="N13" s="181"/>
      <c r="P13" s="40">
        <v>0</v>
      </c>
    </row>
    <row r="14" spans="1:16" x14ac:dyDescent="0.25">
      <c r="A14" s="279">
        <v>8</v>
      </c>
      <c r="B14" s="61" t="s">
        <v>873</v>
      </c>
      <c r="C14" s="62">
        <v>18000</v>
      </c>
      <c r="D14" s="316">
        <v>9240</v>
      </c>
      <c r="E14" s="62">
        <v>600</v>
      </c>
      <c r="F14" s="289">
        <f>2000-2000</f>
        <v>0</v>
      </c>
      <c r="G14" s="62">
        <f t="shared" si="0"/>
        <v>600</v>
      </c>
      <c r="H14" s="289">
        <f>(1200+100+80-1380)+20-20</f>
        <v>0</v>
      </c>
      <c r="I14" s="251">
        <f t="shared" si="4"/>
        <v>600</v>
      </c>
      <c r="J14" s="251">
        <f t="shared" si="5"/>
        <v>10800000</v>
      </c>
      <c r="K14" s="290">
        <f t="shared" si="6"/>
        <v>5544000</v>
      </c>
      <c r="L14" t="s">
        <v>999</v>
      </c>
      <c r="M14" s="40">
        <v>1200</v>
      </c>
      <c r="N14" s="40">
        <v>100</v>
      </c>
      <c r="O14" s="40">
        <v>80</v>
      </c>
      <c r="P14" s="40">
        <v>1380</v>
      </c>
    </row>
    <row r="15" spans="1:16" x14ac:dyDescent="0.25">
      <c r="A15" s="279">
        <v>9</v>
      </c>
      <c r="B15" s="61" t="s">
        <v>881</v>
      </c>
      <c r="C15" s="62">
        <v>2500</v>
      </c>
      <c r="D15" s="316">
        <v>2090</v>
      </c>
      <c r="E15" s="62">
        <v>7210</v>
      </c>
      <c r="F15" s="289">
        <f>500-500+1800+2+1800+2+1798+1808-7210</f>
        <v>0</v>
      </c>
      <c r="G15" s="62">
        <f t="shared" si="0"/>
        <v>7210</v>
      </c>
      <c r="H15" s="289">
        <f>500-500</f>
        <v>0</v>
      </c>
      <c r="I15" s="251">
        <f t="shared" si="4"/>
        <v>7210</v>
      </c>
      <c r="J15" s="251">
        <f t="shared" si="5"/>
        <v>18025000</v>
      </c>
      <c r="K15" s="290">
        <f t="shared" si="6"/>
        <v>15068900</v>
      </c>
      <c r="P15" s="40">
        <v>500</v>
      </c>
    </row>
    <row r="16" spans="1:16" x14ac:dyDescent="0.25">
      <c r="A16" s="279">
        <v>10</v>
      </c>
      <c r="B16" s="90" t="s">
        <v>888</v>
      </c>
      <c r="C16" s="91">
        <v>12000</v>
      </c>
      <c r="D16" s="351"/>
      <c r="E16" s="91">
        <v>0</v>
      </c>
      <c r="F16" s="300">
        <f>100-100</f>
        <v>0</v>
      </c>
      <c r="G16" s="62">
        <f t="shared" si="0"/>
        <v>0</v>
      </c>
      <c r="H16" s="300">
        <f>100-100</f>
        <v>0</v>
      </c>
      <c r="I16" s="251">
        <f t="shared" si="4"/>
        <v>0</v>
      </c>
      <c r="J16" s="251">
        <f t="shared" si="5"/>
        <v>0</v>
      </c>
      <c r="K16" s="290">
        <f t="shared" si="6"/>
        <v>0</v>
      </c>
      <c r="P16" s="40">
        <v>100</v>
      </c>
    </row>
    <row r="17" spans="1:16" x14ac:dyDescent="0.25">
      <c r="A17" s="279">
        <v>11</v>
      </c>
      <c r="B17" s="90" t="s">
        <v>889</v>
      </c>
      <c r="C17" s="91">
        <v>12000</v>
      </c>
      <c r="D17" s="351"/>
      <c r="E17" s="91">
        <v>0</v>
      </c>
      <c r="F17" s="300">
        <f>25-25</f>
        <v>0</v>
      </c>
      <c r="G17" s="62">
        <f t="shared" si="0"/>
        <v>0</v>
      </c>
      <c r="H17" s="300">
        <f>25-25</f>
        <v>0</v>
      </c>
      <c r="I17" s="251">
        <f t="shared" si="4"/>
        <v>0</v>
      </c>
      <c r="J17" s="251">
        <f t="shared" si="5"/>
        <v>0</v>
      </c>
      <c r="K17" s="290">
        <f t="shared" si="6"/>
        <v>0</v>
      </c>
      <c r="P17" s="40">
        <v>25</v>
      </c>
    </row>
    <row r="18" spans="1:16" x14ac:dyDescent="0.25">
      <c r="A18" s="279">
        <v>12</v>
      </c>
      <c r="B18" s="405" t="s">
        <v>890</v>
      </c>
      <c r="C18" s="91">
        <v>15000</v>
      </c>
      <c r="D18" s="351"/>
      <c r="E18" s="91">
        <v>0</v>
      </c>
      <c r="F18" s="300">
        <f>25-25</f>
        <v>0</v>
      </c>
      <c r="G18" s="62">
        <f t="shared" si="0"/>
        <v>0</v>
      </c>
      <c r="H18" s="300">
        <f>25-25</f>
        <v>0</v>
      </c>
      <c r="I18" s="251">
        <f t="shared" si="4"/>
        <v>0</v>
      </c>
      <c r="J18" s="251">
        <f t="shared" si="5"/>
        <v>0</v>
      </c>
      <c r="K18" s="290">
        <f t="shared" si="6"/>
        <v>0</v>
      </c>
      <c r="P18" s="40">
        <v>25</v>
      </c>
    </row>
    <row r="19" spans="1:16" x14ac:dyDescent="0.25">
      <c r="A19" s="279">
        <v>13</v>
      </c>
      <c r="B19" s="90" t="s">
        <v>891</v>
      </c>
      <c r="C19" s="91">
        <v>120000</v>
      </c>
      <c r="D19" s="351">
        <v>115500</v>
      </c>
      <c r="E19" s="91">
        <v>0</v>
      </c>
      <c r="F19" s="300">
        <f>10-10</f>
        <v>0</v>
      </c>
      <c r="G19" s="62">
        <f t="shared" si="0"/>
        <v>0</v>
      </c>
      <c r="H19" s="300">
        <f>10-10</f>
        <v>0</v>
      </c>
      <c r="I19" s="251">
        <f t="shared" si="4"/>
        <v>0</v>
      </c>
      <c r="J19" s="251">
        <f t="shared" si="5"/>
        <v>0</v>
      </c>
      <c r="K19" s="290">
        <f t="shared" si="6"/>
        <v>0</v>
      </c>
      <c r="P19" s="40">
        <v>10</v>
      </c>
    </row>
    <row r="20" spans="1:16" x14ac:dyDescent="0.25">
      <c r="A20" s="279">
        <v>14</v>
      </c>
      <c r="B20" s="90" t="s">
        <v>892</v>
      </c>
      <c r="C20" s="91">
        <v>120000</v>
      </c>
      <c r="D20" s="351">
        <v>60500</v>
      </c>
      <c r="E20" s="91">
        <v>0</v>
      </c>
      <c r="F20" s="300">
        <f>25-25</f>
        <v>0</v>
      </c>
      <c r="G20" s="62">
        <f t="shared" si="0"/>
        <v>0</v>
      </c>
      <c r="H20" s="300">
        <f>25-25</f>
        <v>0</v>
      </c>
      <c r="I20" s="251">
        <f t="shared" si="4"/>
        <v>0</v>
      </c>
      <c r="J20" s="251">
        <f t="shared" si="5"/>
        <v>0</v>
      </c>
      <c r="K20" s="290">
        <f t="shared" si="6"/>
        <v>0</v>
      </c>
      <c r="P20" s="40">
        <v>25</v>
      </c>
    </row>
    <row r="21" spans="1:16" x14ac:dyDescent="0.25">
      <c r="A21" s="279">
        <v>15</v>
      </c>
      <c r="B21" s="61" t="s">
        <v>900</v>
      </c>
      <c r="C21" s="62">
        <v>80000</v>
      </c>
      <c r="D21" s="316"/>
      <c r="E21" s="62">
        <v>0</v>
      </c>
      <c r="F21" s="300">
        <f>50-50</f>
        <v>0</v>
      </c>
      <c r="G21" s="62">
        <f t="shared" si="0"/>
        <v>0</v>
      </c>
      <c r="H21" s="300">
        <f>50-50</f>
        <v>0</v>
      </c>
      <c r="I21" s="251">
        <f t="shared" si="4"/>
        <v>0</v>
      </c>
      <c r="J21" s="251">
        <f t="shared" si="5"/>
        <v>0</v>
      </c>
      <c r="K21" s="290">
        <f t="shared" si="6"/>
        <v>0</v>
      </c>
      <c r="P21" s="40">
        <v>50</v>
      </c>
    </row>
    <row r="22" spans="1:16" x14ac:dyDescent="0.25">
      <c r="A22" s="279">
        <v>16</v>
      </c>
      <c r="B22" s="353" t="s">
        <v>895</v>
      </c>
      <c r="C22" s="354">
        <v>800000</v>
      </c>
      <c r="D22" s="355">
        <v>357000</v>
      </c>
      <c r="E22" s="354">
        <v>667</v>
      </c>
      <c r="F22" s="289">
        <f>680-680</f>
        <v>0</v>
      </c>
      <c r="G22" s="62">
        <f t="shared" ref="G22:G31" si="7">+E22+F22</f>
        <v>667</v>
      </c>
      <c r="H22" s="300">
        <f>2-2+1+10-11</f>
        <v>0</v>
      </c>
      <c r="I22" s="251">
        <f t="shared" ref="I22:I27" si="8">+G22-H22</f>
        <v>667</v>
      </c>
      <c r="J22" s="251">
        <f t="shared" ref="J22:J27" si="9">I22*C22</f>
        <v>533600000</v>
      </c>
      <c r="K22" s="290">
        <f t="shared" ref="K22:K27" si="10">+D22*I22</f>
        <v>238119000</v>
      </c>
      <c r="L22" s="40" t="s">
        <v>896</v>
      </c>
      <c r="P22" s="40">
        <v>50</v>
      </c>
    </row>
    <row r="23" spans="1:16" x14ac:dyDescent="0.25">
      <c r="A23" s="279">
        <v>17</v>
      </c>
      <c r="B23" s="353" t="s">
        <v>920</v>
      </c>
      <c r="C23" s="354">
        <v>12000</v>
      </c>
      <c r="D23" s="355">
        <v>6160</v>
      </c>
      <c r="E23" s="91">
        <v>1830</v>
      </c>
      <c r="F23" s="300">
        <f>2000-2000+150-150+1850-1850</f>
        <v>0</v>
      </c>
      <c r="G23" s="62">
        <f t="shared" si="7"/>
        <v>1830</v>
      </c>
      <c r="H23" s="300">
        <f>1640+260+100-2000+150-150+20-20</f>
        <v>0</v>
      </c>
      <c r="I23" s="251">
        <f t="shared" si="8"/>
        <v>1830</v>
      </c>
      <c r="J23" s="251">
        <f t="shared" si="9"/>
        <v>21960000</v>
      </c>
      <c r="K23" s="290">
        <f t="shared" si="10"/>
        <v>11272800</v>
      </c>
      <c r="O23" s="40" t="s">
        <v>956</v>
      </c>
    </row>
    <row r="24" spans="1:16" x14ac:dyDescent="0.25">
      <c r="A24" s="279">
        <v>18</v>
      </c>
      <c r="B24" s="353" t="s">
        <v>1026</v>
      </c>
      <c r="C24" s="354">
        <v>12000</v>
      </c>
      <c r="D24" s="355">
        <v>6160</v>
      </c>
      <c r="E24" s="91">
        <v>0</v>
      </c>
      <c r="F24" s="300">
        <f>2000-2000</f>
        <v>0</v>
      </c>
      <c r="G24" s="62">
        <f t="shared" si="7"/>
        <v>0</v>
      </c>
      <c r="H24" s="300">
        <f>1140+100+100-1340+20+50+500-570+90-90</f>
        <v>0</v>
      </c>
      <c r="I24" s="251">
        <f t="shared" si="8"/>
        <v>0</v>
      </c>
      <c r="J24" s="251">
        <f t="shared" si="9"/>
        <v>0</v>
      </c>
      <c r="K24" s="290">
        <f t="shared" si="10"/>
        <v>0</v>
      </c>
      <c r="L24" t="s">
        <v>1003</v>
      </c>
      <c r="M24" s="40">
        <v>1140</v>
      </c>
      <c r="N24" s="40">
        <v>100</v>
      </c>
      <c r="O24" s="40">
        <v>100</v>
      </c>
      <c r="P24" s="208">
        <f>100-100+50+500</f>
        <v>550</v>
      </c>
    </row>
    <row r="25" spans="1:16" x14ac:dyDescent="0.25">
      <c r="A25" s="279">
        <v>19</v>
      </c>
      <c r="B25" s="353" t="s">
        <v>959</v>
      </c>
      <c r="C25" s="354">
        <v>5000</v>
      </c>
      <c r="D25" s="355">
        <v>1155</v>
      </c>
      <c r="E25" s="62">
        <v>0</v>
      </c>
      <c r="F25" s="300">
        <f>20000-20000</f>
        <v>0</v>
      </c>
      <c r="G25" s="62">
        <f t="shared" si="7"/>
        <v>0</v>
      </c>
      <c r="H25" s="300">
        <f>20000-20000</f>
        <v>0</v>
      </c>
      <c r="I25" s="251">
        <f t="shared" si="8"/>
        <v>0</v>
      </c>
      <c r="J25" s="251">
        <f t="shared" si="9"/>
        <v>0</v>
      </c>
      <c r="K25" s="290">
        <f t="shared" si="10"/>
        <v>0</v>
      </c>
    </row>
    <row r="26" spans="1:16" x14ac:dyDescent="0.25">
      <c r="A26" s="279">
        <v>20</v>
      </c>
      <c r="B26" s="353" t="s">
        <v>983</v>
      </c>
      <c r="C26" s="354">
        <v>102000</v>
      </c>
      <c r="D26" s="355">
        <v>52360</v>
      </c>
      <c r="E26" s="406">
        <v>470</v>
      </c>
      <c r="F26" s="289">
        <f>453-453+543-543</f>
        <v>0</v>
      </c>
      <c r="G26" s="62">
        <f t="shared" si="7"/>
        <v>470</v>
      </c>
      <c r="H26" s="300">
        <f>(453-453+23-23)+50-50</f>
        <v>0</v>
      </c>
      <c r="I26" s="251">
        <f t="shared" si="8"/>
        <v>470</v>
      </c>
      <c r="J26" s="251">
        <f t="shared" si="9"/>
        <v>47940000</v>
      </c>
      <c r="K26" s="290">
        <f t="shared" si="10"/>
        <v>24609200</v>
      </c>
      <c r="L26" t="s">
        <v>1095</v>
      </c>
    </row>
    <row r="27" spans="1:16" x14ac:dyDescent="0.25">
      <c r="A27" s="279">
        <v>21</v>
      </c>
      <c r="B27" s="353" t="s">
        <v>1023</v>
      </c>
      <c r="C27" s="354">
        <v>9000</v>
      </c>
      <c r="D27" s="355"/>
      <c r="E27" s="406">
        <v>230</v>
      </c>
      <c r="F27" s="406">
        <f>1000+1650+100-2750+250-250+1000-1000</f>
        <v>0</v>
      </c>
      <c r="G27" s="62">
        <f t="shared" si="7"/>
        <v>230</v>
      </c>
      <c r="H27" s="300">
        <f>(1000+1650+100-2750)+1000-1000+20-20</f>
        <v>0</v>
      </c>
      <c r="I27" s="251">
        <f t="shared" si="8"/>
        <v>230</v>
      </c>
      <c r="J27" s="251">
        <f t="shared" si="9"/>
        <v>2070000</v>
      </c>
      <c r="K27" s="290">
        <f t="shared" si="10"/>
        <v>0</v>
      </c>
      <c r="L27" t="s">
        <v>1096</v>
      </c>
    </row>
    <row r="28" spans="1:16" x14ac:dyDescent="0.25">
      <c r="A28" s="279">
        <v>22</v>
      </c>
      <c r="B28" s="353" t="s">
        <v>1198</v>
      </c>
      <c r="C28" s="354">
        <v>12000</v>
      </c>
      <c r="D28" s="407">
        <v>6160</v>
      </c>
      <c r="E28" s="354">
        <v>575</v>
      </c>
      <c r="F28" s="289">
        <f>300+1700-2000</f>
        <v>0</v>
      </c>
      <c r="G28" s="62">
        <f t="shared" si="7"/>
        <v>575</v>
      </c>
      <c r="H28" s="300">
        <f>(300+25-325)+500+400+200-1100</f>
        <v>0</v>
      </c>
      <c r="I28" s="251">
        <f t="shared" ref="I28:I35" si="11">+G28-H28</f>
        <v>575</v>
      </c>
      <c r="J28" s="251">
        <f t="shared" ref="J28:J35" si="12">I28*C28</f>
        <v>6900000</v>
      </c>
      <c r="K28" s="290">
        <f t="shared" ref="K28:K35" si="13">+D28*I28</f>
        <v>3542000</v>
      </c>
      <c r="M28" s="40" t="s">
        <v>1199</v>
      </c>
      <c r="N28" s="40" t="s">
        <v>1209</v>
      </c>
    </row>
    <row r="29" spans="1:16" x14ac:dyDescent="0.25">
      <c r="A29" s="279">
        <v>23</v>
      </c>
      <c r="B29" s="353" t="s">
        <v>1217</v>
      </c>
      <c r="C29" s="354">
        <v>3000</v>
      </c>
      <c r="D29" s="355"/>
      <c r="E29" s="354">
        <v>0</v>
      </c>
      <c r="F29" s="289">
        <f>2000-2000</f>
        <v>0</v>
      </c>
      <c r="G29" s="62">
        <f t="shared" si="7"/>
        <v>0</v>
      </c>
      <c r="H29" s="300">
        <f>2000-2000</f>
        <v>0</v>
      </c>
      <c r="I29" s="251">
        <f t="shared" si="11"/>
        <v>0</v>
      </c>
      <c r="J29" s="251">
        <f t="shared" si="12"/>
        <v>0</v>
      </c>
      <c r="K29" s="290">
        <f t="shared" si="13"/>
        <v>0</v>
      </c>
    </row>
    <row r="30" spans="1:16" x14ac:dyDescent="0.25">
      <c r="A30" s="279"/>
      <c r="B30" s="353"/>
      <c r="C30" s="354"/>
      <c r="D30" s="355"/>
      <c r="E30" s="354"/>
      <c r="F30" s="289"/>
      <c r="G30" s="62">
        <f t="shared" si="7"/>
        <v>0</v>
      </c>
      <c r="H30" s="300"/>
      <c r="I30" s="251">
        <f t="shared" si="11"/>
        <v>0</v>
      </c>
      <c r="J30" s="251">
        <f t="shared" si="12"/>
        <v>0</v>
      </c>
      <c r="K30" s="290">
        <f t="shared" si="13"/>
        <v>0</v>
      </c>
    </row>
    <row r="31" spans="1:16" x14ac:dyDescent="0.25">
      <c r="A31" s="279"/>
      <c r="B31" s="353"/>
      <c r="C31" s="354"/>
      <c r="D31" s="355"/>
      <c r="E31" s="354"/>
      <c r="F31" s="289"/>
      <c r="G31" s="62">
        <f t="shared" si="7"/>
        <v>0</v>
      </c>
      <c r="H31" s="300"/>
      <c r="I31" s="251">
        <f t="shared" si="11"/>
        <v>0</v>
      </c>
      <c r="J31" s="251">
        <f t="shared" si="12"/>
        <v>0</v>
      </c>
      <c r="K31" s="290">
        <f t="shared" si="13"/>
        <v>0</v>
      </c>
    </row>
    <row r="32" spans="1:16" x14ac:dyDescent="0.25">
      <c r="A32" s="279"/>
      <c r="B32" s="353"/>
      <c r="C32" s="354"/>
      <c r="D32" s="355"/>
      <c r="E32" s="354"/>
      <c r="F32" s="289"/>
      <c r="G32" s="62"/>
      <c r="H32" s="300"/>
      <c r="I32" s="251">
        <f t="shared" si="11"/>
        <v>0</v>
      </c>
      <c r="J32" s="251">
        <f t="shared" si="12"/>
        <v>0</v>
      </c>
      <c r="K32" s="290">
        <f t="shared" si="13"/>
        <v>0</v>
      </c>
    </row>
    <row r="33" spans="1:16" x14ac:dyDescent="0.25">
      <c r="A33" s="279"/>
      <c r="B33" s="353"/>
      <c r="C33" s="354"/>
      <c r="D33" s="355"/>
      <c r="E33" s="354"/>
      <c r="F33" s="289"/>
      <c r="G33" s="62"/>
      <c r="H33" s="300"/>
      <c r="I33" s="251">
        <f t="shared" si="11"/>
        <v>0</v>
      </c>
      <c r="J33" s="251">
        <f t="shared" si="12"/>
        <v>0</v>
      </c>
      <c r="K33" s="290">
        <f t="shared" si="13"/>
        <v>0</v>
      </c>
    </row>
    <row r="34" spans="1:16" x14ac:dyDescent="0.25">
      <c r="A34" s="279"/>
      <c r="B34" s="61"/>
      <c r="C34" s="62"/>
      <c r="D34" s="316"/>
      <c r="E34" s="62">
        <v>0</v>
      </c>
      <c r="F34" s="289">
        <f>50-50</f>
        <v>0</v>
      </c>
      <c r="G34" s="62">
        <f t="shared" si="0"/>
        <v>0</v>
      </c>
      <c r="H34" s="300">
        <f>50-50</f>
        <v>0</v>
      </c>
      <c r="I34" s="251">
        <f t="shared" si="11"/>
        <v>0</v>
      </c>
      <c r="J34" s="251">
        <f t="shared" si="12"/>
        <v>0</v>
      </c>
      <c r="K34" s="290">
        <f t="shared" si="13"/>
        <v>0</v>
      </c>
      <c r="P34" s="40">
        <v>50</v>
      </c>
    </row>
    <row r="35" spans="1:16" ht="15.75" thickBot="1" x14ac:dyDescent="0.3">
      <c r="A35" s="365"/>
      <c r="B35" s="361"/>
      <c r="C35" s="362"/>
      <c r="D35" s="400"/>
      <c r="E35" s="362">
        <v>0</v>
      </c>
      <c r="F35" s="300">
        <f>50-50</f>
        <v>0</v>
      </c>
      <c r="G35" s="62">
        <f>+E35+F35</f>
        <v>0</v>
      </c>
      <c r="H35" s="300">
        <f>50-50</f>
        <v>0</v>
      </c>
      <c r="I35" s="251">
        <f t="shared" si="11"/>
        <v>0</v>
      </c>
      <c r="J35" s="251">
        <f t="shared" si="12"/>
        <v>0</v>
      </c>
      <c r="K35" s="290">
        <f t="shared" si="13"/>
        <v>0</v>
      </c>
      <c r="P35" s="40">
        <v>50</v>
      </c>
    </row>
    <row r="36" spans="1:16" ht="15.75" thickBot="1" x14ac:dyDescent="0.3">
      <c r="A36" s="313"/>
      <c r="B36" s="96" t="s">
        <v>717</v>
      </c>
      <c r="C36" s="296"/>
      <c r="D36" s="296"/>
      <c r="E36" s="97">
        <f>SUM(E7:E35)</f>
        <v>12764</v>
      </c>
      <c r="F36" s="97">
        <f t="shared" ref="F36:K36" si="14">SUM(F7:F35)</f>
        <v>0</v>
      </c>
      <c r="G36" s="97">
        <f t="shared" si="14"/>
        <v>12764</v>
      </c>
      <c r="H36" s="97">
        <f t="shared" si="14"/>
        <v>0</v>
      </c>
      <c r="I36" s="97">
        <f t="shared" si="14"/>
        <v>12764</v>
      </c>
      <c r="J36" s="97">
        <f t="shared" si="14"/>
        <v>682901750</v>
      </c>
      <c r="K36" s="328">
        <f t="shared" si="14"/>
        <v>338194520</v>
      </c>
      <c r="L36" s="40">
        <v>12658</v>
      </c>
      <c r="M36" s="40">
        <v>682371750</v>
      </c>
      <c r="N36" s="40">
        <v>337611520</v>
      </c>
    </row>
    <row r="37" spans="1:16" x14ac:dyDescent="0.25">
      <c r="L37" s="145">
        <f>+L36-I36</f>
        <v>-106</v>
      </c>
      <c r="M37" s="145">
        <f>+M36-J36</f>
        <v>-530000</v>
      </c>
      <c r="N37" s="145">
        <f>+N36-K36</f>
        <v>-583000</v>
      </c>
    </row>
  </sheetData>
  <mergeCells count="7">
    <mergeCell ref="J3:J4"/>
    <mergeCell ref="K3:K4"/>
    <mergeCell ref="E3:I3"/>
    <mergeCell ref="A3:A5"/>
    <mergeCell ref="B3:B4"/>
    <mergeCell ref="C3:C4"/>
    <mergeCell ref="D3:D4"/>
  </mergeCells>
  <pageMargins left="0.19685039370078741" right="0.19685039370078741" top="0.19685039370078741" bottom="0.19685039370078741" header="0.19685039370078741" footer="0.19685039370078741"/>
  <pageSetup paperSize="9" scale="98" orientation="landscape" horizontalDpi="120" verticalDpi="72"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K80"/>
  <sheetViews>
    <sheetView topLeftCell="A58" zoomScale="90" zoomScaleNormal="90" workbookViewId="0">
      <selection activeCell="H64" sqref="H64"/>
    </sheetView>
  </sheetViews>
  <sheetFormatPr defaultColWidth="9.140625" defaultRowHeight="15" x14ac:dyDescent="0.25"/>
  <cols>
    <col min="1" max="1" width="4.7109375" style="40" customWidth="1"/>
    <col min="2" max="2" width="32" style="40" customWidth="1"/>
    <col min="3" max="3" width="14.7109375" style="40" customWidth="1"/>
    <col min="4" max="4" width="14.5703125" style="40" customWidth="1"/>
    <col min="5" max="5" width="11.85546875" style="40" customWidth="1"/>
    <col min="6" max="6" width="12.85546875" style="40" customWidth="1"/>
    <col min="7" max="7" width="13.85546875" style="40" customWidth="1"/>
    <col min="8" max="8" width="11.85546875" style="40" customWidth="1"/>
    <col min="9" max="9" width="12.85546875" style="40" customWidth="1"/>
    <col min="10" max="10" width="16.140625" style="40" customWidth="1"/>
    <col min="11" max="11" width="16.85546875" style="40" customWidth="1"/>
    <col min="12" max="16384" width="9.140625" style="40"/>
  </cols>
  <sheetData>
    <row r="2" spans="1:15" ht="15.75" thickBot="1" x14ac:dyDescent="0.3">
      <c r="A2" s="312" t="s">
        <v>718</v>
      </c>
      <c r="B2" s="298"/>
      <c r="C2" s="298"/>
      <c r="D2" s="298"/>
      <c r="E2" s="298"/>
      <c r="F2" s="363" t="str">
        <f>A.Prangko!G2</f>
        <v>desember 2017</v>
      </c>
      <c r="G2" s="298"/>
      <c r="H2" s="298"/>
      <c r="I2" s="298"/>
      <c r="J2" s="298"/>
      <c r="K2" s="298"/>
    </row>
    <row r="3" spans="1:15" ht="15.75" thickBot="1" x14ac:dyDescent="0.3">
      <c r="A3" s="418" t="s">
        <v>653</v>
      </c>
      <c r="B3" s="421" t="s">
        <v>704</v>
      </c>
      <c r="C3" s="421" t="s">
        <v>1</v>
      </c>
      <c r="D3" s="422" t="s">
        <v>645</v>
      </c>
      <c r="E3" s="423" t="s">
        <v>19</v>
      </c>
      <c r="F3" s="423"/>
      <c r="G3" s="423"/>
      <c r="H3" s="423"/>
      <c r="I3" s="423"/>
      <c r="J3" s="416" t="s">
        <v>20</v>
      </c>
      <c r="K3" s="418" t="s">
        <v>598</v>
      </c>
    </row>
    <row r="4" spans="1:15" ht="45.75" thickBot="1" x14ac:dyDescent="0.3">
      <c r="A4" s="420"/>
      <c r="B4" s="421"/>
      <c r="C4" s="421"/>
      <c r="D4" s="422"/>
      <c r="E4" s="272" t="s">
        <v>21</v>
      </c>
      <c r="F4" s="272" t="s">
        <v>596</v>
      </c>
      <c r="G4" s="272" t="s">
        <v>597</v>
      </c>
      <c r="H4" s="272" t="s">
        <v>585</v>
      </c>
      <c r="I4" s="272" t="s">
        <v>597</v>
      </c>
      <c r="J4" s="417"/>
      <c r="K4" s="419"/>
    </row>
    <row r="5" spans="1:15" ht="15.75" thickBot="1" x14ac:dyDescent="0.3">
      <c r="A5" s="419"/>
      <c r="B5" s="273">
        <v>1</v>
      </c>
      <c r="C5" s="273">
        <v>2</v>
      </c>
      <c r="D5" s="273">
        <v>3</v>
      </c>
      <c r="E5" s="274">
        <v>4</v>
      </c>
      <c r="F5" s="274">
        <f>+E5+1</f>
        <v>5</v>
      </c>
      <c r="G5" s="274" t="s">
        <v>648</v>
      </c>
      <c r="H5" s="274">
        <v>7</v>
      </c>
      <c r="I5" s="275" t="s">
        <v>647</v>
      </c>
      <c r="J5" s="287" t="s">
        <v>646</v>
      </c>
      <c r="K5" s="287" t="s">
        <v>649</v>
      </c>
    </row>
    <row r="6" spans="1:15" x14ac:dyDescent="0.25">
      <c r="A6" s="324">
        <v>1</v>
      </c>
      <c r="B6" s="288" t="s">
        <v>838</v>
      </c>
      <c r="C6" s="277">
        <v>30000</v>
      </c>
      <c r="D6" s="408">
        <v>2326.5</v>
      </c>
      <c r="E6" s="277">
        <v>4171</v>
      </c>
      <c r="F6" s="288"/>
      <c r="G6" s="277">
        <f>+E6+F6</f>
        <v>4171</v>
      </c>
      <c r="H6" s="288">
        <f>10-10</f>
        <v>0</v>
      </c>
      <c r="I6" s="330">
        <f>+G6-H6</f>
        <v>4171</v>
      </c>
      <c r="J6" s="330">
        <f>I6*C6</f>
        <v>125130000</v>
      </c>
      <c r="K6" s="331">
        <f>+D6*I6</f>
        <v>9703831.5</v>
      </c>
    </row>
    <row r="7" spans="1:15" x14ac:dyDescent="0.25">
      <c r="A7" s="279">
        <v>2</v>
      </c>
      <c r="B7" s="61" t="s">
        <v>496</v>
      </c>
      <c r="C7" s="62">
        <v>45000</v>
      </c>
      <c r="D7" s="316">
        <v>2326.5</v>
      </c>
      <c r="E7" s="62">
        <v>1252</v>
      </c>
      <c r="F7" s="61"/>
      <c r="G7" s="62">
        <f>+E7+F7</f>
        <v>1252</v>
      </c>
      <c r="H7" s="61">
        <f>10-10</f>
        <v>0</v>
      </c>
      <c r="I7" s="251">
        <f>+G7-H7</f>
        <v>1252</v>
      </c>
      <c r="J7" s="251">
        <f>I7*C7</f>
        <v>56340000</v>
      </c>
      <c r="K7" s="290">
        <f>+D7*I7</f>
        <v>2912778</v>
      </c>
    </row>
    <row r="8" spans="1:15" x14ac:dyDescent="0.25">
      <c r="A8" s="279">
        <v>3</v>
      </c>
      <c r="B8" s="61" t="s">
        <v>497</v>
      </c>
      <c r="C8" s="62">
        <v>35000</v>
      </c>
      <c r="D8" s="316">
        <v>1311.34</v>
      </c>
      <c r="E8" s="62">
        <v>0</v>
      </c>
      <c r="F8" s="61"/>
      <c r="G8" s="62">
        <f>+E8+F8</f>
        <v>0</v>
      </c>
      <c r="H8" s="61">
        <f>15-15</f>
        <v>0</v>
      </c>
      <c r="I8" s="251">
        <f>+G8-H8</f>
        <v>0</v>
      </c>
      <c r="J8" s="251">
        <f>I8*C8</f>
        <v>0</v>
      </c>
      <c r="K8" s="290">
        <f>+D8*I8</f>
        <v>0</v>
      </c>
      <c r="O8" s="40">
        <v>5478</v>
      </c>
    </row>
    <row r="9" spans="1:15" x14ac:dyDescent="0.25">
      <c r="A9" s="279">
        <v>4</v>
      </c>
      <c r="B9" s="61" t="s">
        <v>498</v>
      </c>
      <c r="C9" s="62">
        <v>45000</v>
      </c>
      <c r="D9" s="316">
        <v>1311.34</v>
      </c>
      <c r="E9" s="62">
        <v>0</v>
      </c>
      <c r="F9" s="61"/>
      <c r="G9" s="62">
        <f>+E9+F9</f>
        <v>0</v>
      </c>
      <c r="H9" s="61">
        <f>15-15</f>
        <v>0</v>
      </c>
      <c r="I9" s="251">
        <f>+G9-H9</f>
        <v>0</v>
      </c>
      <c r="J9" s="251">
        <f>I9*C9</f>
        <v>0</v>
      </c>
      <c r="K9" s="290">
        <f>+D9*I9</f>
        <v>0</v>
      </c>
      <c r="O9" s="40">
        <v>50624</v>
      </c>
    </row>
    <row r="10" spans="1:15" ht="15.75" thickBot="1" x14ac:dyDescent="0.3">
      <c r="A10" s="280">
        <v>5</v>
      </c>
      <c r="B10" s="281" t="s">
        <v>499</v>
      </c>
      <c r="C10" s="282">
        <v>45000</v>
      </c>
      <c r="D10" s="317">
        <v>1311.34</v>
      </c>
      <c r="E10" s="282">
        <v>0</v>
      </c>
      <c r="F10" s="281"/>
      <c r="G10" s="282">
        <f>+E10+F10</f>
        <v>0</v>
      </c>
      <c r="H10" s="281">
        <f>5-5</f>
        <v>0</v>
      </c>
      <c r="I10" s="322">
        <f>+G10-H10</f>
        <v>0</v>
      </c>
      <c r="J10" s="322">
        <f>I10*C10</f>
        <v>0</v>
      </c>
      <c r="K10" s="323">
        <f>+D10*I10</f>
        <v>0</v>
      </c>
      <c r="O10" s="40">
        <v>48514</v>
      </c>
    </row>
    <row r="11" spans="1:15" ht="15.75" thickBot="1" x14ac:dyDescent="0.3">
      <c r="A11" s="313"/>
      <c r="B11" s="96" t="s">
        <v>719</v>
      </c>
      <c r="C11" s="296"/>
      <c r="D11" s="296"/>
      <c r="E11" s="97">
        <f t="shared" ref="E11:K11" si="0">SUM(E6:E10)</f>
        <v>5423</v>
      </c>
      <c r="F11" s="97">
        <f t="shared" si="0"/>
        <v>0</v>
      </c>
      <c r="G11" s="97">
        <f t="shared" si="0"/>
        <v>5423</v>
      </c>
      <c r="H11" s="97">
        <f t="shared" si="0"/>
        <v>0</v>
      </c>
      <c r="I11" s="97">
        <f t="shared" si="0"/>
        <v>5423</v>
      </c>
      <c r="J11" s="97">
        <f t="shared" si="0"/>
        <v>181470000</v>
      </c>
      <c r="K11" s="297">
        <f t="shared" si="0"/>
        <v>12616609.5</v>
      </c>
      <c r="O11" s="40">
        <v>33795</v>
      </c>
    </row>
    <row r="12" spans="1:15" ht="15.75" thickBot="1" x14ac:dyDescent="0.3">
      <c r="A12" s="298"/>
      <c r="B12" s="138"/>
      <c r="C12" s="139"/>
      <c r="D12" s="140"/>
      <c r="E12" s="141"/>
      <c r="F12" s="138"/>
      <c r="G12" s="141"/>
      <c r="H12" s="141"/>
      <c r="I12" s="141"/>
      <c r="J12" s="141"/>
      <c r="K12" s="140"/>
    </row>
    <row r="13" spans="1:15" ht="15.75" thickBot="1" x14ac:dyDescent="0.3">
      <c r="A13" s="418" t="s">
        <v>653</v>
      </c>
      <c r="B13" s="421" t="s">
        <v>704</v>
      </c>
      <c r="C13" s="421" t="s">
        <v>1</v>
      </c>
      <c r="D13" s="422" t="s">
        <v>645</v>
      </c>
      <c r="E13" s="423" t="s">
        <v>19</v>
      </c>
      <c r="F13" s="423"/>
      <c r="G13" s="423"/>
      <c r="H13" s="423"/>
      <c r="I13" s="423"/>
      <c r="J13" s="416" t="s">
        <v>20</v>
      </c>
      <c r="K13" s="418" t="s">
        <v>598</v>
      </c>
    </row>
    <row r="14" spans="1:15" ht="45.75" thickBot="1" x14ac:dyDescent="0.3">
      <c r="A14" s="420"/>
      <c r="B14" s="421"/>
      <c r="C14" s="421"/>
      <c r="D14" s="422"/>
      <c r="E14" s="272" t="s">
        <v>21</v>
      </c>
      <c r="F14" s="272" t="s">
        <v>596</v>
      </c>
      <c r="G14" s="272" t="s">
        <v>597</v>
      </c>
      <c r="H14" s="272" t="s">
        <v>585</v>
      </c>
      <c r="I14" s="272" t="s">
        <v>597</v>
      </c>
      <c r="J14" s="417"/>
      <c r="K14" s="419"/>
    </row>
    <row r="15" spans="1:15" ht="15.75" thickBot="1" x14ac:dyDescent="0.3">
      <c r="A15" s="419"/>
      <c r="B15" s="273">
        <v>1</v>
      </c>
      <c r="C15" s="273">
        <v>2</v>
      </c>
      <c r="D15" s="273">
        <v>3</v>
      </c>
      <c r="E15" s="274">
        <v>4</v>
      </c>
      <c r="F15" s="274">
        <f>+E15+1</f>
        <v>5</v>
      </c>
      <c r="G15" s="274" t="s">
        <v>648</v>
      </c>
      <c r="H15" s="274">
        <v>7</v>
      </c>
      <c r="I15" s="275" t="s">
        <v>647</v>
      </c>
      <c r="J15" s="287" t="s">
        <v>646</v>
      </c>
      <c r="K15" s="287" t="s">
        <v>649</v>
      </c>
      <c r="M15" s="40" t="s">
        <v>894</v>
      </c>
      <c r="O15" s="156" t="s">
        <v>893</v>
      </c>
    </row>
    <row r="16" spans="1:15" x14ac:dyDescent="0.25">
      <c r="A16" s="324">
        <v>1</v>
      </c>
      <c r="B16" s="288" t="s">
        <v>500</v>
      </c>
      <c r="C16" s="277">
        <v>20000</v>
      </c>
      <c r="D16" s="408">
        <v>786.5</v>
      </c>
      <c r="E16" s="277">
        <v>32089</v>
      </c>
      <c r="F16" s="288"/>
      <c r="G16" s="277">
        <f t="shared" ref="G16:G34" si="1">+E16+F16</f>
        <v>32089</v>
      </c>
      <c r="H16" s="324">
        <f>900-900</f>
        <v>0</v>
      </c>
      <c r="I16" s="330">
        <f t="shared" ref="I16:I34" si="2">+G16-H16</f>
        <v>32089</v>
      </c>
      <c r="J16" s="330">
        <f t="shared" ref="J16:J34" si="3">I16*C16</f>
        <v>641780000</v>
      </c>
      <c r="K16" s="331">
        <f t="shared" ref="K16:K34" si="4">+D16*I16</f>
        <v>25237998.5</v>
      </c>
      <c r="M16" s="172">
        <v>900</v>
      </c>
      <c r="O16" s="40">
        <v>0</v>
      </c>
    </row>
    <row r="17" spans="1:15" x14ac:dyDescent="0.25">
      <c r="A17" s="279">
        <v>2</v>
      </c>
      <c r="B17" s="61" t="s">
        <v>501</v>
      </c>
      <c r="C17" s="62">
        <v>45000</v>
      </c>
      <c r="D17" s="316">
        <v>3224.22</v>
      </c>
      <c r="E17" s="62">
        <v>191</v>
      </c>
      <c r="F17" s="61"/>
      <c r="G17" s="62">
        <f t="shared" si="1"/>
        <v>191</v>
      </c>
      <c r="H17" s="279">
        <f>10-10</f>
        <v>0</v>
      </c>
      <c r="I17" s="251">
        <f t="shared" si="2"/>
        <v>191</v>
      </c>
      <c r="J17" s="251">
        <f t="shared" si="3"/>
        <v>8595000</v>
      </c>
      <c r="K17" s="290">
        <f t="shared" si="4"/>
        <v>615826.02</v>
      </c>
      <c r="O17" s="40">
        <v>0</v>
      </c>
    </row>
    <row r="18" spans="1:15" x14ac:dyDescent="0.25">
      <c r="A18" s="279">
        <v>3</v>
      </c>
      <c r="B18" s="61" t="s">
        <v>502</v>
      </c>
      <c r="C18" s="62">
        <v>45000</v>
      </c>
      <c r="D18" s="316">
        <v>3224.22</v>
      </c>
      <c r="E18" s="62">
        <v>165</v>
      </c>
      <c r="F18" s="61"/>
      <c r="G18" s="62">
        <f t="shared" si="1"/>
        <v>165</v>
      </c>
      <c r="H18" s="279">
        <f>4-4</f>
        <v>0</v>
      </c>
      <c r="I18" s="251">
        <f t="shared" si="2"/>
        <v>165</v>
      </c>
      <c r="J18" s="251">
        <f t="shared" si="3"/>
        <v>7425000</v>
      </c>
      <c r="K18" s="290">
        <f t="shared" si="4"/>
        <v>531996.29999999993</v>
      </c>
      <c r="O18" s="40">
        <v>0</v>
      </c>
    </row>
    <row r="19" spans="1:15" x14ac:dyDescent="0.25">
      <c r="A19" s="279">
        <v>4</v>
      </c>
      <c r="B19" s="61" t="s">
        <v>503</v>
      </c>
      <c r="C19" s="62">
        <v>45000</v>
      </c>
      <c r="D19" s="316">
        <v>3847.8</v>
      </c>
      <c r="E19" s="62">
        <v>32</v>
      </c>
      <c r="F19" s="61"/>
      <c r="G19" s="62">
        <f t="shared" si="1"/>
        <v>32</v>
      </c>
      <c r="H19" s="279">
        <f>10-10</f>
        <v>0</v>
      </c>
      <c r="I19" s="251">
        <f t="shared" si="2"/>
        <v>32</v>
      </c>
      <c r="J19" s="251">
        <f t="shared" si="3"/>
        <v>1440000</v>
      </c>
      <c r="K19" s="290">
        <f t="shared" si="4"/>
        <v>123129.60000000001</v>
      </c>
      <c r="O19" s="40">
        <v>0</v>
      </c>
    </row>
    <row r="20" spans="1:15" x14ac:dyDescent="0.25">
      <c r="A20" s="279">
        <v>5</v>
      </c>
      <c r="B20" s="61" t="s">
        <v>504</v>
      </c>
      <c r="C20" s="62">
        <v>45000</v>
      </c>
      <c r="D20" s="316">
        <v>3224.22</v>
      </c>
      <c r="E20" s="62">
        <v>1517</v>
      </c>
      <c r="F20" s="61"/>
      <c r="G20" s="62">
        <f t="shared" si="1"/>
        <v>1517</v>
      </c>
      <c r="H20" s="279">
        <f>10-10</f>
        <v>0</v>
      </c>
      <c r="I20" s="251">
        <f t="shared" si="2"/>
        <v>1517</v>
      </c>
      <c r="J20" s="251">
        <f t="shared" si="3"/>
        <v>68265000</v>
      </c>
      <c r="K20" s="290">
        <f t="shared" si="4"/>
        <v>4891141.7399999993</v>
      </c>
      <c r="O20" s="40">
        <v>0</v>
      </c>
    </row>
    <row r="21" spans="1:15" x14ac:dyDescent="0.25">
      <c r="A21" s="279">
        <v>6</v>
      </c>
      <c r="B21" s="61" t="s">
        <v>505</v>
      </c>
      <c r="C21" s="62">
        <v>30000</v>
      </c>
      <c r="D21" s="316">
        <v>3146</v>
      </c>
      <c r="E21" s="62">
        <v>3666</v>
      </c>
      <c r="F21" s="61">
        <f>100-100+100-100+312-312</f>
        <v>0</v>
      </c>
      <c r="G21" s="62">
        <f t="shared" si="1"/>
        <v>3666</v>
      </c>
      <c r="H21" s="279">
        <f>300-300+100-100+100-100</f>
        <v>0</v>
      </c>
      <c r="I21" s="251">
        <f t="shared" si="2"/>
        <v>3666</v>
      </c>
      <c r="J21" s="251">
        <f t="shared" si="3"/>
        <v>109980000</v>
      </c>
      <c r="K21" s="290">
        <f t="shared" si="4"/>
        <v>11533236</v>
      </c>
      <c r="M21" s="40">
        <v>100</v>
      </c>
      <c r="O21" s="40">
        <v>100</v>
      </c>
    </row>
    <row r="22" spans="1:15" x14ac:dyDescent="0.25">
      <c r="A22" s="279">
        <v>7</v>
      </c>
      <c r="B22" s="61" t="s">
        <v>506</v>
      </c>
      <c r="C22" s="62">
        <v>30000</v>
      </c>
      <c r="D22" s="316">
        <v>3146</v>
      </c>
      <c r="E22" s="62">
        <v>2879</v>
      </c>
      <c r="F22" s="61">
        <f>100-100+100-100+233-233</f>
        <v>0</v>
      </c>
      <c r="G22" s="62">
        <f t="shared" si="1"/>
        <v>2879</v>
      </c>
      <c r="H22" s="279">
        <f>300-300+100-100+100-100</f>
        <v>0</v>
      </c>
      <c r="I22" s="251">
        <f t="shared" si="2"/>
        <v>2879</v>
      </c>
      <c r="J22" s="251">
        <f t="shared" si="3"/>
        <v>86370000</v>
      </c>
      <c r="K22" s="290">
        <f t="shared" si="4"/>
        <v>9057334</v>
      </c>
      <c r="M22" s="40">
        <v>100</v>
      </c>
      <c r="O22" s="40">
        <v>100</v>
      </c>
    </row>
    <row r="23" spans="1:15" x14ac:dyDescent="0.25">
      <c r="A23" s="279">
        <v>8</v>
      </c>
      <c r="B23" s="61" t="s">
        <v>507</v>
      </c>
      <c r="C23" s="62">
        <v>30000</v>
      </c>
      <c r="D23" s="316">
        <v>3146</v>
      </c>
      <c r="E23" s="62">
        <v>98</v>
      </c>
      <c r="F23" s="61">
        <f>100-100+100-100+24-24</f>
        <v>0</v>
      </c>
      <c r="G23" s="62">
        <f t="shared" si="1"/>
        <v>98</v>
      </c>
      <c r="H23" s="279">
        <f>300-300+100-100+100-100</f>
        <v>0</v>
      </c>
      <c r="I23" s="251">
        <f t="shared" si="2"/>
        <v>98</v>
      </c>
      <c r="J23" s="251">
        <f t="shared" si="3"/>
        <v>2940000</v>
      </c>
      <c r="K23" s="290">
        <f t="shared" si="4"/>
        <v>308308</v>
      </c>
      <c r="M23" s="40">
        <v>100</v>
      </c>
      <c r="O23" s="40">
        <v>100</v>
      </c>
    </row>
    <row r="24" spans="1:15" x14ac:dyDescent="0.25">
      <c r="A24" s="279">
        <v>9</v>
      </c>
      <c r="B24" s="61" t="s">
        <v>508</v>
      </c>
      <c r="C24" s="62">
        <v>30000</v>
      </c>
      <c r="D24" s="316">
        <v>3146</v>
      </c>
      <c r="E24" s="62">
        <v>389</v>
      </c>
      <c r="F24" s="61">
        <f>100-100+100-100+24-24</f>
        <v>0</v>
      </c>
      <c r="G24" s="62">
        <f t="shared" si="1"/>
        <v>389</v>
      </c>
      <c r="H24" s="279">
        <f>300-300+100-100+100-100</f>
        <v>0</v>
      </c>
      <c r="I24" s="251">
        <f t="shared" si="2"/>
        <v>389</v>
      </c>
      <c r="J24" s="251">
        <f t="shared" si="3"/>
        <v>11670000</v>
      </c>
      <c r="K24" s="290">
        <f t="shared" si="4"/>
        <v>1223794</v>
      </c>
      <c r="M24" s="40">
        <v>100</v>
      </c>
      <c r="O24" s="40">
        <v>100</v>
      </c>
    </row>
    <row r="25" spans="1:15" x14ac:dyDescent="0.25">
      <c r="A25" s="279">
        <v>10</v>
      </c>
      <c r="B25" s="61" t="s">
        <v>509</v>
      </c>
      <c r="C25" s="62">
        <v>27000</v>
      </c>
      <c r="D25" s="316">
        <v>3542</v>
      </c>
      <c r="E25" s="62">
        <v>56</v>
      </c>
      <c r="F25" s="61">
        <f>56-56</f>
        <v>0</v>
      </c>
      <c r="G25" s="62">
        <f t="shared" si="1"/>
        <v>56</v>
      </c>
      <c r="H25" s="61">
        <f>17-17</f>
        <v>0</v>
      </c>
      <c r="I25" s="251">
        <f t="shared" si="2"/>
        <v>56</v>
      </c>
      <c r="J25" s="251">
        <f t="shared" si="3"/>
        <v>1512000</v>
      </c>
      <c r="K25" s="290">
        <f t="shared" si="4"/>
        <v>198352</v>
      </c>
      <c r="O25" s="40">
        <v>0</v>
      </c>
    </row>
    <row r="26" spans="1:15" x14ac:dyDescent="0.25">
      <c r="A26" s="279">
        <v>11</v>
      </c>
      <c r="B26" s="61" t="s">
        <v>510</v>
      </c>
      <c r="C26" s="62">
        <v>27000</v>
      </c>
      <c r="D26" s="316">
        <v>3542</v>
      </c>
      <c r="E26" s="62">
        <v>246</v>
      </c>
      <c r="F26" s="61">
        <f>80-80</f>
        <v>0</v>
      </c>
      <c r="G26" s="62">
        <f t="shared" si="1"/>
        <v>246</v>
      </c>
      <c r="H26" s="61">
        <f>10-10</f>
        <v>0</v>
      </c>
      <c r="I26" s="251">
        <f t="shared" si="2"/>
        <v>246</v>
      </c>
      <c r="J26" s="251">
        <f t="shared" si="3"/>
        <v>6642000</v>
      </c>
      <c r="K26" s="290">
        <f t="shared" si="4"/>
        <v>871332</v>
      </c>
      <c r="O26" s="40">
        <v>0</v>
      </c>
    </row>
    <row r="27" spans="1:15" x14ac:dyDescent="0.25">
      <c r="A27" s="279">
        <v>12</v>
      </c>
      <c r="B27" s="61" t="s">
        <v>511</v>
      </c>
      <c r="C27" s="62">
        <v>27000</v>
      </c>
      <c r="D27" s="316">
        <v>3542</v>
      </c>
      <c r="E27" s="62">
        <v>34</v>
      </c>
      <c r="F27" s="61">
        <f>23-23</f>
        <v>0</v>
      </c>
      <c r="G27" s="62">
        <f t="shared" si="1"/>
        <v>34</v>
      </c>
      <c r="H27" s="61">
        <f>1-1</f>
        <v>0</v>
      </c>
      <c r="I27" s="251">
        <f t="shared" si="2"/>
        <v>34</v>
      </c>
      <c r="J27" s="251">
        <f t="shared" si="3"/>
        <v>918000</v>
      </c>
      <c r="K27" s="290">
        <f t="shared" si="4"/>
        <v>120428</v>
      </c>
      <c r="O27" s="40">
        <v>0</v>
      </c>
    </row>
    <row r="28" spans="1:15" x14ac:dyDescent="0.25">
      <c r="A28" s="279">
        <v>13</v>
      </c>
      <c r="B28" s="61" t="s">
        <v>512</v>
      </c>
      <c r="C28" s="62">
        <v>27000</v>
      </c>
      <c r="D28" s="316">
        <v>3542</v>
      </c>
      <c r="E28" s="62">
        <v>228</v>
      </c>
      <c r="F28" s="61">
        <f>71-71</f>
        <v>0</v>
      </c>
      <c r="G28" s="62">
        <f t="shared" si="1"/>
        <v>228</v>
      </c>
      <c r="H28" s="61">
        <f>10-10</f>
        <v>0</v>
      </c>
      <c r="I28" s="251">
        <f t="shared" si="2"/>
        <v>228</v>
      </c>
      <c r="J28" s="251">
        <f t="shared" si="3"/>
        <v>6156000</v>
      </c>
      <c r="K28" s="290">
        <f t="shared" si="4"/>
        <v>807576</v>
      </c>
      <c r="O28" s="40">
        <v>0</v>
      </c>
    </row>
    <row r="29" spans="1:15" x14ac:dyDescent="0.25">
      <c r="A29" s="279">
        <v>14</v>
      </c>
      <c r="B29" s="61" t="s">
        <v>513</v>
      </c>
      <c r="C29" s="62">
        <v>15000</v>
      </c>
      <c r="D29" s="316">
        <v>786.5</v>
      </c>
      <c r="E29" s="62">
        <v>92</v>
      </c>
      <c r="F29" s="61">
        <f>92-92</f>
        <v>0</v>
      </c>
      <c r="G29" s="62">
        <f t="shared" si="1"/>
        <v>92</v>
      </c>
      <c r="H29" s="279">
        <f>1304-1304</f>
        <v>0</v>
      </c>
      <c r="I29" s="251">
        <f t="shared" si="2"/>
        <v>92</v>
      </c>
      <c r="J29" s="251">
        <f t="shared" si="3"/>
        <v>1380000</v>
      </c>
      <c r="K29" s="290">
        <f t="shared" si="4"/>
        <v>72358</v>
      </c>
      <c r="M29" s="172">
        <v>1304</v>
      </c>
      <c r="O29" s="40">
        <v>0</v>
      </c>
    </row>
    <row r="30" spans="1:15" x14ac:dyDescent="0.25">
      <c r="A30" s="279">
        <v>15</v>
      </c>
      <c r="B30" s="61" t="s">
        <v>514</v>
      </c>
      <c r="C30" s="62">
        <v>15000</v>
      </c>
      <c r="D30" s="316">
        <v>786.5</v>
      </c>
      <c r="E30" s="62">
        <v>92</v>
      </c>
      <c r="F30" s="61">
        <f>92-92</f>
        <v>0</v>
      </c>
      <c r="G30" s="62">
        <f t="shared" si="1"/>
        <v>92</v>
      </c>
      <c r="H30" s="279">
        <f>1292-1292</f>
        <v>0</v>
      </c>
      <c r="I30" s="251">
        <f t="shared" si="2"/>
        <v>92</v>
      </c>
      <c r="J30" s="251">
        <f t="shared" si="3"/>
        <v>1380000</v>
      </c>
      <c r="K30" s="290">
        <f t="shared" si="4"/>
        <v>72358</v>
      </c>
      <c r="M30" s="172">
        <v>1292</v>
      </c>
      <c r="O30" s="40">
        <v>0</v>
      </c>
    </row>
    <row r="31" spans="1:15" x14ac:dyDescent="0.25">
      <c r="A31" s="279">
        <v>16</v>
      </c>
      <c r="B31" s="61" t="s">
        <v>515</v>
      </c>
      <c r="C31" s="62">
        <v>15000</v>
      </c>
      <c r="D31" s="316">
        <v>786.5</v>
      </c>
      <c r="E31" s="62">
        <v>92</v>
      </c>
      <c r="F31" s="61">
        <f>92-92</f>
        <v>0</v>
      </c>
      <c r="G31" s="62">
        <f t="shared" si="1"/>
        <v>92</v>
      </c>
      <c r="H31" s="279">
        <f>1201-1201</f>
        <v>0</v>
      </c>
      <c r="I31" s="251">
        <f t="shared" si="2"/>
        <v>92</v>
      </c>
      <c r="J31" s="251">
        <f t="shared" si="3"/>
        <v>1380000</v>
      </c>
      <c r="K31" s="290">
        <f t="shared" si="4"/>
        <v>72358</v>
      </c>
      <c r="M31" s="172">
        <v>1201</v>
      </c>
      <c r="O31" s="40">
        <v>0</v>
      </c>
    </row>
    <row r="32" spans="1:15" x14ac:dyDescent="0.25">
      <c r="A32" s="279">
        <v>17</v>
      </c>
      <c r="B32" s="61" t="s">
        <v>516</v>
      </c>
      <c r="C32" s="62">
        <v>15000</v>
      </c>
      <c r="D32" s="316">
        <v>786.5</v>
      </c>
      <c r="E32" s="62">
        <v>92</v>
      </c>
      <c r="F32" s="61">
        <f>92-92</f>
        <v>0</v>
      </c>
      <c r="G32" s="62">
        <f t="shared" si="1"/>
        <v>92</v>
      </c>
      <c r="H32" s="279">
        <f>1207-1207</f>
        <v>0</v>
      </c>
      <c r="I32" s="251">
        <f t="shared" si="2"/>
        <v>92</v>
      </c>
      <c r="J32" s="251">
        <f t="shared" si="3"/>
        <v>1380000</v>
      </c>
      <c r="K32" s="290">
        <f t="shared" si="4"/>
        <v>72358</v>
      </c>
      <c r="M32" s="172">
        <v>1207</v>
      </c>
      <c r="O32" s="40">
        <v>0</v>
      </c>
    </row>
    <row r="33" spans="1:15" x14ac:dyDescent="0.25">
      <c r="A33" s="279">
        <v>18</v>
      </c>
      <c r="B33" s="61" t="s">
        <v>517</v>
      </c>
      <c r="C33" s="62">
        <v>15000</v>
      </c>
      <c r="D33" s="316">
        <v>786.5</v>
      </c>
      <c r="E33" s="62">
        <v>820</v>
      </c>
      <c r="F33" s="61">
        <f>820-820</f>
        <v>0</v>
      </c>
      <c r="G33" s="62">
        <f t="shared" si="1"/>
        <v>820</v>
      </c>
      <c r="H33" s="279">
        <f>230-230</f>
        <v>0</v>
      </c>
      <c r="I33" s="251">
        <f t="shared" si="2"/>
        <v>820</v>
      </c>
      <c r="J33" s="251">
        <f t="shared" si="3"/>
        <v>12300000</v>
      </c>
      <c r="K33" s="290">
        <f t="shared" si="4"/>
        <v>644930</v>
      </c>
      <c r="M33" s="172">
        <v>230</v>
      </c>
      <c r="O33" s="40">
        <v>0</v>
      </c>
    </row>
    <row r="34" spans="1:15" ht="15.75" thickBot="1" x14ac:dyDescent="0.3">
      <c r="A34" s="280">
        <v>19</v>
      </c>
      <c r="B34" s="281" t="s">
        <v>518</v>
      </c>
      <c r="C34" s="282">
        <v>45000</v>
      </c>
      <c r="D34" s="317">
        <f>192.39*20</f>
        <v>3847.7999999999997</v>
      </c>
      <c r="E34" s="282">
        <v>2400</v>
      </c>
      <c r="F34" s="281"/>
      <c r="G34" s="282">
        <f t="shared" si="1"/>
        <v>2400</v>
      </c>
      <c r="H34" s="281"/>
      <c r="I34" s="322">
        <f t="shared" si="2"/>
        <v>2400</v>
      </c>
      <c r="J34" s="322">
        <f t="shared" si="3"/>
        <v>108000000</v>
      </c>
      <c r="K34" s="323">
        <f t="shared" si="4"/>
        <v>9234720</v>
      </c>
    </row>
    <row r="35" spans="1:15" ht="15.75" thickBot="1" x14ac:dyDescent="0.3">
      <c r="A35" s="313"/>
      <c r="B35" s="96" t="s">
        <v>720</v>
      </c>
      <c r="C35" s="296"/>
      <c r="D35" s="97">
        <f t="shared" ref="D35:I35" si="5">SUM(D16:D34)</f>
        <v>48839.26</v>
      </c>
      <c r="E35" s="97">
        <f t="shared" si="5"/>
        <v>45178</v>
      </c>
      <c r="F35" s="97">
        <f t="shared" si="5"/>
        <v>0</v>
      </c>
      <c r="G35" s="97">
        <f t="shared" si="5"/>
        <v>45178</v>
      </c>
      <c r="H35" s="97">
        <f t="shared" si="5"/>
        <v>0</v>
      </c>
      <c r="I35" s="97">
        <f t="shared" si="5"/>
        <v>45178</v>
      </c>
      <c r="J35" s="97">
        <f>SUM(J16:J34)</f>
        <v>1079513000</v>
      </c>
      <c r="K35" s="325">
        <f>SUM(K16:K34)</f>
        <v>65689534.159999996</v>
      </c>
    </row>
    <row r="36" spans="1:15" ht="15.75" thickBot="1" x14ac:dyDescent="0.3">
      <c r="A36" s="298"/>
      <c r="B36" s="138"/>
      <c r="C36" s="139"/>
      <c r="D36" s="140"/>
      <c r="E36" s="141"/>
      <c r="F36" s="138"/>
      <c r="G36" s="141"/>
      <c r="H36" s="141"/>
      <c r="I36" s="141"/>
      <c r="J36" s="141"/>
      <c r="K36" s="140"/>
    </row>
    <row r="37" spans="1:15" ht="15.75" thickBot="1" x14ac:dyDescent="0.3">
      <c r="A37" s="418" t="s">
        <v>653</v>
      </c>
      <c r="B37" s="421" t="s">
        <v>704</v>
      </c>
      <c r="C37" s="421" t="s">
        <v>1</v>
      </c>
      <c r="D37" s="422" t="s">
        <v>645</v>
      </c>
      <c r="E37" s="423" t="s">
        <v>19</v>
      </c>
      <c r="F37" s="423"/>
      <c r="G37" s="423"/>
      <c r="H37" s="423"/>
      <c r="I37" s="423"/>
      <c r="J37" s="416" t="s">
        <v>20</v>
      </c>
      <c r="K37" s="418" t="s">
        <v>598</v>
      </c>
    </row>
    <row r="38" spans="1:15" ht="45.75" thickBot="1" x14ac:dyDescent="0.3">
      <c r="A38" s="420"/>
      <c r="B38" s="421"/>
      <c r="C38" s="421"/>
      <c r="D38" s="422"/>
      <c r="E38" s="272" t="s">
        <v>21</v>
      </c>
      <c r="F38" s="272" t="s">
        <v>596</v>
      </c>
      <c r="G38" s="272" t="s">
        <v>597</v>
      </c>
      <c r="H38" s="272" t="s">
        <v>585</v>
      </c>
      <c r="I38" s="272" t="s">
        <v>597</v>
      </c>
      <c r="J38" s="417"/>
      <c r="K38" s="419"/>
    </row>
    <row r="39" spans="1:15" ht="15.75" thickBot="1" x14ac:dyDescent="0.3">
      <c r="A39" s="419"/>
      <c r="B39" s="273">
        <v>1</v>
      </c>
      <c r="C39" s="273">
        <v>2</v>
      </c>
      <c r="D39" s="273">
        <v>3</v>
      </c>
      <c r="E39" s="274">
        <v>4</v>
      </c>
      <c r="F39" s="274">
        <f>+E39+1</f>
        <v>5</v>
      </c>
      <c r="G39" s="274" t="s">
        <v>648</v>
      </c>
      <c r="H39" s="274">
        <v>7</v>
      </c>
      <c r="I39" s="275" t="s">
        <v>647</v>
      </c>
      <c r="J39" s="287" t="s">
        <v>646</v>
      </c>
      <c r="K39" s="287" t="s">
        <v>649</v>
      </c>
    </row>
    <row r="40" spans="1:15" x14ac:dyDescent="0.25">
      <c r="A40" s="288"/>
      <c r="B40" s="288" t="s">
        <v>523</v>
      </c>
      <c r="C40" s="288"/>
      <c r="D40" s="288"/>
      <c r="E40" s="288"/>
      <c r="F40" s="288"/>
      <c r="G40" s="288"/>
      <c r="H40" s="288"/>
      <c r="I40" s="288"/>
      <c r="J40" s="288"/>
      <c r="K40" s="288"/>
    </row>
    <row r="41" spans="1:15" x14ac:dyDescent="0.25">
      <c r="A41" s="279">
        <v>1</v>
      </c>
      <c r="B41" s="409" t="s">
        <v>765</v>
      </c>
      <c r="C41" s="62">
        <v>20000</v>
      </c>
      <c r="D41" s="316">
        <f>(2437.67+1771)/2</f>
        <v>2104.335</v>
      </c>
      <c r="E41" s="62">
        <v>15416</v>
      </c>
      <c r="F41" s="62">
        <f>597-597</f>
        <v>0</v>
      </c>
      <c r="G41" s="62">
        <f>+E41+F41</f>
        <v>15416</v>
      </c>
      <c r="H41" s="289">
        <f>100-100</f>
        <v>0</v>
      </c>
      <c r="I41" s="251">
        <f>+G41-H41</f>
        <v>15416</v>
      </c>
      <c r="J41" s="251">
        <f>I41*C41</f>
        <v>308320000</v>
      </c>
      <c r="K41" s="290">
        <f>+D41*I41</f>
        <v>32440428.359999999</v>
      </c>
    </row>
    <row r="42" spans="1:15" x14ac:dyDescent="0.25">
      <c r="A42" s="279">
        <v>2</v>
      </c>
      <c r="B42" s="409" t="s">
        <v>519</v>
      </c>
      <c r="C42" s="62">
        <v>20000</v>
      </c>
      <c r="D42" s="316">
        <f>(2437.67+1771)/2</f>
        <v>2104.335</v>
      </c>
      <c r="E42" s="62">
        <v>15892</v>
      </c>
      <c r="F42" s="62">
        <f>667-667</f>
        <v>0</v>
      </c>
      <c r="G42" s="62">
        <f>+E42+F42</f>
        <v>15892</v>
      </c>
      <c r="H42" s="289">
        <f>10-10</f>
        <v>0</v>
      </c>
      <c r="I42" s="251">
        <f>+G42-H42</f>
        <v>15892</v>
      </c>
      <c r="J42" s="251">
        <f>I42*C42</f>
        <v>317840000</v>
      </c>
      <c r="K42" s="290">
        <f>+D42*I42</f>
        <v>33442091.82</v>
      </c>
    </row>
    <row r="43" spans="1:15" x14ac:dyDescent="0.25">
      <c r="A43" s="279">
        <v>3</v>
      </c>
      <c r="B43" s="409" t="s">
        <v>520</v>
      </c>
      <c r="C43" s="62">
        <v>20000</v>
      </c>
      <c r="D43" s="316">
        <f>(2437.67+1771)/2</f>
        <v>2104.335</v>
      </c>
      <c r="E43" s="62">
        <v>10121</v>
      </c>
      <c r="F43" s="62">
        <f>581-581</f>
        <v>0</v>
      </c>
      <c r="G43" s="62">
        <f>+E43+F43</f>
        <v>10121</v>
      </c>
      <c r="H43" s="289">
        <f>10-10</f>
        <v>0</v>
      </c>
      <c r="I43" s="251">
        <f>+G43-H43</f>
        <v>10121</v>
      </c>
      <c r="J43" s="251">
        <f>I43*C43</f>
        <v>202420000</v>
      </c>
      <c r="K43" s="290">
        <f>+D43*I43</f>
        <v>21297974.535</v>
      </c>
    </row>
    <row r="44" spans="1:15" x14ac:dyDescent="0.25">
      <c r="A44" s="279">
        <v>4</v>
      </c>
      <c r="B44" s="409" t="s">
        <v>521</v>
      </c>
      <c r="C44" s="62">
        <v>20000</v>
      </c>
      <c r="D44" s="316">
        <f>(2437.67+1771)/2</f>
        <v>2104.335</v>
      </c>
      <c r="E44" s="62">
        <v>5683</v>
      </c>
      <c r="F44" s="62">
        <f>778-778</f>
        <v>0</v>
      </c>
      <c r="G44" s="62">
        <f>+E44+F44</f>
        <v>5683</v>
      </c>
      <c r="H44" s="289">
        <f>10-10</f>
        <v>0</v>
      </c>
      <c r="I44" s="251">
        <f>+G44-H44</f>
        <v>5683</v>
      </c>
      <c r="J44" s="251">
        <f>I44*C44</f>
        <v>113660000</v>
      </c>
      <c r="K44" s="290">
        <f>+D44*I44</f>
        <v>11958935.805</v>
      </c>
    </row>
    <row r="45" spans="1:15" ht="15.75" thickBot="1" x14ac:dyDescent="0.3">
      <c r="A45" s="280">
        <v>5</v>
      </c>
      <c r="B45" s="410" t="s">
        <v>522</v>
      </c>
      <c r="C45" s="282">
        <v>20000</v>
      </c>
      <c r="D45" s="317">
        <f>(2437.67+1771)/2</f>
        <v>2104.335</v>
      </c>
      <c r="E45" s="282">
        <v>3465</v>
      </c>
      <c r="F45" s="282"/>
      <c r="G45" s="282">
        <f>+E45+F45</f>
        <v>3465</v>
      </c>
      <c r="H45" s="289">
        <f>10-10+10-10</f>
        <v>0</v>
      </c>
      <c r="I45" s="322">
        <f>+G45-H45</f>
        <v>3465</v>
      </c>
      <c r="J45" s="322">
        <f>I45*C45</f>
        <v>69300000</v>
      </c>
      <c r="K45" s="323">
        <f>+D45*I45</f>
        <v>7291520.7750000004</v>
      </c>
    </row>
    <row r="46" spans="1:15" ht="15.75" thickBot="1" x14ac:dyDescent="0.3">
      <c r="A46" s="313"/>
      <c r="B46" s="96" t="s">
        <v>721</v>
      </c>
      <c r="C46" s="296"/>
      <c r="D46" s="97"/>
      <c r="E46" s="97">
        <f t="shared" ref="E46:K46" si="6">SUM(E41:E45)</f>
        <v>50577</v>
      </c>
      <c r="F46" s="97">
        <f t="shared" si="6"/>
        <v>0</v>
      </c>
      <c r="G46" s="97">
        <f t="shared" si="6"/>
        <v>50577</v>
      </c>
      <c r="H46" s="97">
        <f t="shared" si="6"/>
        <v>0</v>
      </c>
      <c r="I46" s="97">
        <f t="shared" si="6"/>
        <v>50577</v>
      </c>
      <c r="J46" s="97">
        <f t="shared" si="6"/>
        <v>1011540000</v>
      </c>
      <c r="K46" s="297">
        <f t="shared" si="6"/>
        <v>106430951.29500002</v>
      </c>
    </row>
    <row r="47" spans="1:15" ht="15.75" thickBot="1" x14ac:dyDescent="0.3">
      <c r="A47" s="298"/>
      <c r="B47" s="138"/>
      <c r="C47" s="139"/>
      <c r="D47" s="140"/>
      <c r="E47" s="141"/>
      <c r="F47" s="138"/>
      <c r="G47" s="141"/>
      <c r="H47" s="141"/>
      <c r="I47" s="141"/>
      <c r="J47" s="141"/>
      <c r="K47" s="140"/>
    </row>
    <row r="48" spans="1:15" ht="15.75" thickBot="1" x14ac:dyDescent="0.3">
      <c r="A48" s="418" t="s">
        <v>653</v>
      </c>
      <c r="B48" s="421" t="s">
        <v>704</v>
      </c>
      <c r="C48" s="421" t="s">
        <v>1</v>
      </c>
      <c r="D48" s="422" t="s">
        <v>645</v>
      </c>
      <c r="E48" s="423" t="s">
        <v>19</v>
      </c>
      <c r="F48" s="423"/>
      <c r="G48" s="423"/>
      <c r="H48" s="423"/>
      <c r="I48" s="423"/>
      <c r="J48" s="416" t="s">
        <v>20</v>
      </c>
      <c r="K48" s="418" t="s">
        <v>598</v>
      </c>
    </row>
    <row r="49" spans="1:37" ht="45.75" thickBot="1" x14ac:dyDescent="0.3">
      <c r="A49" s="420"/>
      <c r="B49" s="421"/>
      <c r="C49" s="421"/>
      <c r="D49" s="422"/>
      <c r="E49" s="272" t="s">
        <v>21</v>
      </c>
      <c r="F49" s="272" t="s">
        <v>596</v>
      </c>
      <c r="G49" s="272" t="s">
        <v>597</v>
      </c>
      <c r="H49" s="272" t="s">
        <v>585</v>
      </c>
      <c r="I49" s="272" t="s">
        <v>597</v>
      </c>
      <c r="J49" s="417"/>
      <c r="K49" s="419"/>
    </row>
    <row r="50" spans="1:37" ht="15.75" thickBot="1" x14ac:dyDescent="0.3">
      <c r="A50" s="419"/>
      <c r="B50" s="273">
        <v>1</v>
      </c>
      <c r="C50" s="273">
        <v>2</v>
      </c>
      <c r="D50" s="273">
        <v>3</v>
      </c>
      <c r="E50" s="274">
        <v>4</v>
      </c>
      <c r="F50" s="274">
        <f>+E50+1</f>
        <v>5</v>
      </c>
      <c r="G50" s="274" t="s">
        <v>648</v>
      </c>
      <c r="H50" s="274">
        <v>7</v>
      </c>
      <c r="I50" s="275" t="s">
        <v>647</v>
      </c>
      <c r="J50" s="287" t="s">
        <v>646</v>
      </c>
      <c r="K50" s="287" t="s">
        <v>649</v>
      </c>
    </row>
    <row r="51" spans="1:37" x14ac:dyDescent="0.25">
      <c r="A51" s="288"/>
      <c r="B51" s="288" t="s">
        <v>524</v>
      </c>
      <c r="C51" s="288"/>
      <c r="D51" s="288"/>
      <c r="E51" s="288"/>
      <c r="F51" s="288"/>
      <c r="G51" s="288"/>
      <c r="H51" s="288"/>
      <c r="I51" s="288"/>
      <c r="J51" s="288"/>
      <c r="K51" s="288"/>
    </row>
    <row r="52" spans="1:37" x14ac:dyDescent="0.25">
      <c r="A52" s="279">
        <v>1</v>
      </c>
      <c r="B52" s="409" t="s">
        <v>525</v>
      </c>
      <c r="C52" s="62">
        <v>20000</v>
      </c>
      <c r="D52" s="316">
        <v>266.38</v>
      </c>
      <c r="E52" s="62">
        <v>4447</v>
      </c>
      <c r="F52" s="62">
        <f>657-657</f>
        <v>0</v>
      </c>
      <c r="G52" s="62">
        <f t="shared" ref="G52:G66" si="7">+E52+F52</f>
        <v>4447</v>
      </c>
      <c r="H52" s="62">
        <f>10-10</f>
        <v>0</v>
      </c>
      <c r="I52" s="251">
        <f t="shared" ref="I52:I61" si="8">+G52-H52</f>
        <v>4447</v>
      </c>
      <c r="J52" s="251">
        <f t="shared" ref="J52:J61" si="9">I52*C52</f>
        <v>88940000</v>
      </c>
      <c r="K52" s="290">
        <f t="shared" ref="K52:K61" si="10">+D52*I52</f>
        <v>1184591.8599999999</v>
      </c>
    </row>
    <row r="53" spans="1:37" x14ac:dyDescent="0.25">
      <c r="A53" s="279">
        <v>2</v>
      </c>
      <c r="B53" s="409" t="s">
        <v>526</v>
      </c>
      <c r="C53" s="62">
        <v>20000</v>
      </c>
      <c r="D53" s="316">
        <v>266.38</v>
      </c>
      <c r="E53" s="62">
        <v>5246</v>
      </c>
      <c r="F53" s="62">
        <f>641-641</f>
        <v>0</v>
      </c>
      <c r="G53" s="62">
        <f t="shared" si="7"/>
        <v>5246</v>
      </c>
      <c r="H53" s="62">
        <f>10-10</f>
        <v>0</v>
      </c>
      <c r="I53" s="251">
        <f t="shared" si="8"/>
        <v>5246</v>
      </c>
      <c r="J53" s="251">
        <f t="shared" si="9"/>
        <v>104920000</v>
      </c>
      <c r="K53" s="290">
        <f t="shared" si="10"/>
        <v>1397429.48</v>
      </c>
    </row>
    <row r="54" spans="1:37" x14ac:dyDescent="0.25">
      <c r="A54" s="279">
        <v>3</v>
      </c>
      <c r="B54" s="409" t="s">
        <v>527</v>
      </c>
      <c r="C54" s="62">
        <v>16000</v>
      </c>
      <c r="D54" s="316">
        <v>266.38</v>
      </c>
      <c r="E54" s="62">
        <v>4233</v>
      </c>
      <c r="F54" s="62">
        <f>1703-1703</f>
        <v>0</v>
      </c>
      <c r="G54" s="62">
        <f t="shared" si="7"/>
        <v>4233</v>
      </c>
      <c r="H54" s="62">
        <f>10-10</f>
        <v>0</v>
      </c>
      <c r="I54" s="251">
        <f t="shared" si="8"/>
        <v>4233</v>
      </c>
      <c r="J54" s="251">
        <f t="shared" si="9"/>
        <v>67728000</v>
      </c>
      <c r="K54" s="290">
        <f t="shared" si="10"/>
        <v>1127586.54</v>
      </c>
    </row>
    <row r="55" spans="1:37" x14ac:dyDescent="0.25">
      <c r="A55" s="279">
        <v>4</v>
      </c>
      <c r="B55" s="61" t="s">
        <v>528</v>
      </c>
      <c r="C55" s="61"/>
      <c r="D55" s="61"/>
      <c r="E55" s="62">
        <v>0</v>
      </c>
      <c r="F55" s="62"/>
      <c r="G55" s="62">
        <f t="shared" si="7"/>
        <v>0</v>
      </c>
      <c r="H55" s="62"/>
      <c r="I55" s="251">
        <f t="shared" si="8"/>
        <v>0</v>
      </c>
      <c r="J55" s="251">
        <f t="shared" si="9"/>
        <v>0</v>
      </c>
      <c r="K55" s="290">
        <f t="shared" si="10"/>
        <v>0</v>
      </c>
    </row>
    <row r="56" spans="1:37" x14ac:dyDescent="0.25">
      <c r="A56" s="279">
        <v>5</v>
      </c>
      <c r="B56" s="409" t="s">
        <v>529</v>
      </c>
      <c r="C56" s="62">
        <v>25000</v>
      </c>
      <c r="D56" s="316">
        <v>266.38</v>
      </c>
      <c r="E56" s="62">
        <v>5234</v>
      </c>
      <c r="F56" s="62">
        <f>445-445</f>
        <v>0</v>
      </c>
      <c r="G56" s="62">
        <f t="shared" si="7"/>
        <v>5234</v>
      </c>
      <c r="H56" s="62">
        <f>10-10</f>
        <v>0</v>
      </c>
      <c r="I56" s="251">
        <f t="shared" si="8"/>
        <v>5234</v>
      </c>
      <c r="J56" s="251">
        <f t="shared" si="9"/>
        <v>130850000</v>
      </c>
      <c r="K56" s="290">
        <f t="shared" si="10"/>
        <v>1394232.92</v>
      </c>
    </row>
    <row r="57" spans="1:37" x14ac:dyDescent="0.25">
      <c r="A57" s="279">
        <v>6</v>
      </c>
      <c r="B57" s="409" t="s">
        <v>530</v>
      </c>
      <c r="C57" s="62">
        <v>25000</v>
      </c>
      <c r="D57" s="316">
        <v>266.38</v>
      </c>
      <c r="E57" s="62">
        <v>4941</v>
      </c>
      <c r="F57" s="62"/>
      <c r="G57" s="62">
        <f t="shared" si="7"/>
        <v>4941</v>
      </c>
      <c r="H57" s="62"/>
      <c r="I57" s="251">
        <f t="shared" si="8"/>
        <v>4941</v>
      </c>
      <c r="J57" s="251">
        <f t="shared" si="9"/>
        <v>123525000</v>
      </c>
      <c r="K57" s="290">
        <f t="shared" si="10"/>
        <v>1316183.58</v>
      </c>
    </row>
    <row r="58" spans="1:37" x14ac:dyDescent="0.25">
      <c r="A58" s="279">
        <v>7</v>
      </c>
      <c r="B58" s="409" t="s">
        <v>557</v>
      </c>
      <c r="C58" s="62">
        <f>+'[6]KEL F'!$AY$5</f>
        <v>28000</v>
      </c>
      <c r="D58" s="61">
        <v>2227.5</v>
      </c>
      <c r="E58" s="62">
        <v>5900</v>
      </c>
      <c r="F58" s="62"/>
      <c r="G58" s="62">
        <f t="shared" si="7"/>
        <v>5900</v>
      </c>
      <c r="H58" s="62">
        <f>200-200+400-400+100-100</f>
        <v>0</v>
      </c>
      <c r="I58" s="251">
        <f t="shared" si="8"/>
        <v>5900</v>
      </c>
      <c r="J58" s="251">
        <f t="shared" si="9"/>
        <v>165200000</v>
      </c>
      <c r="K58" s="290">
        <f t="shared" si="10"/>
        <v>13142250</v>
      </c>
      <c r="L58" s="232">
        <v>5900</v>
      </c>
      <c r="M58" s="191"/>
      <c r="Q58" s="40">
        <v>100</v>
      </c>
    </row>
    <row r="59" spans="1:37" x14ac:dyDescent="0.25">
      <c r="A59" s="279">
        <v>8</v>
      </c>
      <c r="B59" s="409" t="s">
        <v>558</v>
      </c>
      <c r="C59" s="62">
        <f>+'[6]KEL F'!$AZ$5</f>
        <v>28000</v>
      </c>
      <c r="D59" s="61">
        <v>2227.5</v>
      </c>
      <c r="E59" s="62">
        <v>0</v>
      </c>
      <c r="F59" s="62"/>
      <c r="G59" s="62">
        <f t="shared" si="7"/>
        <v>0</v>
      </c>
      <c r="H59" s="62"/>
      <c r="I59" s="251">
        <f t="shared" si="8"/>
        <v>0</v>
      </c>
      <c r="J59" s="251">
        <f t="shared" si="9"/>
        <v>0</v>
      </c>
      <c r="K59" s="290">
        <f t="shared" si="10"/>
        <v>0</v>
      </c>
      <c r="L59" s="191"/>
      <c r="M59" s="234"/>
      <c r="Q59" s="156"/>
      <c r="AB59" s="40" t="s">
        <v>826</v>
      </c>
    </row>
    <row r="60" spans="1:37" x14ac:dyDescent="0.25">
      <c r="A60" s="279">
        <v>9</v>
      </c>
      <c r="B60" s="61" t="s">
        <v>557</v>
      </c>
      <c r="C60" s="62">
        <v>32000</v>
      </c>
      <c r="D60" s="61">
        <v>2459.0500000000002</v>
      </c>
      <c r="E60" s="62">
        <v>12700</v>
      </c>
      <c r="F60" s="62">
        <f>15000+25000-40000+2000+10000-12000+18000-18000</f>
        <v>0</v>
      </c>
      <c r="G60" s="62">
        <f t="shared" si="7"/>
        <v>12700</v>
      </c>
      <c r="H60" s="62">
        <f>(800+1200+275+2000-4275+7200+200+1500-8900+200+300+200+1200+500-2400)+(200-200)+(500+500+600-1600)+(200+500-700)+(1000+500-1500)+1000+600+800</f>
        <v>2400</v>
      </c>
      <c r="I60" s="251">
        <f t="shared" si="8"/>
        <v>10300</v>
      </c>
      <c r="J60" s="251">
        <f t="shared" si="9"/>
        <v>329600000</v>
      </c>
      <c r="K60" s="290">
        <f t="shared" si="10"/>
        <v>25328215.000000004</v>
      </c>
      <c r="L60" s="232">
        <f>SUM(N60:X60)</f>
        <v>500</v>
      </c>
      <c r="M60" s="235" t="s">
        <v>1153</v>
      </c>
      <c r="N60" s="172" t="s">
        <v>1180</v>
      </c>
      <c r="O60" s="170"/>
      <c r="P60" s="170">
        <v>500</v>
      </c>
      <c r="Q60" s="173"/>
      <c r="R60" s="173"/>
      <c r="S60" s="173"/>
      <c r="T60" s="173"/>
      <c r="U60" s="173"/>
      <c r="W60" s="173"/>
      <c r="X60" s="173"/>
      <c r="Y60" s="173"/>
      <c r="Z60" s="173"/>
      <c r="AB60" s="172">
        <v>1000</v>
      </c>
      <c r="AC60" s="172">
        <v>800</v>
      </c>
      <c r="AD60" s="172">
        <v>500</v>
      </c>
      <c r="AE60" s="173">
        <v>600</v>
      </c>
      <c r="AF60" s="173">
        <v>1500</v>
      </c>
      <c r="AG60" s="173">
        <v>100</v>
      </c>
      <c r="AH60" s="173">
        <v>100</v>
      </c>
      <c r="AI60" s="173">
        <v>1900</v>
      </c>
      <c r="AJ60" s="173">
        <v>100</v>
      </c>
    </row>
    <row r="61" spans="1:37" x14ac:dyDescent="0.25">
      <c r="A61" s="338">
        <v>10</v>
      </c>
      <c r="B61" s="90" t="s">
        <v>558</v>
      </c>
      <c r="C61" s="91">
        <v>32000</v>
      </c>
      <c r="D61" s="90">
        <v>2459.0500000000002</v>
      </c>
      <c r="E61" s="91">
        <v>0</v>
      </c>
      <c r="F61" s="91">
        <f>15000+7000-22000+8000-8000</f>
        <v>0</v>
      </c>
      <c r="G61" s="91">
        <f t="shared" si="7"/>
        <v>0</v>
      </c>
      <c r="H61" s="91">
        <f>300+300+100+1100-1800</f>
        <v>0</v>
      </c>
      <c r="I61" s="292">
        <f t="shared" si="8"/>
        <v>0</v>
      </c>
      <c r="J61" s="292">
        <f t="shared" si="9"/>
        <v>0</v>
      </c>
      <c r="K61" s="293">
        <f t="shared" si="10"/>
        <v>0</v>
      </c>
      <c r="L61" s="232"/>
      <c r="M61" s="235"/>
      <c r="N61" s="172"/>
      <c r="O61" s="172"/>
      <c r="P61" s="173"/>
      <c r="Q61" s="173"/>
      <c r="R61" s="173"/>
      <c r="S61" s="173"/>
      <c r="T61" s="173"/>
      <c r="U61" s="173"/>
      <c r="V61" s="173"/>
      <c r="W61" s="173"/>
      <c r="X61" s="173"/>
      <c r="Y61" s="173"/>
      <c r="Z61" s="173"/>
      <c r="AB61" s="172">
        <v>500</v>
      </c>
      <c r="AC61" s="172">
        <v>400</v>
      </c>
      <c r="AD61" s="172">
        <v>400</v>
      </c>
      <c r="AE61" s="173">
        <v>1000</v>
      </c>
      <c r="AF61" s="173">
        <v>1700</v>
      </c>
      <c r="AG61" s="173">
        <v>600</v>
      </c>
      <c r="AH61" s="173">
        <v>100</v>
      </c>
      <c r="AI61" s="173">
        <v>900</v>
      </c>
      <c r="AJ61" s="173">
        <v>100</v>
      </c>
      <c r="AK61" s="173">
        <v>500</v>
      </c>
    </row>
    <row r="62" spans="1:37" x14ac:dyDescent="0.25">
      <c r="A62" s="279">
        <v>11</v>
      </c>
      <c r="B62" s="61" t="s">
        <v>816</v>
      </c>
      <c r="C62" s="91">
        <v>32000</v>
      </c>
      <c r="D62" s="308">
        <v>6215</v>
      </c>
      <c r="E62" s="62">
        <v>4400</v>
      </c>
      <c r="F62" s="62">
        <f>2000-2000+5000+15000-20000+10000-10000</f>
        <v>0</v>
      </c>
      <c r="G62" s="91">
        <f t="shared" si="7"/>
        <v>4400</v>
      </c>
      <c r="H62" s="62">
        <f>(2000+200+1000+4800+200+1400-9600)+(500+100-600)+(2000+1000+2000-5000)+1400+1000</f>
        <v>2400</v>
      </c>
      <c r="I62" s="292">
        <f>+G62-H62</f>
        <v>2000</v>
      </c>
      <c r="J62" s="292">
        <f>I62*C62</f>
        <v>64000000</v>
      </c>
      <c r="K62" s="293">
        <f>+D62*I62</f>
        <v>12430000</v>
      </c>
      <c r="L62" s="232"/>
      <c r="M62" s="191"/>
      <c r="N62" s="172" t="s">
        <v>1181</v>
      </c>
      <c r="O62" s="40" t="s">
        <v>1205</v>
      </c>
      <c r="P62" s="156"/>
      <c r="Q62" s="156"/>
      <c r="R62" s="172"/>
      <c r="S62" s="156"/>
      <c r="T62" s="172"/>
      <c r="U62" s="175"/>
      <c r="V62" s="173"/>
      <c r="AG62" s="172">
        <v>100</v>
      </c>
      <c r="AI62" s="172">
        <v>100</v>
      </c>
      <c r="AJ62" s="175">
        <v>900</v>
      </c>
      <c r="AK62" s="173">
        <v>1000</v>
      </c>
    </row>
    <row r="63" spans="1:37" x14ac:dyDescent="0.25">
      <c r="A63" s="279">
        <v>12</v>
      </c>
      <c r="B63" s="61" t="s">
        <v>972</v>
      </c>
      <c r="C63" s="62">
        <v>20000</v>
      </c>
      <c r="D63" s="308">
        <v>3560</v>
      </c>
      <c r="E63" s="62">
        <v>23500</v>
      </c>
      <c r="F63" s="62">
        <f>10000-10000+30000-30000</f>
        <v>0</v>
      </c>
      <c r="G63" s="91">
        <f t="shared" si="7"/>
        <v>23500</v>
      </c>
      <c r="H63" s="62">
        <f>(100+5000-5100+1000+100-1100+3000+2000+200-5200)+(200+700-900)+(2000+700-2700)+(500+500-1000)+(500-500)+600</f>
        <v>600</v>
      </c>
      <c r="I63" s="292">
        <f>+G63-H63</f>
        <v>22900</v>
      </c>
      <c r="J63" s="292">
        <f>I63*C63</f>
        <v>458000000</v>
      </c>
      <c r="K63" s="293">
        <f>+D63*I63</f>
        <v>81524000</v>
      </c>
      <c r="L63" s="232">
        <f>SUM(N63:X63)</f>
        <v>0</v>
      </c>
      <c r="M63" s="191"/>
      <c r="N63" s="267" t="s">
        <v>1183</v>
      </c>
    </row>
    <row r="64" spans="1:37" x14ac:dyDescent="0.25">
      <c r="A64" s="279">
        <v>13</v>
      </c>
      <c r="B64" s="61" t="s">
        <v>973</v>
      </c>
      <c r="C64" s="62">
        <v>30000</v>
      </c>
      <c r="D64" s="308">
        <v>3560</v>
      </c>
      <c r="E64" s="62">
        <v>17950</v>
      </c>
      <c r="F64" s="62">
        <f>(10000-10000+30000-30000)+520-520</f>
        <v>0</v>
      </c>
      <c r="G64" s="91">
        <f t="shared" si="7"/>
        <v>17950</v>
      </c>
      <c r="H64" s="62">
        <f>(200+5000-5200+1000+100-1100+100-100+8000+2000+300+900+100-11300)+((100+200+700-1000)+700+520-1220)+(1000+500+50+100+500-2150)+(500-500)+600+1000+200</f>
        <v>1800</v>
      </c>
      <c r="I64" s="292">
        <f>+G64-H64</f>
        <v>16150</v>
      </c>
      <c r="J64" s="292">
        <f>I64*C64</f>
        <v>484500000</v>
      </c>
      <c r="K64" s="293">
        <f>+D64*I64</f>
        <v>57494000</v>
      </c>
      <c r="L64" s="232">
        <f>SUM(N64:X64)</f>
        <v>0</v>
      </c>
      <c r="M64" s="234" t="s">
        <v>1153</v>
      </c>
      <c r="N64" s="267" t="s">
        <v>1188</v>
      </c>
      <c r="O64" s="40" t="s">
        <v>1206</v>
      </c>
    </row>
    <row r="65" spans="1:14" x14ac:dyDescent="0.25">
      <c r="A65" s="279">
        <v>14</v>
      </c>
      <c r="B65" s="61" t="s">
        <v>1176</v>
      </c>
      <c r="C65" s="62">
        <v>30000</v>
      </c>
      <c r="D65" s="61"/>
      <c r="E65" s="62">
        <v>0</v>
      </c>
      <c r="F65" s="62">
        <f>5000-5000</f>
        <v>0</v>
      </c>
      <c r="G65" s="91">
        <f t="shared" si="7"/>
        <v>0</v>
      </c>
      <c r="H65" s="62">
        <f>5000-5000</f>
        <v>0</v>
      </c>
      <c r="I65" s="292">
        <f>+G65-H65</f>
        <v>0</v>
      </c>
      <c r="J65" s="292">
        <f>I65*C65</f>
        <v>0</v>
      </c>
      <c r="K65" s="293">
        <f>+D65*I65</f>
        <v>0</v>
      </c>
    </row>
    <row r="66" spans="1:14" x14ac:dyDescent="0.25">
      <c r="A66" s="279">
        <v>15</v>
      </c>
      <c r="B66" s="61" t="s">
        <v>1202</v>
      </c>
      <c r="C66" s="62">
        <v>32000</v>
      </c>
      <c r="D66" s="61"/>
      <c r="E66" s="62">
        <v>0</v>
      </c>
      <c r="F66" s="62">
        <f>2000-2000</f>
        <v>0</v>
      </c>
      <c r="G66" s="91">
        <f t="shared" si="7"/>
        <v>0</v>
      </c>
      <c r="H66" s="62">
        <f>2000-2000</f>
        <v>0</v>
      </c>
      <c r="I66" s="292">
        <f>+G66-H66</f>
        <v>0</v>
      </c>
      <c r="J66" s="292">
        <f>I66*C66</f>
        <v>0</v>
      </c>
      <c r="K66" s="293">
        <f>+D66*I66</f>
        <v>0</v>
      </c>
    </row>
    <row r="67" spans="1:14" ht="15.75" thickBot="1" x14ac:dyDescent="0.3">
      <c r="A67" s="280"/>
      <c r="B67" s="281"/>
      <c r="C67" s="282"/>
      <c r="D67" s="281"/>
      <c r="E67" s="282"/>
      <c r="F67" s="282"/>
      <c r="G67" s="282"/>
      <c r="H67" s="282"/>
      <c r="I67" s="322"/>
      <c r="J67" s="322"/>
      <c r="K67" s="323"/>
    </row>
    <row r="68" spans="1:14" ht="15.75" thickBot="1" x14ac:dyDescent="0.3">
      <c r="A68" s="313"/>
      <c r="B68" s="96" t="s">
        <v>722</v>
      </c>
      <c r="C68" s="296"/>
      <c r="D68" s="296"/>
      <c r="E68" s="97">
        <f t="shared" ref="E68:K68" si="11">SUM(E52:E67)</f>
        <v>88551</v>
      </c>
      <c r="F68" s="97">
        <f t="shared" si="11"/>
        <v>0</v>
      </c>
      <c r="G68" s="97">
        <f t="shared" si="11"/>
        <v>88551</v>
      </c>
      <c r="H68" s="97">
        <f t="shared" si="11"/>
        <v>7200</v>
      </c>
      <c r="I68" s="97">
        <f t="shared" si="11"/>
        <v>81351</v>
      </c>
      <c r="J68" s="97">
        <f t="shared" si="11"/>
        <v>2017263000</v>
      </c>
      <c r="K68" s="297">
        <f t="shared" si="11"/>
        <v>196338489.38</v>
      </c>
    </row>
    <row r="69" spans="1:14" x14ac:dyDescent="0.25">
      <c r="A69" s="298"/>
      <c r="B69" s="298"/>
      <c r="C69" s="298"/>
      <c r="D69" s="298"/>
      <c r="E69" s="298"/>
      <c r="F69" s="298"/>
      <c r="G69" s="298"/>
      <c r="H69" s="298"/>
      <c r="I69" s="298"/>
      <c r="J69" s="298"/>
      <c r="K69" s="298"/>
    </row>
    <row r="70" spans="1:14" ht="15.75" thickBot="1" x14ac:dyDescent="0.3">
      <c r="A70" s="312" t="s">
        <v>718</v>
      </c>
      <c r="B70" s="298"/>
      <c r="C70" s="298"/>
      <c r="D70" s="298"/>
      <c r="E70" s="298"/>
      <c r="F70" s="298"/>
      <c r="G70" s="298"/>
      <c r="H70" s="298"/>
      <c r="I70" s="298"/>
      <c r="J70" s="298"/>
      <c r="K70" s="298"/>
    </row>
    <row r="71" spans="1:14" ht="15.75" thickBot="1" x14ac:dyDescent="0.3">
      <c r="A71" s="313"/>
      <c r="B71" s="96" t="s">
        <v>723</v>
      </c>
      <c r="C71" s="296"/>
      <c r="D71" s="296"/>
      <c r="E71" s="349">
        <f>+E11+E35+E46+E68</f>
        <v>189729</v>
      </c>
      <c r="F71" s="349">
        <f t="shared" ref="F71:K71" si="12">+F11+F35+F46+F68</f>
        <v>0</v>
      </c>
      <c r="G71" s="349">
        <f t="shared" si="12"/>
        <v>189729</v>
      </c>
      <c r="H71" s="349">
        <f t="shared" si="12"/>
        <v>7200</v>
      </c>
      <c r="I71" s="349">
        <f t="shared" si="12"/>
        <v>182529</v>
      </c>
      <c r="J71" s="349">
        <f t="shared" si="12"/>
        <v>4289786000</v>
      </c>
      <c r="K71" s="411">
        <f t="shared" si="12"/>
        <v>381075584.33500004</v>
      </c>
      <c r="L71" s="40">
        <v>189729</v>
      </c>
      <c r="M71" s="40">
        <v>4509386000</v>
      </c>
      <c r="N71" s="40">
        <v>410437304.33500004</v>
      </c>
    </row>
    <row r="72" spans="1:14" x14ac:dyDescent="0.25">
      <c r="L72" s="145">
        <f>+L71-I71</f>
        <v>7200</v>
      </c>
      <c r="M72" s="145">
        <f>+M71-J71</f>
        <v>219600000</v>
      </c>
      <c r="N72" s="145">
        <f>+N71-K71</f>
        <v>29361720</v>
      </c>
    </row>
    <row r="75" spans="1:14" x14ac:dyDescent="0.25">
      <c r="H75" t="s">
        <v>1044</v>
      </c>
      <c r="I75" s="40">
        <v>12000</v>
      </c>
      <c r="J75" s="40">
        <v>11000</v>
      </c>
      <c r="K75" s="40">
        <v>5600</v>
      </c>
      <c r="L75" s="40">
        <f>+I75+J75+K75</f>
        <v>28600</v>
      </c>
    </row>
    <row r="76" spans="1:14" x14ac:dyDescent="0.25">
      <c r="H76" t="s">
        <v>1045</v>
      </c>
      <c r="I76" s="40">
        <v>12000</v>
      </c>
      <c r="K76" s="40">
        <v>10200</v>
      </c>
      <c r="L76" s="40">
        <f>+I76+J76+K76</f>
        <v>22200</v>
      </c>
    </row>
    <row r="78" spans="1:14" x14ac:dyDescent="0.25">
      <c r="E78" s="19"/>
      <c r="F78" s="19"/>
      <c r="G78" s="19"/>
      <c r="H78" s="19"/>
      <c r="I78" s="19"/>
      <c r="J78" s="19"/>
      <c r="K78" s="26"/>
    </row>
    <row r="80" spans="1:14" x14ac:dyDescent="0.25">
      <c r="E80" s="145"/>
      <c r="F80" s="145"/>
      <c r="G80" s="145"/>
      <c r="H80" s="145"/>
      <c r="I80" s="145"/>
      <c r="J80" s="145"/>
      <c r="K80" s="145"/>
    </row>
  </sheetData>
  <mergeCells count="28">
    <mergeCell ref="K3:K4"/>
    <mergeCell ref="A13:A15"/>
    <mergeCell ref="B13:B14"/>
    <mergeCell ref="C13:C14"/>
    <mergeCell ref="D13:D14"/>
    <mergeCell ref="J13:J14"/>
    <mergeCell ref="K13:K14"/>
    <mergeCell ref="A3:A5"/>
    <mergeCell ref="B3:B4"/>
    <mergeCell ref="C3:C4"/>
    <mergeCell ref="D3:D4"/>
    <mergeCell ref="J3:J4"/>
    <mergeCell ref="E3:I3"/>
    <mergeCell ref="E13:I13"/>
    <mergeCell ref="K37:K38"/>
    <mergeCell ref="A48:A50"/>
    <mergeCell ref="B48:B49"/>
    <mergeCell ref="C48:C49"/>
    <mergeCell ref="D48:D49"/>
    <mergeCell ref="J48:J49"/>
    <mergeCell ref="K48:K49"/>
    <mergeCell ref="A37:A39"/>
    <mergeCell ref="B37:B38"/>
    <mergeCell ref="C37:C38"/>
    <mergeCell ref="D37:D38"/>
    <mergeCell ref="J37:J38"/>
    <mergeCell ref="E37:I37"/>
    <mergeCell ref="E48:I48"/>
  </mergeCells>
  <pageMargins left="0" right="0" top="0.19685039370078741" bottom="0.19685039370078741" header="0.19685039370078741" footer="0.19685039370078741"/>
  <pageSetup paperSize="9" scale="89" orientation="landscape" horizontalDpi="120" verticalDpi="72"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79"/>
  <sheetViews>
    <sheetView topLeftCell="C46" zoomScale="80" zoomScaleNormal="80" workbookViewId="0">
      <selection activeCell="A2" sqref="A2:K72"/>
    </sheetView>
  </sheetViews>
  <sheetFormatPr defaultColWidth="9.140625" defaultRowHeight="15" x14ac:dyDescent="0.25"/>
  <cols>
    <col min="1" max="1" width="4.7109375" style="40" customWidth="1"/>
    <col min="2" max="2" width="35.7109375" style="40" customWidth="1"/>
    <col min="3" max="3" width="17" style="40" customWidth="1"/>
    <col min="4" max="4" width="15.85546875" style="40" customWidth="1"/>
    <col min="5" max="5" width="12.42578125" style="40" customWidth="1"/>
    <col min="6" max="6" width="17.7109375" style="40" customWidth="1"/>
    <col min="7" max="7" width="10.140625" style="40" customWidth="1"/>
    <col min="8" max="8" width="14.140625" style="40" customWidth="1"/>
    <col min="9" max="9" width="12.7109375" style="40" customWidth="1"/>
    <col min="10" max="10" width="14" style="40" customWidth="1"/>
    <col min="11" max="11" width="16.85546875" style="40" customWidth="1"/>
    <col min="12" max="12" width="9.140625" style="40"/>
    <col min="13" max="13" width="10.7109375" style="40" customWidth="1"/>
    <col min="14" max="14" width="15" style="40" bestFit="1" customWidth="1"/>
    <col min="15" max="16384" width="9.140625" style="40"/>
  </cols>
  <sheetData>
    <row r="2" spans="1:11" ht="15.75" thickBot="1" x14ac:dyDescent="0.3">
      <c r="A2" s="312" t="s">
        <v>724</v>
      </c>
      <c r="B2" s="298"/>
      <c r="C2" s="298"/>
      <c r="D2" s="298"/>
      <c r="E2" s="298"/>
      <c r="F2" s="363" t="str">
        <f>A.Prangko!G2</f>
        <v>desember 2017</v>
      </c>
      <c r="G2" s="298"/>
      <c r="H2" s="298"/>
      <c r="I2" s="298"/>
      <c r="J2" s="298"/>
      <c r="K2" s="298"/>
    </row>
    <row r="3" spans="1:11" ht="15.75" thickBot="1" x14ac:dyDescent="0.3">
      <c r="A3" s="418" t="s">
        <v>653</v>
      </c>
      <c r="B3" s="421" t="s">
        <v>704</v>
      </c>
      <c r="C3" s="421" t="s">
        <v>1</v>
      </c>
      <c r="D3" s="422" t="s">
        <v>645</v>
      </c>
      <c r="E3" s="423" t="s">
        <v>19</v>
      </c>
      <c r="F3" s="423"/>
      <c r="G3" s="423"/>
      <c r="H3" s="423"/>
      <c r="I3" s="423"/>
      <c r="J3" s="416" t="s">
        <v>20</v>
      </c>
      <c r="K3" s="418" t="s">
        <v>598</v>
      </c>
    </row>
    <row r="4" spans="1:11" ht="30.75" thickBot="1" x14ac:dyDescent="0.3">
      <c r="A4" s="420"/>
      <c r="B4" s="421"/>
      <c r="C4" s="421"/>
      <c r="D4" s="422"/>
      <c r="E4" s="272" t="s">
        <v>21</v>
      </c>
      <c r="F4" s="272" t="s">
        <v>596</v>
      </c>
      <c r="G4" s="272" t="s">
        <v>597</v>
      </c>
      <c r="H4" s="272" t="s">
        <v>585</v>
      </c>
      <c r="I4" s="272" t="s">
        <v>597</v>
      </c>
      <c r="J4" s="417"/>
      <c r="K4" s="419"/>
    </row>
    <row r="5" spans="1:11" ht="15.75" thickBot="1" x14ac:dyDescent="0.3">
      <c r="A5" s="419"/>
      <c r="B5" s="273">
        <v>1</v>
      </c>
      <c r="C5" s="273">
        <v>2</v>
      </c>
      <c r="D5" s="273">
        <v>3</v>
      </c>
      <c r="E5" s="274">
        <v>4</v>
      </c>
      <c r="F5" s="274">
        <f>+E5+1</f>
        <v>5</v>
      </c>
      <c r="G5" s="274" t="s">
        <v>648</v>
      </c>
      <c r="H5" s="274">
        <v>7</v>
      </c>
      <c r="I5" s="275" t="s">
        <v>647</v>
      </c>
      <c r="J5" s="287" t="s">
        <v>646</v>
      </c>
      <c r="K5" s="287" t="s">
        <v>649</v>
      </c>
    </row>
    <row r="6" spans="1:11" x14ac:dyDescent="0.25">
      <c r="A6" s="288"/>
      <c r="B6" s="276" t="s">
        <v>708</v>
      </c>
      <c r="C6" s="288"/>
      <c r="D6" s="288"/>
      <c r="E6" s="288"/>
      <c r="F6" s="288"/>
      <c r="G6" s="288"/>
      <c r="H6" s="288"/>
      <c r="I6" s="288"/>
      <c r="J6" s="288"/>
      <c r="K6" s="288"/>
    </row>
    <row r="7" spans="1:11" x14ac:dyDescent="0.25">
      <c r="A7" s="279">
        <v>1</v>
      </c>
      <c r="B7" s="401" t="s">
        <v>531</v>
      </c>
      <c r="C7" s="291">
        <v>100000</v>
      </c>
      <c r="D7" s="326">
        <v>13655.05</v>
      </c>
      <c r="E7" s="62">
        <v>0</v>
      </c>
      <c r="F7" s="61"/>
      <c r="G7" s="62">
        <f t="shared" ref="G7:G22" si="0">+E7+F7</f>
        <v>0</v>
      </c>
      <c r="H7" s="61"/>
      <c r="I7" s="251">
        <f t="shared" ref="I7:I22" si="1">+G7-H7</f>
        <v>0</v>
      </c>
      <c r="J7" s="251">
        <f t="shared" ref="J7:J22" si="2">I7*C7</f>
        <v>0</v>
      </c>
      <c r="K7" s="290">
        <f t="shared" ref="K7:K22" si="3">+D7*I7</f>
        <v>0</v>
      </c>
    </row>
    <row r="8" spans="1:11" x14ac:dyDescent="0.25">
      <c r="A8" s="279">
        <v>2</v>
      </c>
      <c r="B8" s="401" t="s">
        <v>532</v>
      </c>
      <c r="C8" s="291">
        <v>121500</v>
      </c>
      <c r="D8" s="326">
        <v>13312.42</v>
      </c>
      <c r="E8" s="62">
        <v>100</v>
      </c>
      <c r="F8" s="61"/>
      <c r="G8" s="62">
        <f t="shared" si="0"/>
        <v>100</v>
      </c>
      <c r="H8" s="61"/>
      <c r="I8" s="251">
        <f t="shared" si="1"/>
        <v>100</v>
      </c>
      <c r="J8" s="251">
        <f t="shared" si="2"/>
        <v>12150000</v>
      </c>
      <c r="K8" s="290">
        <f t="shared" si="3"/>
        <v>1331242</v>
      </c>
    </row>
    <row r="9" spans="1:11" x14ac:dyDescent="0.25">
      <c r="A9" s="279">
        <v>3</v>
      </c>
      <c r="B9" s="61" t="s">
        <v>533</v>
      </c>
      <c r="C9" s="62">
        <v>26000</v>
      </c>
      <c r="D9" s="61">
        <v>7823.48</v>
      </c>
      <c r="E9" s="62">
        <v>125</v>
      </c>
      <c r="F9" s="61"/>
      <c r="G9" s="62">
        <f t="shared" si="0"/>
        <v>125</v>
      </c>
      <c r="H9" s="61"/>
      <c r="I9" s="251">
        <f t="shared" si="1"/>
        <v>125</v>
      </c>
      <c r="J9" s="251">
        <f t="shared" si="2"/>
        <v>3250000</v>
      </c>
      <c r="K9" s="290">
        <f t="shared" si="3"/>
        <v>977935</v>
      </c>
    </row>
    <row r="10" spans="1:11" x14ac:dyDescent="0.25">
      <c r="A10" s="279">
        <v>4</v>
      </c>
      <c r="B10" s="61" t="s">
        <v>534</v>
      </c>
      <c r="C10" s="62">
        <v>53500</v>
      </c>
      <c r="D10" s="61">
        <v>8573.42</v>
      </c>
      <c r="E10" s="62">
        <v>100</v>
      </c>
      <c r="F10" s="61"/>
      <c r="G10" s="62">
        <f t="shared" si="0"/>
        <v>100</v>
      </c>
      <c r="H10" s="61"/>
      <c r="I10" s="251">
        <f t="shared" si="1"/>
        <v>100</v>
      </c>
      <c r="J10" s="251">
        <f t="shared" si="2"/>
        <v>5350000</v>
      </c>
      <c r="K10" s="290">
        <f t="shared" si="3"/>
        <v>857342</v>
      </c>
    </row>
    <row r="11" spans="1:11" x14ac:dyDescent="0.25">
      <c r="A11" s="279">
        <v>5</v>
      </c>
      <c r="B11" s="61" t="s">
        <v>535</v>
      </c>
      <c r="C11" s="62">
        <v>30000</v>
      </c>
      <c r="D11" s="61">
        <v>7725.32</v>
      </c>
      <c r="E11" s="62">
        <v>100</v>
      </c>
      <c r="F11" s="61"/>
      <c r="G11" s="62">
        <f t="shared" si="0"/>
        <v>100</v>
      </c>
      <c r="H11" s="61"/>
      <c r="I11" s="251">
        <f t="shared" si="1"/>
        <v>100</v>
      </c>
      <c r="J11" s="251">
        <f t="shared" si="2"/>
        <v>3000000</v>
      </c>
      <c r="K11" s="290">
        <f t="shared" si="3"/>
        <v>772532</v>
      </c>
    </row>
    <row r="12" spans="1:11" x14ac:dyDescent="0.25">
      <c r="A12" s="279">
        <v>6</v>
      </c>
      <c r="B12" s="61" t="s">
        <v>559</v>
      </c>
      <c r="C12" s="62">
        <v>68000</v>
      </c>
      <c r="D12" s="61">
        <v>8917.64</v>
      </c>
      <c r="E12" s="62">
        <v>100</v>
      </c>
      <c r="F12" s="61"/>
      <c r="G12" s="62">
        <f t="shared" si="0"/>
        <v>100</v>
      </c>
      <c r="H12" s="61"/>
      <c r="I12" s="251">
        <f t="shared" si="1"/>
        <v>100</v>
      </c>
      <c r="J12" s="251">
        <f t="shared" si="2"/>
        <v>6800000</v>
      </c>
      <c r="K12" s="290">
        <f t="shared" si="3"/>
        <v>891764</v>
      </c>
    </row>
    <row r="13" spans="1:11" x14ac:dyDescent="0.25">
      <c r="A13" s="279">
        <v>7</v>
      </c>
      <c r="B13" s="61" t="s">
        <v>560</v>
      </c>
      <c r="C13" s="62">
        <v>58000</v>
      </c>
      <c r="D13" s="61">
        <v>10857.7</v>
      </c>
      <c r="E13" s="62">
        <v>50</v>
      </c>
      <c r="F13" s="61"/>
      <c r="G13" s="62">
        <f t="shared" si="0"/>
        <v>50</v>
      </c>
      <c r="H13" s="61"/>
      <c r="I13" s="251">
        <f t="shared" si="1"/>
        <v>50</v>
      </c>
      <c r="J13" s="251">
        <f t="shared" si="2"/>
        <v>2900000</v>
      </c>
      <c r="K13" s="290">
        <f t="shared" si="3"/>
        <v>542885</v>
      </c>
    </row>
    <row r="14" spans="1:11" x14ac:dyDescent="0.25">
      <c r="A14" s="279">
        <v>8</v>
      </c>
      <c r="B14" s="61" t="s">
        <v>561</v>
      </c>
      <c r="C14" s="62">
        <v>20000</v>
      </c>
      <c r="D14" s="61">
        <v>7464.84</v>
      </c>
      <c r="E14" s="62">
        <v>100</v>
      </c>
      <c r="F14" s="61"/>
      <c r="G14" s="62">
        <f t="shared" si="0"/>
        <v>100</v>
      </c>
      <c r="H14" s="61"/>
      <c r="I14" s="251">
        <f t="shared" si="1"/>
        <v>100</v>
      </c>
      <c r="J14" s="251">
        <f t="shared" si="2"/>
        <v>2000000</v>
      </c>
      <c r="K14" s="290">
        <f t="shared" si="3"/>
        <v>746484</v>
      </c>
    </row>
    <row r="15" spans="1:11" x14ac:dyDescent="0.25">
      <c r="A15" s="279">
        <v>9</v>
      </c>
      <c r="B15" s="61" t="s">
        <v>562</v>
      </c>
      <c r="C15" s="62">
        <v>32000</v>
      </c>
      <c r="D15" s="61">
        <v>8231.24</v>
      </c>
      <c r="E15" s="62">
        <v>125</v>
      </c>
      <c r="F15" s="61"/>
      <c r="G15" s="62">
        <f t="shared" si="0"/>
        <v>125</v>
      </c>
      <c r="H15" s="61"/>
      <c r="I15" s="251">
        <f t="shared" si="1"/>
        <v>125</v>
      </c>
      <c r="J15" s="251">
        <f t="shared" si="2"/>
        <v>4000000</v>
      </c>
      <c r="K15" s="290">
        <f t="shared" si="3"/>
        <v>1028905</v>
      </c>
    </row>
    <row r="16" spans="1:11" x14ac:dyDescent="0.25">
      <c r="A16" s="279">
        <v>10</v>
      </c>
      <c r="B16" s="61" t="s">
        <v>563</v>
      </c>
      <c r="C16" s="62">
        <v>68000</v>
      </c>
      <c r="D16" s="61">
        <v>7604.44</v>
      </c>
      <c r="E16" s="62">
        <v>125</v>
      </c>
      <c r="F16" s="61"/>
      <c r="G16" s="62">
        <f t="shared" si="0"/>
        <v>125</v>
      </c>
      <c r="H16" s="61"/>
      <c r="I16" s="251">
        <f t="shared" si="1"/>
        <v>125</v>
      </c>
      <c r="J16" s="251">
        <f t="shared" si="2"/>
        <v>8500000</v>
      </c>
      <c r="K16" s="290">
        <f t="shared" si="3"/>
        <v>950555</v>
      </c>
    </row>
    <row r="17" spans="1:14" x14ac:dyDescent="0.25">
      <c r="A17" s="279">
        <v>11</v>
      </c>
      <c r="B17" s="61" t="s">
        <v>578</v>
      </c>
      <c r="C17" s="62">
        <v>25000</v>
      </c>
      <c r="D17" s="61">
        <v>9714</v>
      </c>
      <c r="E17" s="251">
        <v>100</v>
      </c>
      <c r="F17" s="61"/>
      <c r="G17" s="62">
        <f t="shared" si="0"/>
        <v>100</v>
      </c>
      <c r="H17" s="61"/>
      <c r="I17" s="251">
        <f t="shared" si="1"/>
        <v>100</v>
      </c>
      <c r="J17" s="251">
        <f t="shared" si="2"/>
        <v>2500000</v>
      </c>
      <c r="K17" s="290">
        <f t="shared" si="3"/>
        <v>971400</v>
      </c>
    </row>
    <row r="18" spans="1:14" x14ac:dyDescent="0.25">
      <c r="A18" s="279">
        <v>12</v>
      </c>
      <c r="B18" s="61" t="s">
        <v>579</v>
      </c>
      <c r="C18" s="62">
        <v>20000</v>
      </c>
      <c r="D18" s="61">
        <v>7434</v>
      </c>
      <c r="E18" s="62">
        <v>125</v>
      </c>
      <c r="F18" s="61"/>
      <c r="G18" s="62">
        <f t="shared" si="0"/>
        <v>125</v>
      </c>
      <c r="H18" s="61"/>
      <c r="I18" s="251">
        <f t="shared" si="1"/>
        <v>125</v>
      </c>
      <c r="J18" s="251">
        <f t="shared" si="2"/>
        <v>2500000</v>
      </c>
      <c r="K18" s="290">
        <f t="shared" si="3"/>
        <v>929250</v>
      </c>
    </row>
    <row r="19" spans="1:14" x14ac:dyDescent="0.25">
      <c r="A19" s="279">
        <v>13</v>
      </c>
      <c r="B19" s="61" t="s">
        <v>580</v>
      </c>
      <c r="C19" s="62">
        <v>28000</v>
      </c>
      <c r="D19" s="61">
        <v>8026.5</v>
      </c>
      <c r="E19" s="62">
        <v>125</v>
      </c>
      <c r="F19" s="61"/>
      <c r="G19" s="62">
        <f t="shared" si="0"/>
        <v>125</v>
      </c>
      <c r="H19" s="61"/>
      <c r="I19" s="251">
        <f t="shared" si="1"/>
        <v>125</v>
      </c>
      <c r="J19" s="251">
        <f t="shared" si="2"/>
        <v>3500000</v>
      </c>
      <c r="K19" s="290">
        <f t="shared" si="3"/>
        <v>1003312.5</v>
      </c>
    </row>
    <row r="20" spans="1:14" x14ac:dyDescent="0.25">
      <c r="A20" s="279">
        <v>14</v>
      </c>
      <c r="B20" s="61" t="s">
        <v>581</v>
      </c>
      <c r="C20" s="62">
        <v>26000</v>
      </c>
      <c r="D20" s="61">
        <v>9134.44</v>
      </c>
      <c r="E20" s="62">
        <v>125</v>
      </c>
      <c r="F20" s="61"/>
      <c r="G20" s="62">
        <f t="shared" si="0"/>
        <v>125</v>
      </c>
      <c r="H20" s="61"/>
      <c r="I20" s="251">
        <f t="shared" si="1"/>
        <v>125</v>
      </c>
      <c r="J20" s="251">
        <f t="shared" si="2"/>
        <v>3250000</v>
      </c>
      <c r="K20" s="290">
        <f t="shared" si="3"/>
        <v>1141805</v>
      </c>
    </row>
    <row r="21" spans="1:14" x14ac:dyDescent="0.25">
      <c r="A21" s="279">
        <v>15</v>
      </c>
      <c r="B21" s="61" t="s">
        <v>582</v>
      </c>
      <c r="C21" s="62">
        <v>28000</v>
      </c>
      <c r="D21" s="61">
        <v>7491.52</v>
      </c>
      <c r="E21" s="62">
        <v>125</v>
      </c>
      <c r="F21" s="61"/>
      <c r="G21" s="62">
        <f t="shared" si="0"/>
        <v>125</v>
      </c>
      <c r="H21" s="61"/>
      <c r="I21" s="251">
        <f t="shared" si="1"/>
        <v>125</v>
      </c>
      <c r="J21" s="251">
        <f t="shared" si="2"/>
        <v>3500000</v>
      </c>
      <c r="K21" s="290">
        <f t="shared" si="3"/>
        <v>936440</v>
      </c>
    </row>
    <row r="22" spans="1:14" ht="15.75" thickBot="1" x14ac:dyDescent="0.3">
      <c r="A22" s="280">
        <v>16</v>
      </c>
      <c r="B22" s="281" t="s">
        <v>583</v>
      </c>
      <c r="C22" s="282">
        <v>27500</v>
      </c>
      <c r="D22" s="281">
        <v>7944.28</v>
      </c>
      <c r="E22" s="282">
        <v>298</v>
      </c>
      <c r="F22" s="281"/>
      <c r="G22" s="282">
        <f t="shared" si="0"/>
        <v>298</v>
      </c>
      <c r="H22" s="281"/>
      <c r="I22" s="322">
        <f t="shared" si="1"/>
        <v>298</v>
      </c>
      <c r="J22" s="322">
        <f t="shared" si="2"/>
        <v>8195000</v>
      </c>
      <c r="K22" s="323">
        <f t="shared" si="3"/>
        <v>2367395.44</v>
      </c>
    </row>
    <row r="23" spans="1:14" ht="15.75" thickBot="1" x14ac:dyDescent="0.3">
      <c r="A23" s="313"/>
      <c r="B23" s="96" t="s">
        <v>715</v>
      </c>
      <c r="C23" s="296"/>
      <c r="D23" s="296"/>
      <c r="E23" s="349">
        <f>SUM(E8:E22)</f>
        <v>1823</v>
      </c>
      <c r="F23" s="96"/>
      <c r="G23" s="349">
        <f>SUM(G8:G22)</f>
        <v>1823</v>
      </c>
      <c r="H23" s="349">
        <f>SUM(H8:H22)</f>
        <v>0</v>
      </c>
      <c r="I23" s="349">
        <f>SUM(I8:I22)</f>
        <v>1823</v>
      </c>
      <c r="J23" s="349">
        <f>SUM(J8:J22)</f>
        <v>71395000</v>
      </c>
      <c r="K23" s="412">
        <f>SUM(K8:K22)</f>
        <v>15449246.939999999</v>
      </c>
    </row>
    <row r="24" spans="1:14" ht="15.75" thickBot="1" x14ac:dyDescent="0.3">
      <c r="A24" s="298"/>
      <c r="B24" s="138"/>
      <c r="C24" s="139"/>
      <c r="D24" s="140"/>
      <c r="E24" s="141"/>
      <c r="F24" s="138"/>
      <c r="G24" s="141"/>
      <c r="H24" s="141"/>
      <c r="I24" s="141"/>
      <c r="J24" s="141"/>
      <c r="K24" s="140"/>
    </row>
    <row r="25" spans="1:14" ht="15.75" thickBot="1" x14ac:dyDescent="0.3">
      <c r="A25" s="418" t="s">
        <v>653</v>
      </c>
      <c r="B25" s="421" t="s">
        <v>704</v>
      </c>
      <c r="C25" s="421" t="s">
        <v>1</v>
      </c>
      <c r="D25" s="422" t="s">
        <v>645</v>
      </c>
      <c r="E25" s="423" t="s">
        <v>19</v>
      </c>
      <c r="F25" s="423"/>
      <c r="G25" s="423"/>
      <c r="H25" s="423"/>
      <c r="I25" s="423"/>
      <c r="J25" s="416" t="s">
        <v>20</v>
      </c>
      <c r="K25" s="418" t="s">
        <v>598</v>
      </c>
    </row>
    <row r="26" spans="1:14" ht="30.75" thickBot="1" x14ac:dyDescent="0.3">
      <c r="A26" s="420"/>
      <c r="B26" s="421"/>
      <c r="C26" s="421"/>
      <c r="D26" s="422"/>
      <c r="E26" s="272" t="s">
        <v>21</v>
      </c>
      <c r="F26" s="272" t="s">
        <v>596</v>
      </c>
      <c r="G26" s="272" t="s">
        <v>597</v>
      </c>
      <c r="H26" s="272" t="s">
        <v>585</v>
      </c>
      <c r="I26" s="272" t="s">
        <v>597</v>
      </c>
      <c r="J26" s="417"/>
      <c r="K26" s="419"/>
    </row>
    <row r="27" spans="1:14" ht="15.75" thickBot="1" x14ac:dyDescent="0.3">
      <c r="A27" s="419"/>
      <c r="B27" s="273">
        <v>1</v>
      </c>
      <c r="C27" s="273">
        <v>2</v>
      </c>
      <c r="D27" s="273">
        <v>3</v>
      </c>
      <c r="E27" s="274">
        <v>4</v>
      </c>
      <c r="F27" s="274">
        <f>+E27+1</f>
        <v>5</v>
      </c>
      <c r="G27" s="274" t="s">
        <v>648</v>
      </c>
      <c r="H27" s="274">
        <v>7</v>
      </c>
      <c r="I27" s="275" t="s">
        <v>647</v>
      </c>
      <c r="J27" s="287" t="s">
        <v>646</v>
      </c>
      <c r="K27" s="287" t="s">
        <v>649</v>
      </c>
    </row>
    <row r="28" spans="1:14" x14ac:dyDescent="0.25">
      <c r="A28" s="288"/>
      <c r="B28" s="276" t="s">
        <v>709</v>
      </c>
      <c r="C28" s="288"/>
      <c r="D28" s="288"/>
      <c r="E28" s="288"/>
      <c r="F28" s="288"/>
      <c r="G28" s="288"/>
      <c r="H28" s="288"/>
      <c r="I28" s="288"/>
      <c r="J28" s="288"/>
      <c r="K28" s="288"/>
    </row>
    <row r="29" spans="1:14" x14ac:dyDescent="0.25">
      <c r="A29" s="279">
        <v>1</v>
      </c>
      <c r="B29" s="61" t="s">
        <v>595</v>
      </c>
      <c r="C29" s="413">
        <v>72000</v>
      </c>
      <c r="D29" s="316">
        <v>22219.98</v>
      </c>
      <c r="E29" s="62">
        <v>150</v>
      </c>
      <c r="F29" s="62"/>
      <c r="G29" s="62">
        <f t="shared" ref="G29:G44" si="4">+E29+F29</f>
        <v>150</v>
      </c>
      <c r="H29" s="62"/>
      <c r="I29" s="251">
        <f t="shared" ref="I29:I44" si="5">+G29-H29</f>
        <v>150</v>
      </c>
      <c r="J29" s="251">
        <f t="shared" ref="J29:J44" si="6">I29*C29</f>
        <v>10800000</v>
      </c>
      <c r="K29" s="290">
        <f t="shared" ref="K29:K44" si="7">+D29*I29</f>
        <v>3332997</v>
      </c>
      <c r="M29" s="36"/>
      <c r="N29" s="142"/>
    </row>
    <row r="30" spans="1:14" x14ac:dyDescent="0.25">
      <c r="A30" s="279">
        <v>2</v>
      </c>
      <c r="B30" s="61" t="s">
        <v>603</v>
      </c>
      <c r="C30" s="413">
        <v>85000</v>
      </c>
      <c r="D30" s="316">
        <v>18383.419999999998</v>
      </c>
      <c r="E30" s="62">
        <v>150</v>
      </c>
      <c r="F30" s="62"/>
      <c r="G30" s="62">
        <f t="shared" si="4"/>
        <v>150</v>
      </c>
      <c r="H30" s="62"/>
      <c r="I30" s="251">
        <f t="shared" si="5"/>
        <v>150</v>
      </c>
      <c r="J30" s="251">
        <f t="shared" si="6"/>
        <v>12750000</v>
      </c>
      <c r="K30" s="290">
        <f t="shared" si="7"/>
        <v>2757512.9999999995</v>
      </c>
      <c r="M30" s="36"/>
      <c r="N30" s="142"/>
    </row>
    <row r="31" spans="1:14" x14ac:dyDescent="0.25">
      <c r="A31" s="279">
        <v>3</v>
      </c>
      <c r="B31" s="61" t="s">
        <v>604</v>
      </c>
      <c r="C31" s="413">
        <v>31000</v>
      </c>
      <c r="D31" s="316">
        <v>9187.64</v>
      </c>
      <c r="E31" s="62">
        <v>150</v>
      </c>
      <c r="F31" s="62"/>
      <c r="G31" s="62">
        <f t="shared" si="4"/>
        <v>150</v>
      </c>
      <c r="H31" s="62"/>
      <c r="I31" s="251">
        <f t="shared" si="5"/>
        <v>150</v>
      </c>
      <c r="J31" s="251">
        <f t="shared" si="6"/>
        <v>4650000</v>
      </c>
      <c r="K31" s="290">
        <f t="shared" si="7"/>
        <v>1378146</v>
      </c>
      <c r="M31" s="36"/>
      <c r="N31" s="142"/>
    </row>
    <row r="32" spans="1:14" x14ac:dyDescent="0.25">
      <c r="A32" s="279">
        <v>4</v>
      </c>
      <c r="B32" s="61" t="s">
        <v>605</v>
      </c>
      <c r="C32" s="413">
        <v>40000</v>
      </c>
      <c r="D32" s="316">
        <v>3786.16</v>
      </c>
      <c r="E32" s="62">
        <v>150</v>
      </c>
      <c r="F32" s="62"/>
      <c r="G32" s="62">
        <f t="shared" si="4"/>
        <v>150</v>
      </c>
      <c r="H32" s="62"/>
      <c r="I32" s="251">
        <f t="shared" si="5"/>
        <v>150</v>
      </c>
      <c r="J32" s="251">
        <f t="shared" si="6"/>
        <v>6000000</v>
      </c>
      <c r="K32" s="290">
        <f t="shared" si="7"/>
        <v>567924</v>
      </c>
      <c r="M32" s="36"/>
      <c r="N32" s="142"/>
    </row>
    <row r="33" spans="1:14" x14ac:dyDescent="0.25">
      <c r="A33" s="279">
        <v>5</v>
      </c>
      <c r="B33" s="61" t="s">
        <v>606</v>
      </c>
      <c r="C33" s="413">
        <v>64000</v>
      </c>
      <c r="D33" s="316">
        <v>8699.2800000000007</v>
      </c>
      <c r="E33" s="62">
        <v>148</v>
      </c>
      <c r="F33" s="62"/>
      <c r="G33" s="62">
        <f t="shared" si="4"/>
        <v>148</v>
      </c>
      <c r="H33" s="62">
        <f>2-2</f>
        <v>0</v>
      </c>
      <c r="I33" s="251">
        <f t="shared" si="5"/>
        <v>148</v>
      </c>
      <c r="J33" s="251">
        <f t="shared" si="6"/>
        <v>9472000</v>
      </c>
      <c r="K33" s="290">
        <f t="shared" si="7"/>
        <v>1287493.4400000002</v>
      </c>
      <c r="M33" s="36"/>
      <c r="N33" s="142"/>
    </row>
    <row r="34" spans="1:14" x14ac:dyDescent="0.25">
      <c r="A34" s="279">
        <v>6</v>
      </c>
      <c r="B34" s="61" t="s">
        <v>607</v>
      </c>
      <c r="C34" s="413">
        <v>19000</v>
      </c>
      <c r="D34" s="316">
        <v>8511.35</v>
      </c>
      <c r="E34" s="62">
        <v>150</v>
      </c>
      <c r="F34" s="62"/>
      <c r="G34" s="62">
        <f t="shared" si="4"/>
        <v>150</v>
      </c>
      <c r="H34" s="62"/>
      <c r="I34" s="251">
        <f t="shared" si="5"/>
        <v>150</v>
      </c>
      <c r="J34" s="251">
        <f t="shared" si="6"/>
        <v>2850000</v>
      </c>
      <c r="K34" s="290">
        <f t="shared" si="7"/>
        <v>1276702.5</v>
      </c>
      <c r="M34" s="36"/>
      <c r="N34" s="142"/>
    </row>
    <row r="35" spans="1:14" x14ac:dyDescent="0.25">
      <c r="A35" s="279">
        <v>7</v>
      </c>
      <c r="B35" s="61" t="s">
        <v>611</v>
      </c>
      <c r="C35" s="413">
        <v>28000</v>
      </c>
      <c r="D35" s="316">
        <v>7480.84</v>
      </c>
      <c r="E35" s="62">
        <v>150</v>
      </c>
      <c r="F35" s="62"/>
      <c r="G35" s="62">
        <f t="shared" si="4"/>
        <v>150</v>
      </c>
      <c r="H35" s="62"/>
      <c r="I35" s="251">
        <f t="shared" si="5"/>
        <v>150</v>
      </c>
      <c r="J35" s="251">
        <f t="shared" si="6"/>
        <v>4200000</v>
      </c>
      <c r="K35" s="290">
        <f t="shared" si="7"/>
        <v>1122126</v>
      </c>
      <c r="M35" s="36"/>
      <c r="N35" s="142"/>
    </row>
    <row r="36" spans="1:14" x14ac:dyDescent="0.25">
      <c r="A36" s="279">
        <v>8</v>
      </c>
      <c r="B36" s="61" t="s">
        <v>621</v>
      </c>
      <c r="C36" s="413">
        <v>22000</v>
      </c>
      <c r="D36" s="316">
        <v>8990</v>
      </c>
      <c r="E36" s="62">
        <v>150</v>
      </c>
      <c r="F36" s="62"/>
      <c r="G36" s="62">
        <f t="shared" si="4"/>
        <v>150</v>
      </c>
      <c r="H36" s="62"/>
      <c r="I36" s="251">
        <f t="shared" si="5"/>
        <v>150</v>
      </c>
      <c r="J36" s="251">
        <f t="shared" si="6"/>
        <v>3300000</v>
      </c>
      <c r="K36" s="290">
        <f t="shared" si="7"/>
        <v>1348500</v>
      </c>
      <c r="M36" s="36"/>
      <c r="N36" s="142"/>
    </row>
    <row r="37" spans="1:14" x14ac:dyDescent="0.25">
      <c r="A37" s="279">
        <v>9</v>
      </c>
      <c r="B37" s="61" t="s">
        <v>622</v>
      </c>
      <c r="C37" s="413">
        <v>18000</v>
      </c>
      <c r="D37" s="316">
        <v>9672.82</v>
      </c>
      <c r="E37" s="62">
        <v>140</v>
      </c>
      <c r="F37" s="62"/>
      <c r="G37" s="62">
        <f t="shared" si="4"/>
        <v>140</v>
      </c>
      <c r="H37" s="62"/>
      <c r="I37" s="251">
        <f t="shared" si="5"/>
        <v>140</v>
      </c>
      <c r="J37" s="251">
        <f t="shared" si="6"/>
        <v>2520000</v>
      </c>
      <c r="K37" s="290">
        <f t="shared" si="7"/>
        <v>1354194.8</v>
      </c>
      <c r="M37" s="36"/>
      <c r="N37" s="142"/>
    </row>
    <row r="38" spans="1:14" x14ac:dyDescent="0.25">
      <c r="A38" s="279">
        <v>10</v>
      </c>
      <c r="B38" s="61" t="s">
        <v>623</v>
      </c>
      <c r="C38" s="413">
        <v>49000</v>
      </c>
      <c r="D38" s="316">
        <v>15174.44</v>
      </c>
      <c r="E38" s="62">
        <v>140</v>
      </c>
      <c r="F38" s="62"/>
      <c r="G38" s="62">
        <f t="shared" si="4"/>
        <v>140</v>
      </c>
      <c r="H38" s="62"/>
      <c r="I38" s="251">
        <f t="shared" si="5"/>
        <v>140</v>
      </c>
      <c r="J38" s="251">
        <f t="shared" si="6"/>
        <v>6860000</v>
      </c>
      <c r="K38" s="290">
        <f t="shared" si="7"/>
        <v>2124421.6</v>
      </c>
      <c r="L38" s="176">
        <f>+I38-140</f>
        <v>0</v>
      </c>
      <c r="M38" s="182" t="s">
        <v>839</v>
      </c>
      <c r="N38" s="142"/>
    </row>
    <row r="39" spans="1:14" x14ac:dyDescent="0.25">
      <c r="A39" s="279">
        <v>11</v>
      </c>
      <c r="B39" s="61" t="s">
        <v>624</v>
      </c>
      <c r="C39" s="413">
        <v>20000</v>
      </c>
      <c r="D39" s="316">
        <v>12321.45</v>
      </c>
      <c r="E39" s="62">
        <v>150</v>
      </c>
      <c r="F39" s="62"/>
      <c r="G39" s="62">
        <f t="shared" si="4"/>
        <v>150</v>
      </c>
      <c r="H39" s="62"/>
      <c r="I39" s="251">
        <f t="shared" si="5"/>
        <v>150</v>
      </c>
      <c r="J39" s="251">
        <f t="shared" si="6"/>
        <v>3000000</v>
      </c>
      <c r="K39" s="290">
        <f t="shared" si="7"/>
        <v>1848217.5</v>
      </c>
      <c r="L39" s="176">
        <f>+I39-150</f>
        <v>0</v>
      </c>
      <c r="M39" s="36"/>
      <c r="N39" s="142"/>
    </row>
    <row r="40" spans="1:14" x14ac:dyDescent="0.25">
      <c r="A40" s="279">
        <v>12</v>
      </c>
      <c r="B40" s="61" t="s">
        <v>626</v>
      </c>
      <c r="C40" s="413">
        <v>20000</v>
      </c>
      <c r="D40" s="316">
        <v>12321.45</v>
      </c>
      <c r="E40" s="62">
        <v>150</v>
      </c>
      <c r="F40" s="62"/>
      <c r="G40" s="62">
        <f t="shared" si="4"/>
        <v>150</v>
      </c>
      <c r="H40" s="62"/>
      <c r="I40" s="251">
        <f t="shared" si="5"/>
        <v>150</v>
      </c>
      <c r="J40" s="251">
        <f t="shared" si="6"/>
        <v>3000000</v>
      </c>
      <c r="K40" s="290">
        <f t="shared" si="7"/>
        <v>1848217.5</v>
      </c>
      <c r="M40" s="182" t="s">
        <v>839</v>
      </c>
      <c r="N40" s="142"/>
    </row>
    <row r="41" spans="1:14" x14ac:dyDescent="0.25">
      <c r="A41" s="279">
        <v>13</v>
      </c>
      <c r="B41" s="61" t="s">
        <v>636</v>
      </c>
      <c r="C41" s="413">
        <v>15000</v>
      </c>
      <c r="D41" s="316">
        <v>7573.4</v>
      </c>
      <c r="E41" s="62">
        <v>120</v>
      </c>
      <c r="F41" s="62"/>
      <c r="G41" s="62">
        <f t="shared" si="4"/>
        <v>120</v>
      </c>
      <c r="H41" s="62"/>
      <c r="I41" s="251">
        <f t="shared" si="5"/>
        <v>120</v>
      </c>
      <c r="J41" s="251">
        <f t="shared" si="6"/>
        <v>1800000</v>
      </c>
      <c r="K41" s="290">
        <f t="shared" si="7"/>
        <v>908808</v>
      </c>
      <c r="L41" s="176">
        <f>+I41-120</f>
        <v>0</v>
      </c>
      <c r="M41" s="182" t="s">
        <v>839</v>
      </c>
      <c r="N41" s="142"/>
    </row>
    <row r="42" spans="1:14" x14ac:dyDescent="0.25">
      <c r="A42" s="279">
        <v>14</v>
      </c>
      <c r="B42" s="61" t="s">
        <v>637</v>
      </c>
      <c r="C42" s="413">
        <v>26000</v>
      </c>
      <c r="D42" s="316">
        <v>8341.74</v>
      </c>
      <c r="E42" s="62">
        <v>150</v>
      </c>
      <c r="F42" s="62"/>
      <c r="G42" s="62">
        <f t="shared" si="4"/>
        <v>150</v>
      </c>
      <c r="H42" s="62"/>
      <c r="I42" s="251">
        <f t="shared" si="5"/>
        <v>150</v>
      </c>
      <c r="J42" s="251">
        <f t="shared" si="6"/>
        <v>3900000</v>
      </c>
      <c r="K42" s="290">
        <f t="shared" si="7"/>
        <v>1251261</v>
      </c>
      <c r="L42" s="176">
        <f>+I42-150</f>
        <v>0</v>
      </c>
      <c r="M42" s="182" t="s">
        <v>839</v>
      </c>
      <c r="N42" s="142"/>
    </row>
    <row r="43" spans="1:14" x14ac:dyDescent="0.25">
      <c r="A43" s="279">
        <v>15</v>
      </c>
      <c r="B43" s="61" t="s">
        <v>578</v>
      </c>
      <c r="C43" s="413">
        <v>25000</v>
      </c>
      <c r="D43" s="316">
        <v>8873.92</v>
      </c>
      <c r="E43" s="62">
        <v>120</v>
      </c>
      <c r="F43" s="62"/>
      <c r="G43" s="62">
        <f t="shared" si="4"/>
        <v>120</v>
      </c>
      <c r="H43" s="62"/>
      <c r="I43" s="251">
        <f t="shared" si="5"/>
        <v>120</v>
      </c>
      <c r="J43" s="251">
        <f t="shared" si="6"/>
        <v>3000000</v>
      </c>
      <c r="K43" s="290">
        <f t="shared" si="7"/>
        <v>1064870.3999999999</v>
      </c>
      <c r="M43" s="182" t="s">
        <v>839</v>
      </c>
      <c r="N43" s="142"/>
    </row>
    <row r="44" spans="1:14" ht="15.75" thickBot="1" x14ac:dyDescent="0.3">
      <c r="A44" s="281"/>
      <c r="B44" s="281"/>
      <c r="C44" s="281"/>
      <c r="D44" s="317"/>
      <c r="E44" s="282"/>
      <c r="F44" s="282"/>
      <c r="G44" s="282">
        <f t="shared" si="4"/>
        <v>0</v>
      </c>
      <c r="H44" s="282"/>
      <c r="I44" s="322">
        <f t="shared" si="5"/>
        <v>0</v>
      </c>
      <c r="J44" s="322">
        <f t="shared" si="6"/>
        <v>0</v>
      </c>
      <c r="K44" s="323">
        <f t="shared" si="7"/>
        <v>0</v>
      </c>
    </row>
    <row r="45" spans="1:14" ht="15.75" thickBot="1" x14ac:dyDescent="0.3">
      <c r="A45" s="313"/>
      <c r="B45" s="296" t="s">
        <v>612</v>
      </c>
      <c r="C45" s="296"/>
      <c r="D45" s="296"/>
      <c r="E45" s="97">
        <f t="shared" ref="E45:K45" si="8">SUM(E29:E44)</f>
        <v>2168</v>
      </c>
      <c r="F45" s="97">
        <f t="shared" si="8"/>
        <v>0</v>
      </c>
      <c r="G45" s="97">
        <f t="shared" si="8"/>
        <v>2168</v>
      </c>
      <c r="H45" s="97">
        <f t="shared" si="8"/>
        <v>0</v>
      </c>
      <c r="I45" s="296">
        <f t="shared" si="8"/>
        <v>2168</v>
      </c>
      <c r="J45" s="97">
        <f t="shared" si="8"/>
        <v>78102000</v>
      </c>
      <c r="K45" s="414">
        <f t="shared" si="8"/>
        <v>23471392.739999998</v>
      </c>
    </row>
    <row r="46" spans="1:14" ht="15.75" thickBot="1" x14ac:dyDescent="0.3">
      <c r="A46" s="298"/>
      <c r="B46" s="298"/>
      <c r="C46" s="298"/>
      <c r="D46" s="298"/>
      <c r="E46" s="298"/>
      <c r="F46" s="298"/>
      <c r="G46" s="298"/>
      <c r="H46" s="298"/>
      <c r="I46" s="298"/>
      <c r="J46" s="298"/>
      <c r="K46" s="298"/>
    </row>
    <row r="47" spans="1:14" ht="15.75" thickBot="1" x14ac:dyDescent="0.3">
      <c r="A47" s="418" t="s">
        <v>653</v>
      </c>
      <c r="B47" s="421" t="s">
        <v>704</v>
      </c>
      <c r="C47" s="421" t="s">
        <v>1</v>
      </c>
      <c r="D47" s="422" t="s">
        <v>645</v>
      </c>
      <c r="E47" s="423" t="s">
        <v>19</v>
      </c>
      <c r="F47" s="423"/>
      <c r="G47" s="423"/>
      <c r="H47" s="423"/>
      <c r="I47" s="423"/>
      <c r="J47" s="416" t="s">
        <v>20</v>
      </c>
      <c r="K47" s="418" t="s">
        <v>598</v>
      </c>
    </row>
    <row r="48" spans="1:14" ht="30.75" thickBot="1" x14ac:dyDescent="0.3">
      <c r="A48" s="420"/>
      <c r="B48" s="421"/>
      <c r="C48" s="421"/>
      <c r="D48" s="422"/>
      <c r="E48" s="272" t="s">
        <v>21</v>
      </c>
      <c r="F48" s="272" t="s">
        <v>596</v>
      </c>
      <c r="G48" s="272" t="s">
        <v>597</v>
      </c>
      <c r="H48" s="272" t="s">
        <v>585</v>
      </c>
      <c r="I48" s="272" t="s">
        <v>597</v>
      </c>
      <c r="J48" s="417"/>
      <c r="K48" s="419"/>
    </row>
    <row r="49" spans="1:16" ht="15.75" thickBot="1" x14ac:dyDescent="0.3">
      <c r="A49" s="419"/>
      <c r="B49" s="273">
        <v>1</v>
      </c>
      <c r="C49" s="273">
        <v>2</v>
      </c>
      <c r="D49" s="273">
        <v>3</v>
      </c>
      <c r="E49" s="274">
        <v>4</v>
      </c>
      <c r="F49" s="274">
        <f>+E49+1</f>
        <v>5</v>
      </c>
      <c r="G49" s="274" t="s">
        <v>648</v>
      </c>
      <c r="H49" s="274">
        <v>7</v>
      </c>
      <c r="I49" s="275" t="s">
        <v>647</v>
      </c>
      <c r="J49" s="287" t="s">
        <v>646</v>
      </c>
      <c r="K49" s="287" t="s">
        <v>649</v>
      </c>
    </row>
    <row r="50" spans="1:16" x14ac:dyDescent="0.25">
      <c r="A50" s="288"/>
      <c r="B50" s="276" t="s">
        <v>732</v>
      </c>
      <c r="C50" s="288"/>
      <c r="D50" s="288"/>
      <c r="E50" s="288"/>
      <c r="F50" s="288"/>
      <c r="G50" s="288"/>
      <c r="H50" s="288"/>
      <c r="I50" s="288"/>
      <c r="J50" s="288"/>
      <c r="K50" s="288"/>
    </row>
    <row r="51" spans="1:16" x14ac:dyDescent="0.25">
      <c r="A51" s="279">
        <v>1</v>
      </c>
      <c r="B51" s="61" t="s">
        <v>782</v>
      </c>
      <c r="C51" s="413">
        <v>42000</v>
      </c>
      <c r="D51" s="316">
        <v>11837.41</v>
      </c>
      <c r="E51" s="62">
        <v>70</v>
      </c>
      <c r="F51" s="62">
        <v>0</v>
      </c>
      <c r="G51" s="62">
        <f t="shared" ref="G51:G66" si="9">+E51+F51</f>
        <v>70</v>
      </c>
      <c r="H51" s="62">
        <v>0</v>
      </c>
      <c r="I51" s="251">
        <f t="shared" ref="I51:I66" si="10">+G51-H51</f>
        <v>70</v>
      </c>
      <c r="J51" s="251">
        <f t="shared" ref="J51:J66" si="11">I51*C51</f>
        <v>2940000</v>
      </c>
      <c r="K51" s="290">
        <f t="shared" ref="K51:K66" si="12">+D51*I51</f>
        <v>828618.7</v>
      </c>
      <c r="L51" s="176">
        <f>+I51-70</f>
        <v>0</v>
      </c>
      <c r="M51" s="182" t="s">
        <v>839</v>
      </c>
      <c r="N51" s="154"/>
      <c r="O51" s="154"/>
      <c r="P51" s="154"/>
    </row>
    <row r="52" spans="1:16" x14ac:dyDescent="0.25">
      <c r="A52" s="279">
        <v>2</v>
      </c>
      <c r="B52" s="61" t="s">
        <v>801</v>
      </c>
      <c r="C52" s="413">
        <v>72000</v>
      </c>
      <c r="D52" s="316">
        <v>31243</v>
      </c>
      <c r="E52" s="62">
        <v>3</v>
      </c>
      <c r="F52" s="62">
        <f>500-500</f>
        <v>0</v>
      </c>
      <c r="G52" s="62">
        <f t="shared" si="9"/>
        <v>3</v>
      </c>
      <c r="H52" s="62">
        <f>150-150+125+150+50-325+20-20+2-2</f>
        <v>0</v>
      </c>
      <c r="I52" s="251">
        <f t="shared" si="10"/>
        <v>3</v>
      </c>
      <c r="J52" s="251">
        <f t="shared" si="11"/>
        <v>216000</v>
      </c>
      <c r="K52" s="290">
        <f t="shared" si="12"/>
        <v>93729</v>
      </c>
      <c r="L52" s="176"/>
      <c r="M52" s="182" t="s">
        <v>839</v>
      </c>
      <c r="N52" s="154"/>
      <c r="O52" s="154"/>
      <c r="P52" s="154"/>
    </row>
    <row r="53" spans="1:16" x14ac:dyDescent="0.25">
      <c r="A53" s="279">
        <v>3</v>
      </c>
      <c r="B53" s="61" t="s">
        <v>802</v>
      </c>
      <c r="C53" s="413">
        <v>41000</v>
      </c>
      <c r="D53" s="316">
        <v>16147.9</v>
      </c>
      <c r="E53" s="62">
        <v>35</v>
      </c>
      <c r="F53" s="62">
        <f>500-500</f>
        <v>0</v>
      </c>
      <c r="G53" s="62">
        <f t="shared" si="9"/>
        <v>35</v>
      </c>
      <c r="H53" s="62">
        <f>30+10-40+22-22</f>
        <v>0</v>
      </c>
      <c r="I53" s="251">
        <f t="shared" si="10"/>
        <v>35</v>
      </c>
      <c r="J53" s="251">
        <f t="shared" si="11"/>
        <v>1435000</v>
      </c>
      <c r="K53" s="290">
        <f t="shared" si="12"/>
        <v>565176.5</v>
      </c>
      <c r="L53" s="176"/>
      <c r="M53" s="182" t="s">
        <v>839</v>
      </c>
      <c r="N53" s="154"/>
      <c r="O53" s="154"/>
      <c r="P53" s="154"/>
    </row>
    <row r="54" spans="1:16" x14ac:dyDescent="0.25">
      <c r="A54" s="279">
        <v>4</v>
      </c>
      <c r="B54" s="61" t="s">
        <v>819</v>
      </c>
      <c r="C54" s="413">
        <v>129000</v>
      </c>
      <c r="D54" s="189">
        <v>59279</v>
      </c>
      <c r="E54" s="62">
        <v>20</v>
      </c>
      <c r="F54" s="62">
        <f>500-500</f>
        <v>0</v>
      </c>
      <c r="G54" s="62">
        <f t="shared" si="9"/>
        <v>20</v>
      </c>
      <c r="H54" s="62">
        <f>480-480</f>
        <v>0</v>
      </c>
      <c r="I54" s="251">
        <f t="shared" si="10"/>
        <v>20</v>
      </c>
      <c r="J54" s="251">
        <f t="shared" si="11"/>
        <v>2580000</v>
      </c>
      <c r="K54" s="290">
        <f t="shared" si="12"/>
        <v>1185580</v>
      </c>
      <c r="L54" s="176">
        <f>+I54-20</f>
        <v>0</v>
      </c>
      <c r="M54" s="182" t="s">
        <v>839</v>
      </c>
      <c r="N54" s="154"/>
      <c r="O54" s="154"/>
      <c r="P54" s="154"/>
    </row>
    <row r="55" spans="1:16" x14ac:dyDescent="0.25">
      <c r="A55" s="279">
        <v>5</v>
      </c>
      <c r="B55" s="61"/>
      <c r="C55" s="413"/>
      <c r="D55" s="316">
        <v>0</v>
      </c>
      <c r="E55" s="62">
        <v>0</v>
      </c>
      <c r="F55" s="62"/>
      <c r="G55" s="62">
        <f t="shared" si="9"/>
        <v>0</v>
      </c>
      <c r="H55" s="62"/>
      <c r="I55" s="251">
        <f t="shared" si="10"/>
        <v>0</v>
      </c>
      <c r="J55" s="251">
        <f t="shared" si="11"/>
        <v>0</v>
      </c>
      <c r="K55" s="290">
        <f t="shared" si="12"/>
        <v>0</v>
      </c>
      <c r="M55" s="160"/>
      <c r="N55" s="154"/>
      <c r="O55" s="154"/>
      <c r="P55" s="154"/>
    </row>
    <row r="56" spans="1:16" x14ac:dyDescent="0.25">
      <c r="A56" s="279">
        <v>6</v>
      </c>
      <c r="B56" s="61"/>
      <c r="C56" s="413"/>
      <c r="D56" s="316">
        <v>0</v>
      </c>
      <c r="E56" s="62">
        <v>0</v>
      </c>
      <c r="F56" s="62"/>
      <c r="G56" s="62">
        <f t="shared" si="9"/>
        <v>0</v>
      </c>
      <c r="H56" s="62"/>
      <c r="I56" s="251">
        <f t="shared" si="10"/>
        <v>0</v>
      </c>
      <c r="J56" s="251">
        <f t="shared" si="11"/>
        <v>0</v>
      </c>
      <c r="K56" s="290">
        <f t="shared" si="12"/>
        <v>0</v>
      </c>
      <c r="M56" s="160"/>
      <c r="N56" s="154"/>
      <c r="O56" s="154"/>
      <c r="P56" s="154"/>
    </row>
    <row r="57" spans="1:16" x14ac:dyDescent="0.25">
      <c r="A57" s="279">
        <v>7</v>
      </c>
      <c r="B57" s="61"/>
      <c r="C57" s="413"/>
      <c r="D57" s="316">
        <v>0</v>
      </c>
      <c r="E57" s="62">
        <v>0</v>
      </c>
      <c r="F57" s="62"/>
      <c r="G57" s="62">
        <f t="shared" si="9"/>
        <v>0</v>
      </c>
      <c r="H57" s="62"/>
      <c r="I57" s="251">
        <f t="shared" si="10"/>
        <v>0</v>
      </c>
      <c r="J57" s="251">
        <f t="shared" si="11"/>
        <v>0</v>
      </c>
      <c r="K57" s="290">
        <f t="shared" si="12"/>
        <v>0</v>
      </c>
      <c r="M57" s="160"/>
      <c r="N57" s="154"/>
      <c r="O57" s="154"/>
      <c r="P57" s="154"/>
    </row>
    <row r="58" spans="1:16" x14ac:dyDescent="0.25">
      <c r="A58" s="279">
        <v>8</v>
      </c>
      <c r="B58" s="61"/>
      <c r="C58" s="413"/>
      <c r="D58" s="316">
        <v>0</v>
      </c>
      <c r="E58" s="62">
        <v>0</v>
      </c>
      <c r="F58" s="62"/>
      <c r="G58" s="62">
        <f t="shared" si="9"/>
        <v>0</v>
      </c>
      <c r="H58" s="62"/>
      <c r="I58" s="251">
        <f t="shared" si="10"/>
        <v>0</v>
      </c>
      <c r="J58" s="251">
        <f t="shared" si="11"/>
        <v>0</v>
      </c>
      <c r="K58" s="290">
        <f t="shared" si="12"/>
        <v>0</v>
      </c>
      <c r="M58" s="36"/>
      <c r="N58" s="142"/>
    </row>
    <row r="59" spans="1:16" x14ac:dyDescent="0.25">
      <c r="A59" s="279">
        <v>9</v>
      </c>
      <c r="B59" s="61"/>
      <c r="C59" s="413"/>
      <c r="D59" s="316">
        <v>0</v>
      </c>
      <c r="E59" s="62">
        <v>0</v>
      </c>
      <c r="F59" s="62"/>
      <c r="G59" s="62">
        <f t="shared" si="9"/>
        <v>0</v>
      </c>
      <c r="H59" s="62"/>
      <c r="I59" s="251">
        <f t="shared" si="10"/>
        <v>0</v>
      </c>
      <c r="J59" s="251">
        <f t="shared" si="11"/>
        <v>0</v>
      </c>
      <c r="K59" s="290">
        <f t="shared" si="12"/>
        <v>0</v>
      </c>
      <c r="M59" s="36"/>
      <c r="N59" s="142"/>
    </row>
    <row r="60" spans="1:16" x14ac:dyDescent="0.25">
      <c r="A60" s="279">
        <v>10</v>
      </c>
      <c r="B60" s="61"/>
      <c r="C60" s="413"/>
      <c r="D60" s="316">
        <v>0</v>
      </c>
      <c r="E60" s="62">
        <v>0</v>
      </c>
      <c r="F60" s="62"/>
      <c r="G60" s="62">
        <f t="shared" si="9"/>
        <v>0</v>
      </c>
      <c r="H60" s="62"/>
      <c r="I60" s="251">
        <f t="shared" si="10"/>
        <v>0</v>
      </c>
      <c r="J60" s="251">
        <f t="shared" si="11"/>
        <v>0</v>
      </c>
      <c r="K60" s="290">
        <f t="shared" si="12"/>
        <v>0</v>
      </c>
      <c r="M60" s="36"/>
      <c r="N60" s="142"/>
    </row>
    <row r="61" spans="1:16" x14ac:dyDescent="0.25">
      <c r="A61" s="279">
        <v>11</v>
      </c>
      <c r="B61" s="61"/>
      <c r="C61" s="413"/>
      <c r="D61" s="316">
        <v>0</v>
      </c>
      <c r="E61" s="62">
        <v>0</v>
      </c>
      <c r="F61" s="62"/>
      <c r="G61" s="62">
        <f t="shared" si="9"/>
        <v>0</v>
      </c>
      <c r="H61" s="62"/>
      <c r="I61" s="251">
        <f t="shared" si="10"/>
        <v>0</v>
      </c>
      <c r="J61" s="251">
        <f t="shared" si="11"/>
        <v>0</v>
      </c>
      <c r="K61" s="290">
        <f t="shared" si="12"/>
        <v>0</v>
      </c>
      <c r="M61" s="36"/>
      <c r="N61" s="142"/>
    </row>
    <row r="62" spans="1:16" x14ac:dyDescent="0.25">
      <c r="A62" s="279">
        <v>12</v>
      </c>
      <c r="B62" s="61"/>
      <c r="C62" s="413"/>
      <c r="D62" s="316">
        <v>0</v>
      </c>
      <c r="E62" s="62">
        <v>0</v>
      </c>
      <c r="F62" s="62"/>
      <c r="G62" s="62">
        <f t="shared" si="9"/>
        <v>0</v>
      </c>
      <c r="H62" s="62"/>
      <c r="I62" s="251">
        <f t="shared" si="10"/>
        <v>0</v>
      </c>
      <c r="J62" s="251">
        <f t="shared" si="11"/>
        <v>0</v>
      </c>
      <c r="K62" s="290">
        <f t="shared" si="12"/>
        <v>0</v>
      </c>
      <c r="M62" s="36"/>
      <c r="N62" s="142"/>
    </row>
    <row r="63" spans="1:16" x14ac:dyDescent="0.25">
      <c r="A63" s="279">
        <v>13</v>
      </c>
      <c r="B63" s="61"/>
      <c r="C63" s="413"/>
      <c r="D63" s="316">
        <v>0</v>
      </c>
      <c r="E63" s="62">
        <v>0</v>
      </c>
      <c r="F63" s="62"/>
      <c r="G63" s="62">
        <f t="shared" si="9"/>
        <v>0</v>
      </c>
      <c r="H63" s="62"/>
      <c r="I63" s="251">
        <f t="shared" si="10"/>
        <v>0</v>
      </c>
      <c r="J63" s="251">
        <f t="shared" si="11"/>
        <v>0</v>
      </c>
      <c r="K63" s="290">
        <f t="shared" si="12"/>
        <v>0</v>
      </c>
      <c r="M63" s="36"/>
      <c r="N63" s="142"/>
    </row>
    <row r="64" spans="1:16" x14ac:dyDescent="0.25">
      <c r="A64" s="279">
        <v>14</v>
      </c>
      <c r="B64" s="61"/>
      <c r="C64" s="413"/>
      <c r="D64" s="316">
        <v>0</v>
      </c>
      <c r="E64" s="62">
        <v>0</v>
      </c>
      <c r="F64" s="62"/>
      <c r="G64" s="62">
        <f t="shared" si="9"/>
        <v>0</v>
      </c>
      <c r="H64" s="62"/>
      <c r="I64" s="251">
        <f t="shared" si="10"/>
        <v>0</v>
      </c>
      <c r="J64" s="251">
        <f t="shared" si="11"/>
        <v>0</v>
      </c>
      <c r="K64" s="290">
        <f t="shared" si="12"/>
        <v>0</v>
      </c>
      <c r="M64" s="36"/>
      <c r="N64" s="142"/>
    </row>
    <row r="65" spans="1:14" x14ac:dyDescent="0.25">
      <c r="A65" s="279">
        <v>15</v>
      </c>
      <c r="B65" s="61"/>
      <c r="C65" s="413"/>
      <c r="D65" s="316">
        <v>0</v>
      </c>
      <c r="E65" s="62">
        <v>0</v>
      </c>
      <c r="F65" s="62"/>
      <c r="G65" s="62">
        <f t="shared" si="9"/>
        <v>0</v>
      </c>
      <c r="H65" s="62"/>
      <c r="I65" s="251">
        <f t="shared" si="10"/>
        <v>0</v>
      </c>
      <c r="J65" s="251">
        <f t="shared" si="11"/>
        <v>0</v>
      </c>
      <c r="K65" s="290">
        <f t="shared" si="12"/>
        <v>0</v>
      </c>
      <c r="M65" s="36"/>
      <c r="N65" s="142"/>
    </row>
    <row r="66" spans="1:14" ht="15.75" thickBot="1" x14ac:dyDescent="0.3">
      <c r="A66" s="281"/>
      <c r="B66" s="281"/>
      <c r="C66" s="281"/>
      <c r="D66" s="317"/>
      <c r="E66" s="282"/>
      <c r="F66" s="282"/>
      <c r="G66" s="282">
        <f t="shared" si="9"/>
        <v>0</v>
      </c>
      <c r="H66" s="282"/>
      <c r="I66" s="322">
        <f t="shared" si="10"/>
        <v>0</v>
      </c>
      <c r="J66" s="322">
        <f t="shared" si="11"/>
        <v>0</v>
      </c>
      <c r="K66" s="323">
        <f t="shared" si="12"/>
        <v>0</v>
      </c>
    </row>
    <row r="67" spans="1:14" ht="15.75" thickBot="1" x14ac:dyDescent="0.3">
      <c r="A67" s="313"/>
      <c r="B67" s="96" t="s">
        <v>764</v>
      </c>
      <c r="C67" s="296"/>
      <c r="D67" s="296"/>
      <c r="E67" s="97">
        <f t="shared" ref="E67:K67" si="13">SUM(E51:E66)</f>
        <v>128</v>
      </c>
      <c r="F67" s="97">
        <f t="shared" si="13"/>
        <v>0</v>
      </c>
      <c r="G67" s="97">
        <f t="shared" si="13"/>
        <v>128</v>
      </c>
      <c r="H67" s="97">
        <f t="shared" si="13"/>
        <v>0</v>
      </c>
      <c r="I67" s="296">
        <f t="shared" si="13"/>
        <v>128</v>
      </c>
      <c r="J67" s="97">
        <f t="shared" si="13"/>
        <v>7171000</v>
      </c>
      <c r="K67" s="414">
        <f t="shared" si="13"/>
        <v>2673104.2000000002</v>
      </c>
    </row>
    <row r="68" spans="1:14" x14ac:dyDescent="0.25">
      <c r="A68" s="298"/>
      <c r="B68" s="298"/>
      <c r="C68" s="298"/>
      <c r="D68" s="298"/>
      <c r="E68" s="298"/>
      <c r="F68" s="298"/>
      <c r="G68" s="298"/>
      <c r="H68" s="298"/>
      <c r="I68" s="298"/>
      <c r="J68" s="298"/>
      <c r="K68" s="298"/>
    </row>
    <row r="69" spans="1:14" x14ac:dyDescent="0.25">
      <c r="A69" s="298"/>
      <c r="B69" s="298"/>
      <c r="C69" s="298"/>
      <c r="D69" s="298"/>
      <c r="E69" s="298"/>
      <c r="F69" s="298"/>
      <c r="G69" s="298"/>
      <c r="H69" s="298"/>
      <c r="I69" s="298"/>
      <c r="J69" s="298"/>
      <c r="K69" s="298"/>
    </row>
    <row r="70" spans="1:14" x14ac:dyDescent="0.25">
      <c r="A70" s="298"/>
      <c r="B70" s="298"/>
      <c r="C70" s="298"/>
      <c r="D70" s="298"/>
      <c r="E70" s="298"/>
      <c r="F70" s="298"/>
      <c r="G70" s="298"/>
      <c r="H70" s="298"/>
      <c r="I70" s="298"/>
      <c r="J70" s="298"/>
      <c r="K70" s="298"/>
    </row>
    <row r="71" spans="1:14" ht="15.75" thickBot="1" x14ac:dyDescent="0.3">
      <c r="A71" s="298"/>
      <c r="B71" s="298"/>
      <c r="C71" s="298"/>
      <c r="D71" s="298"/>
      <c r="E71" s="298"/>
      <c r="F71" s="298"/>
      <c r="G71" s="298"/>
      <c r="H71" s="298"/>
      <c r="I71" s="298"/>
      <c r="J71" s="298"/>
      <c r="K71" s="298"/>
    </row>
    <row r="72" spans="1:14" ht="15.75" thickBot="1" x14ac:dyDescent="0.3">
      <c r="A72" s="313"/>
      <c r="B72" s="296" t="s">
        <v>613</v>
      </c>
      <c r="C72" s="296"/>
      <c r="D72" s="296"/>
      <c r="E72" s="301">
        <f>E23+E45+E67</f>
        <v>4119</v>
      </c>
      <c r="F72" s="301">
        <f t="shared" ref="F72:K72" si="14">F23+F45+F67</f>
        <v>0</v>
      </c>
      <c r="G72" s="301">
        <f t="shared" si="14"/>
        <v>4119</v>
      </c>
      <c r="H72" s="301">
        <f t="shared" si="14"/>
        <v>0</v>
      </c>
      <c r="I72" s="301">
        <f t="shared" si="14"/>
        <v>4119</v>
      </c>
      <c r="J72" s="301">
        <f t="shared" si="14"/>
        <v>156668000</v>
      </c>
      <c r="K72" s="391">
        <f t="shared" si="14"/>
        <v>41593743.880000003</v>
      </c>
      <c r="L72" s="40">
        <v>4119</v>
      </c>
      <c r="M72" s="40">
        <v>156668000</v>
      </c>
      <c r="N72" s="40">
        <v>41593743.880000003</v>
      </c>
    </row>
    <row r="73" spans="1:14" x14ac:dyDescent="0.25">
      <c r="L73" s="145">
        <f>+L72-I72</f>
        <v>0</v>
      </c>
      <c r="M73" s="145">
        <f>+M72-J72</f>
        <v>0</v>
      </c>
      <c r="N73" s="145">
        <f>+N72-K72</f>
        <v>0</v>
      </c>
    </row>
    <row r="79" spans="1:14" x14ac:dyDescent="0.25">
      <c r="E79" s="145"/>
      <c r="F79" s="145"/>
      <c r="G79" s="145"/>
      <c r="H79" s="145"/>
      <c r="I79" s="145"/>
      <c r="J79" s="145"/>
      <c r="K79" s="145"/>
    </row>
  </sheetData>
  <mergeCells count="21">
    <mergeCell ref="J47:J48"/>
    <mergeCell ref="K47:K48"/>
    <mergeCell ref="A47:A49"/>
    <mergeCell ref="B47:B48"/>
    <mergeCell ref="C47:C48"/>
    <mergeCell ref="D47:D48"/>
    <mergeCell ref="E47:I47"/>
    <mergeCell ref="K3:K4"/>
    <mergeCell ref="A25:A27"/>
    <mergeCell ref="B25:B26"/>
    <mergeCell ref="C25:C26"/>
    <mergeCell ref="D25:D26"/>
    <mergeCell ref="J25:J26"/>
    <mergeCell ref="K25:K26"/>
    <mergeCell ref="A3:A5"/>
    <mergeCell ref="B3:B4"/>
    <mergeCell ref="C3:C4"/>
    <mergeCell ref="D3:D4"/>
    <mergeCell ref="J3:J4"/>
    <mergeCell ref="E3:I3"/>
    <mergeCell ref="E25:I25"/>
  </mergeCells>
  <pageMargins left="0" right="0" top="0.19685039370078741" bottom="0.19685039370078741" header="0.19685039370078741" footer="0.19685039370078741"/>
  <pageSetup paperSize="9" scale="84" orientation="landscape" horizontalDpi="120" verticalDpi="72"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73"/>
  <sheetViews>
    <sheetView tabSelected="1" topLeftCell="A4" workbookViewId="0">
      <selection activeCell="F22" sqref="F22"/>
    </sheetView>
  </sheetViews>
  <sheetFormatPr defaultRowHeight="15" x14ac:dyDescent="0.25"/>
  <cols>
    <col min="1" max="1" width="21.7109375" customWidth="1"/>
    <col min="2" max="2" width="14.28515625" customWidth="1"/>
    <col min="3" max="3" width="15.28515625" customWidth="1"/>
    <col min="4" max="4" width="17.7109375" customWidth="1"/>
    <col min="5" max="5" width="11.5703125" customWidth="1"/>
    <col min="6" max="6" width="13.85546875" customWidth="1"/>
    <col min="7" max="7" width="19.7109375" customWidth="1"/>
    <col min="8" max="8" width="14.42578125" customWidth="1"/>
    <col min="9" max="9" width="12" bestFit="1" customWidth="1"/>
    <col min="10" max="10" width="10.5703125" bestFit="1" customWidth="1"/>
    <col min="11" max="11" width="15.28515625" bestFit="1" customWidth="1"/>
    <col min="12" max="12" width="14.28515625" bestFit="1" customWidth="1"/>
    <col min="14" max="15" width="12.5703125" bestFit="1" customWidth="1"/>
    <col min="17" max="17" width="10.5703125" bestFit="1" customWidth="1"/>
    <col min="18" max="18" width="15.28515625" bestFit="1" customWidth="1"/>
    <col min="19" max="19" width="14.28515625" bestFit="1" customWidth="1"/>
    <col min="21" max="21" width="12" bestFit="1" customWidth="1"/>
    <col min="23" max="23" width="9.28515625" bestFit="1" customWidth="1"/>
    <col min="24" max="24" width="12.5703125" bestFit="1" customWidth="1"/>
    <col min="25" max="25" width="11.5703125" bestFit="1" customWidth="1"/>
  </cols>
  <sheetData>
    <row r="3" spans="1:25" ht="15.75" x14ac:dyDescent="0.25">
      <c r="A3" s="438" t="s">
        <v>584</v>
      </c>
      <c r="B3" s="438"/>
      <c r="C3" s="438"/>
      <c r="D3" s="438"/>
      <c r="E3" s="438"/>
      <c r="F3" s="438"/>
    </row>
    <row r="4" spans="1:25" x14ac:dyDescent="0.25">
      <c r="A4" s="439" t="s">
        <v>1248</v>
      </c>
      <c r="B4" s="440"/>
      <c r="C4" s="440"/>
      <c r="D4" s="440"/>
      <c r="E4" s="440"/>
      <c r="F4" s="440"/>
    </row>
    <row r="5" spans="1:25" ht="15.75" thickBot="1" x14ac:dyDescent="0.3">
      <c r="A5" s="2"/>
      <c r="B5" s="2"/>
      <c r="C5" s="2"/>
      <c r="D5" s="2"/>
      <c r="E5" s="2"/>
      <c r="F5" s="2"/>
    </row>
    <row r="6" spans="1:25" ht="39" thickBot="1" x14ac:dyDescent="0.3">
      <c r="A6" s="3" t="s">
        <v>537</v>
      </c>
      <c r="B6" s="4" t="s">
        <v>21</v>
      </c>
      <c r="C6" s="4" t="s">
        <v>596</v>
      </c>
      <c r="D6" s="4" t="s">
        <v>1173</v>
      </c>
      <c r="E6" s="5" t="s">
        <v>585</v>
      </c>
      <c r="F6" s="5" t="s">
        <v>597</v>
      </c>
      <c r="G6" s="5" t="s">
        <v>599</v>
      </c>
      <c r="H6" s="5" t="s">
        <v>598</v>
      </c>
    </row>
    <row r="7" spans="1:25" x14ac:dyDescent="0.25">
      <c r="A7" s="6"/>
      <c r="B7" s="7"/>
      <c r="C7" s="7"/>
      <c r="D7" s="7"/>
      <c r="E7" s="8"/>
      <c r="F7" s="20"/>
      <c r="G7" s="6"/>
      <c r="H7" s="25"/>
      <c r="I7" s="24"/>
      <c r="J7" s="24" t="s">
        <v>783</v>
      </c>
      <c r="K7" s="24"/>
      <c r="L7" s="24"/>
    </row>
    <row r="8" spans="1:25" x14ac:dyDescent="0.25">
      <c r="A8" s="9" t="s">
        <v>538</v>
      </c>
      <c r="B8" s="10">
        <f>A.Prangko!E332</f>
        <v>13083632</v>
      </c>
      <c r="C8" s="10">
        <f>A.Prangko!F332</f>
        <v>2960</v>
      </c>
      <c r="D8" s="10">
        <f>B8+C8</f>
        <v>13086592</v>
      </c>
      <c r="E8" s="10">
        <f>A.Prangko!H332</f>
        <v>491076</v>
      </c>
      <c r="F8" s="21">
        <f>A.Prangko!I332</f>
        <v>12595516</v>
      </c>
      <c r="G8" s="18">
        <f>A.Prangko!J332</f>
        <v>53689937500</v>
      </c>
      <c r="H8" s="18">
        <f>A.Prangko!K332</f>
        <v>2463919584.1300001</v>
      </c>
      <c r="J8" s="19">
        <v>12595516</v>
      </c>
      <c r="K8" s="19">
        <v>53689937500</v>
      </c>
      <c r="L8" s="19">
        <v>2463919584.1300001</v>
      </c>
      <c r="M8" s="149">
        <f>+J8-F8</f>
        <v>0</v>
      </c>
      <c r="N8" s="149">
        <f>+K8-G8</f>
        <v>0</v>
      </c>
      <c r="O8" s="149">
        <f>+L8-H8</f>
        <v>0</v>
      </c>
      <c r="Q8" s="19"/>
      <c r="R8" s="19">
        <v>1190492</v>
      </c>
      <c r="S8" s="19">
        <v>5733868200</v>
      </c>
      <c r="T8">
        <v>245818098.89000002</v>
      </c>
      <c r="U8">
        <v>1190492</v>
      </c>
      <c r="V8">
        <v>5733868200</v>
      </c>
      <c r="W8" s="157">
        <f>+R8-U8</f>
        <v>0</v>
      </c>
      <c r="X8" s="157">
        <f>+S8-V8</f>
        <v>0</v>
      </c>
      <c r="Y8" s="157"/>
    </row>
    <row r="9" spans="1:25" x14ac:dyDescent="0.25">
      <c r="A9" s="11" t="s">
        <v>541</v>
      </c>
      <c r="B9" s="10">
        <f>'B.MS &amp; SS'!E276</f>
        <v>74916</v>
      </c>
      <c r="C9" s="10">
        <f>'B.MS &amp; SS'!F276</f>
        <v>0</v>
      </c>
      <c r="D9" s="10">
        <f t="shared" ref="D9:D14" si="0">B9+C9</f>
        <v>74916</v>
      </c>
      <c r="E9" s="10">
        <f>'B.MS &amp; SS'!H276</f>
        <v>100</v>
      </c>
      <c r="F9" s="21">
        <f>'B.MS &amp; SS'!I276</f>
        <v>74816</v>
      </c>
      <c r="G9" s="1">
        <f>'B.MS &amp; SS'!J276</f>
        <v>1044700000</v>
      </c>
      <c r="H9" s="1">
        <f>'B.MS &amp; SS'!K276</f>
        <v>266277970.05000004</v>
      </c>
      <c r="J9" s="19">
        <v>74816</v>
      </c>
      <c r="K9" s="19">
        <v>1044700000</v>
      </c>
      <c r="L9" s="19">
        <v>266277970.05000004</v>
      </c>
      <c r="M9" s="149">
        <f t="shared" ref="M9:M16" si="1">+J9-F9</f>
        <v>0</v>
      </c>
      <c r="N9" s="149">
        <f t="shared" ref="N9:N16" si="2">+K9-G9</f>
        <v>0</v>
      </c>
      <c r="O9" s="149">
        <f t="shared" ref="O9:O16" si="3">+L9-H9</f>
        <v>0</v>
      </c>
      <c r="Q9" s="19"/>
      <c r="R9" s="19">
        <v>342291</v>
      </c>
      <c r="S9" s="19">
        <v>4548921000</v>
      </c>
      <c r="T9">
        <v>741442265.29999995</v>
      </c>
      <c r="U9">
        <v>342291</v>
      </c>
      <c r="V9">
        <v>4548921000</v>
      </c>
      <c r="W9" s="157">
        <f t="shared" ref="W9:W16" si="4">+R9-U9</f>
        <v>0</v>
      </c>
      <c r="X9" s="157">
        <f t="shared" ref="X9:X16" si="5">+S9-V9</f>
        <v>0</v>
      </c>
      <c r="Y9" s="157"/>
    </row>
    <row r="10" spans="1:25" x14ac:dyDescent="0.25">
      <c r="A10" s="11" t="s">
        <v>542</v>
      </c>
      <c r="B10" s="10">
        <f>'C.SHP&amp;SHPSS'!E516</f>
        <v>203291</v>
      </c>
      <c r="C10" s="10">
        <f>'C.SHP&amp;SHPSS'!F516</f>
        <v>0</v>
      </c>
      <c r="D10" s="10">
        <f t="shared" si="0"/>
        <v>203291</v>
      </c>
      <c r="E10" s="10">
        <f>'C.SHP&amp;SHPSS'!H516</f>
        <v>2</v>
      </c>
      <c r="F10" s="21">
        <f>'C.SHP&amp;SHPSS'!I516</f>
        <v>203289</v>
      </c>
      <c r="G10" s="1">
        <f>'C.SHP&amp;SHPSS'!J516</f>
        <v>1972536500</v>
      </c>
      <c r="H10" s="1">
        <f>'C.SHP&amp;SHPSS'!K516</f>
        <v>458281343.52999997</v>
      </c>
      <c r="J10" s="19">
        <v>203289</v>
      </c>
      <c r="K10" s="19">
        <v>1972536500</v>
      </c>
      <c r="L10" s="19">
        <v>441021790.76999998</v>
      </c>
      <c r="M10" s="149">
        <f t="shared" si="1"/>
        <v>0</v>
      </c>
      <c r="N10" s="149">
        <f t="shared" si="2"/>
        <v>0</v>
      </c>
      <c r="O10" s="149">
        <f t="shared" si="3"/>
        <v>-17259552.75999999</v>
      </c>
      <c r="Q10" s="19"/>
      <c r="R10" s="19">
        <v>80368</v>
      </c>
      <c r="S10" s="19">
        <v>784383000</v>
      </c>
      <c r="T10">
        <v>184352967.56</v>
      </c>
      <c r="U10">
        <v>80368</v>
      </c>
      <c r="V10">
        <v>784383000</v>
      </c>
      <c r="W10" s="157">
        <f t="shared" si="4"/>
        <v>0</v>
      </c>
      <c r="X10" s="157">
        <f t="shared" si="5"/>
        <v>0</v>
      </c>
      <c r="Y10" s="157"/>
    </row>
    <row r="11" spans="1:25" x14ac:dyDescent="0.25">
      <c r="A11" s="12" t="s">
        <v>543</v>
      </c>
      <c r="B11" s="10">
        <f>D.Kemasan!E162</f>
        <v>7433</v>
      </c>
      <c r="C11" s="10">
        <f>D.Kemasan!F162</f>
        <v>730</v>
      </c>
      <c r="D11" s="10">
        <f t="shared" si="0"/>
        <v>8163</v>
      </c>
      <c r="E11" s="10">
        <f>D.Kemasan!H162</f>
        <v>730</v>
      </c>
      <c r="F11" s="21">
        <f>D.Kemasan!I162</f>
        <v>7433</v>
      </c>
      <c r="G11" s="1">
        <f>D.Kemasan!J162</f>
        <v>453522500</v>
      </c>
      <c r="H11" s="1">
        <f>D.Kemasan!K162</f>
        <v>79878417.179999977</v>
      </c>
      <c r="J11" s="19">
        <v>7433</v>
      </c>
      <c r="K11" s="19">
        <v>453522500</v>
      </c>
      <c r="L11" s="19">
        <v>79878417.179999977</v>
      </c>
      <c r="M11" s="149">
        <f t="shared" si="1"/>
        <v>0</v>
      </c>
      <c r="N11" s="149">
        <f t="shared" si="2"/>
        <v>0</v>
      </c>
      <c r="O11" s="149">
        <f t="shared" si="3"/>
        <v>0</v>
      </c>
      <c r="Q11" s="19"/>
      <c r="R11" s="19">
        <v>7209</v>
      </c>
      <c r="S11" s="19">
        <v>432488500</v>
      </c>
      <c r="T11">
        <v>73678822.489999995</v>
      </c>
      <c r="U11">
        <v>7209</v>
      </c>
      <c r="V11">
        <v>432488500</v>
      </c>
      <c r="W11" s="157">
        <f t="shared" si="4"/>
        <v>0</v>
      </c>
      <c r="X11" s="157">
        <f t="shared" si="5"/>
        <v>0</v>
      </c>
      <c r="Y11" s="157"/>
    </row>
    <row r="12" spans="1:25" x14ac:dyDescent="0.25">
      <c r="A12" s="11" t="s">
        <v>544</v>
      </c>
      <c r="B12" s="10">
        <f>E.Merchandise!E36</f>
        <v>12764</v>
      </c>
      <c r="C12" s="10">
        <f>E.Merchandise!F36</f>
        <v>0</v>
      </c>
      <c r="D12" s="10">
        <f t="shared" si="0"/>
        <v>12764</v>
      </c>
      <c r="E12" s="10">
        <f>E.Merchandise!H36</f>
        <v>0</v>
      </c>
      <c r="F12" s="21">
        <f>E.Merchandise!I36</f>
        <v>12764</v>
      </c>
      <c r="G12" s="1">
        <f>E.Merchandise!J36</f>
        <v>682901750</v>
      </c>
      <c r="H12" s="1">
        <f>E.Merchandise!K36</f>
        <v>338194520</v>
      </c>
      <c r="J12" s="19">
        <v>12764</v>
      </c>
      <c r="K12" s="19">
        <v>682901750</v>
      </c>
      <c r="L12" s="19">
        <v>338194520</v>
      </c>
      <c r="M12" s="149">
        <f t="shared" si="1"/>
        <v>0</v>
      </c>
      <c r="N12" s="149">
        <f t="shared" si="2"/>
        <v>0</v>
      </c>
      <c r="O12" s="149">
        <f t="shared" si="3"/>
        <v>0</v>
      </c>
      <c r="Q12" s="19"/>
      <c r="R12" s="19">
        <v>582</v>
      </c>
      <c r="S12" s="19">
        <v>36806750</v>
      </c>
      <c r="T12">
        <v>35682620</v>
      </c>
      <c r="U12">
        <v>582</v>
      </c>
      <c r="V12">
        <v>36806750</v>
      </c>
      <c r="W12" s="157">
        <f t="shared" si="4"/>
        <v>0</v>
      </c>
      <c r="X12" s="157">
        <f t="shared" si="5"/>
        <v>0</v>
      </c>
      <c r="Y12" s="157"/>
    </row>
    <row r="13" spans="1:25" x14ac:dyDescent="0.25">
      <c r="A13" s="11" t="s">
        <v>539</v>
      </c>
      <c r="B13" s="10">
        <f>F.PRISMA!E71</f>
        <v>189729</v>
      </c>
      <c r="C13" s="10">
        <f>F.PRISMA!F71</f>
        <v>0</v>
      </c>
      <c r="D13" s="10">
        <f t="shared" si="0"/>
        <v>189729</v>
      </c>
      <c r="E13" s="10">
        <f>F.PRISMA!H71</f>
        <v>7200</v>
      </c>
      <c r="F13" s="21">
        <f>F.PRISMA!I71</f>
        <v>182529</v>
      </c>
      <c r="G13" s="1">
        <f>F.PRISMA!J71</f>
        <v>4289786000</v>
      </c>
      <c r="H13" s="1">
        <f>F.PRISMA!K71</f>
        <v>381075584.33500004</v>
      </c>
      <c r="J13" s="19">
        <v>182529</v>
      </c>
      <c r="K13" s="19">
        <v>4289786000</v>
      </c>
      <c r="L13" s="19">
        <v>381075584.33500004</v>
      </c>
      <c r="M13" s="149">
        <f t="shared" si="1"/>
        <v>0</v>
      </c>
      <c r="N13" s="149">
        <f t="shared" si="2"/>
        <v>0</v>
      </c>
      <c r="O13" s="149">
        <f t="shared" si="3"/>
        <v>0</v>
      </c>
      <c r="Q13" s="19"/>
      <c r="R13" s="19">
        <v>144126</v>
      </c>
      <c r="S13" s="19">
        <v>3463414000</v>
      </c>
      <c r="T13">
        <v>259199054.13</v>
      </c>
      <c r="U13">
        <v>144126</v>
      </c>
      <c r="V13">
        <v>3463414000</v>
      </c>
      <c r="W13" s="157">
        <f t="shared" si="4"/>
        <v>0</v>
      </c>
      <c r="X13" s="157">
        <f t="shared" si="5"/>
        <v>0</v>
      </c>
      <c r="Y13" s="157"/>
    </row>
    <row r="14" spans="1:25" x14ac:dyDescent="0.25">
      <c r="A14" s="11" t="s">
        <v>545</v>
      </c>
      <c r="B14" s="10">
        <f>'G.Dokumen Filateli'!E72</f>
        <v>4119</v>
      </c>
      <c r="C14" s="10">
        <f>'G.Dokumen Filateli'!F72</f>
        <v>0</v>
      </c>
      <c r="D14" s="10">
        <f t="shared" si="0"/>
        <v>4119</v>
      </c>
      <c r="E14" s="10">
        <f>'G.Dokumen Filateli'!H72</f>
        <v>0</v>
      </c>
      <c r="F14" s="21">
        <f>'G.Dokumen Filateli'!I72</f>
        <v>4119</v>
      </c>
      <c r="G14" s="1">
        <f>'G.Dokumen Filateli'!J72</f>
        <v>156668000</v>
      </c>
      <c r="H14" s="1">
        <f>'G.Dokumen Filateli'!K72</f>
        <v>41593743.880000003</v>
      </c>
      <c r="J14" s="19">
        <v>4119</v>
      </c>
      <c r="K14" s="19">
        <v>156668000</v>
      </c>
      <c r="L14" s="19">
        <v>41593743.880000003</v>
      </c>
      <c r="M14" s="149">
        <f t="shared" si="1"/>
        <v>0</v>
      </c>
      <c r="N14" s="149">
        <f t="shared" si="2"/>
        <v>0</v>
      </c>
      <c r="O14" s="149">
        <f t="shared" si="3"/>
        <v>0</v>
      </c>
      <c r="Q14" s="19"/>
      <c r="R14" s="19">
        <v>4165</v>
      </c>
      <c r="S14" s="19">
        <v>159282000</v>
      </c>
      <c r="T14">
        <v>41468162.239999995</v>
      </c>
      <c r="U14">
        <v>4165</v>
      </c>
      <c r="V14">
        <v>159282000</v>
      </c>
      <c r="W14" s="157">
        <f t="shared" si="4"/>
        <v>0</v>
      </c>
      <c r="X14" s="157">
        <f t="shared" si="5"/>
        <v>0</v>
      </c>
      <c r="Y14" s="157"/>
    </row>
    <row r="15" spans="1:25" x14ac:dyDescent="0.25">
      <c r="A15" s="13"/>
      <c r="B15" s="14"/>
      <c r="C15" s="14"/>
      <c r="D15" s="14"/>
      <c r="E15" s="15"/>
      <c r="F15" s="22"/>
      <c r="G15" s="22"/>
      <c r="H15" s="22"/>
      <c r="J15" s="19"/>
      <c r="K15" s="19"/>
      <c r="L15" s="19"/>
      <c r="M15" s="149">
        <f t="shared" si="1"/>
        <v>0</v>
      </c>
      <c r="N15" s="149">
        <f t="shared" si="2"/>
        <v>0</v>
      </c>
      <c r="O15" s="149">
        <f t="shared" si="3"/>
        <v>0</v>
      </c>
      <c r="Q15" s="19"/>
      <c r="R15" s="19"/>
      <c r="S15" s="19"/>
      <c r="W15" s="157">
        <f t="shared" si="4"/>
        <v>0</v>
      </c>
      <c r="X15" s="157">
        <f t="shared" si="5"/>
        <v>0</v>
      </c>
    </row>
    <row r="16" spans="1:25" ht="15.75" thickBot="1" x14ac:dyDescent="0.3">
      <c r="A16" s="16" t="s">
        <v>540</v>
      </c>
      <c r="B16" s="17">
        <f>SUM(B8:B15)</f>
        <v>13575884</v>
      </c>
      <c r="C16" s="17">
        <f>SUM(C8:C15)</f>
        <v>3690</v>
      </c>
      <c r="D16" s="17">
        <f>SUM(D8:D14)</f>
        <v>13579574</v>
      </c>
      <c r="E16" s="17">
        <f>SUM(E8:E14)</f>
        <v>499108</v>
      </c>
      <c r="F16" s="23">
        <f>SUM(F8:F14)</f>
        <v>13080466</v>
      </c>
      <c r="G16" s="23">
        <f>SUM(G8:G14)</f>
        <v>62290052250</v>
      </c>
      <c r="H16" s="23">
        <f>SUM(H8:H14)</f>
        <v>4029221163.105</v>
      </c>
      <c r="J16" s="179">
        <f>SUM(J8:J15)</f>
        <v>13080466</v>
      </c>
      <c r="K16" s="179">
        <f>SUM(K8:K15)</f>
        <v>62290052250</v>
      </c>
      <c r="L16" s="179">
        <f>SUM(L8:L15)</f>
        <v>4011961610.3450003</v>
      </c>
      <c r="M16" s="149">
        <f t="shared" si="1"/>
        <v>0</v>
      </c>
      <c r="N16" s="149">
        <f t="shared" si="2"/>
        <v>0</v>
      </c>
      <c r="O16" s="149">
        <f t="shared" si="3"/>
        <v>-17259552.759999752</v>
      </c>
      <c r="Q16" s="19"/>
      <c r="R16" s="19">
        <v>1769233</v>
      </c>
      <c r="S16" s="19">
        <v>15159163450</v>
      </c>
      <c r="T16">
        <v>1581641990.6099999</v>
      </c>
      <c r="U16">
        <v>1769233</v>
      </c>
      <c r="V16">
        <v>15159163450</v>
      </c>
      <c r="W16" s="157">
        <f t="shared" si="4"/>
        <v>0</v>
      </c>
      <c r="X16" s="157">
        <f t="shared" si="5"/>
        <v>0</v>
      </c>
      <c r="Y16" s="158"/>
    </row>
    <row r="17" spans="1:8" x14ac:dyDescent="0.25">
      <c r="B17" s="149"/>
      <c r="C17" s="149"/>
      <c r="D17" s="149"/>
      <c r="E17" s="149"/>
      <c r="F17" s="149"/>
      <c r="G17" s="149"/>
      <c r="H17" s="149"/>
    </row>
    <row r="18" spans="1:8" x14ac:dyDescent="0.25">
      <c r="F18" s="153"/>
      <c r="G18" s="415" t="s">
        <v>1249</v>
      </c>
    </row>
    <row r="19" spans="1:8" x14ac:dyDescent="0.25">
      <c r="A19" s="437" t="s">
        <v>547</v>
      </c>
      <c r="B19" s="437"/>
      <c r="F19" s="153"/>
      <c r="G19" s="153" t="s">
        <v>546</v>
      </c>
      <c r="H19" s="26"/>
    </row>
    <row r="20" spans="1:8" x14ac:dyDescent="0.25">
      <c r="A20" s="437" t="s">
        <v>1222</v>
      </c>
      <c r="B20" s="437"/>
      <c r="D20" s="153" t="s">
        <v>548</v>
      </c>
      <c r="F20" s="153"/>
      <c r="G20" s="153" t="s">
        <v>777</v>
      </c>
    </row>
    <row r="21" spans="1:8" x14ac:dyDescent="0.25">
      <c r="A21" s="153"/>
      <c r="B21" s="153"/>
      <c r="D21" s="153"/>
      <c r="F21" s="153"/>
      <c r="G21" s="153"/>
      <c r="H21" s="27"/>
    </row>
    <row r="22" spans="1:8" x14ac:dyDescent="0.25">
      <c r="A22" s="153"/>
      <c r="B22" s="153"/>
      <c r="D22" s="153"/>
      <c r="F22" s="153"/>
      <c r="G22" s="153"/>
    </row>
    <row r="23" spans="1:8" x14ac:dyDescent="0.25">
      <c r="A23" s="437" t="s">
        <v>1223</v>
      </c>
      <c r="B23" s="437"/>
      <c r="D23" s="153" t="s">
        <v>640</v>
      </c>
      <c r="F23" s="153"/>
      <c r="G23" s="153" t="s">
        <v>642</v>
      </c>
    </row>
    <row r="24" spans="1:8" x14ac:dyDescent="0.25">
      <c r="A24" s="437" t="s">
        <v>1224</v>
      </c>
      <c r="B24" s="437"/>
      <c r="D24" s="153" t="s">
        <v>641</v>
      </c>
      <c r="F24" s="153"/>
      <c r="G24" s="153" t="s">
        <v>643</v>
      </c>
    </row>
    <row r="28" spans="1:8" x14ac:dyDescent="0.25">
      <c r="B28" t="s">
        <v>1246</v>
      </c>
    </row>
    <row r="29" spans="1:8" x14ac:dyDescent="0.25">
      <c r="B29">
        <v>13083632</v>
      </c>
      <c r="C29" s="149">
        <f>+B8-B29</f>
        <v>0</v>
      </c>
    </row>
    <row r="30" spans="1:8" x14ac:dyDescent="0.25">
      <c r="B30">
        <v>74916</v>
      </c>
      <c r="C30" s="149">
        <f t="shared" ref="C30:C35" si="6">+B9-B30</f>
        <v>0</v>
      </c>
    </row>
    <row r="31" spans="1:8" x14ac:dyDescent="0.25">
      <c r="B31">
        <v>203291</v>
      </c>
      <c r="C31" s="149">
        <f t="shared" si="6"/>
        <v>0</v>
      </c>
    </row>
    <row r="32" spans="1:8" x14ac:dyDescent="0.25">
      <c r="B32">
        <v>7433</v>
      </c>
      <c r="C32" s="149">
        <f t="shared" si="6"/>
        <v>0</v>
      </c>
    </row>
    <row r="33" spans="2:7" x14ac:dyDescent="0.25">
      <c r="B33">
        <v>12764</v>
      </c>
      <c r="C33" s="149">
        <f t="shared" si="6"/>
        <v>0</v>
      </c>
    </row>
    <row r="34" spans="2:7" x14ac:dyDescent="0.25">
      <c r="B34">
        <v>189729</v>
      </c>
      <c r="C34" s="149">
        <f t="shared" si="6"/>
        <v>0</v>
      </c>
    </row>
    <row r="35" spans="2:7" x14ac:dyDescent="0.25">
      <c r="B35" s="180">
        <v>4119</v>
      </c>
      <c r="C35" s="149">
        <f t="shared" si="6"/>
        <v>0</v>
      </c>
    </row>
    <row r="36" spans="2:7" x14ac:dyDescent="0.25">
      <c r="B36" s="159">
        <f>SUM(B29:B35)</f>
        <v>13575884</v>
      </c>
      <c r="C36" s="149">
        <f>B16-B36</f>
        <v>0</v>
      </c>
    </row>
    <row r="39" spans="2:7" x14ac:dyDescent="0.25">
      <c r="B39">
        <v>13083632</v>
      </c>
      <c r="C39">
        <v>2960</v>
      </c>
      <c r="D39">
        <v>13086592</v>
      </c>
      <c r="E39">
        <v>491076</v>
      </c>
      <c r="F39">
        <v>12595516</v>
      </c>
      <c r="G39">
        <v>53689937500</v>
      </c>
    </row>
    <row r="40" spans="2:7" x14ac:dyDescent="0.25">
      <c r="B40">
        <v>74916</v>
      </c>
      <c r="C40">
        <v>0</v>
      </c>
      <c r="D40">
        <v>74916</v>
      </c>
      <c r="E40">
        <v>100</v>
      </c>
      <c r="F40">
        <v>74816</v>
      </c>
      <c r="G40">
        <v>1044700000</v>
      </c>
    </row>
    <row r="41" spans="2:7" x14ac:dyDescent="0.25">
      <c r="B41">
        <v>203291</v>
      </c>
      <c r="C41">
        <v>0</v>
      </c>
      <c r="D41">
        <v>203291</v>
      </c>
      <c r="E41">
        <v>2</v>
      </c>
      <c r="F41">
        <v>203289</v>
      </c>
      <c r="G41">
        <v>1972536500</v>
      </c>
    </row>
    <row r="42" spans="2:7" x14ac:dyDescent="0.25">
      <c r="B42">
        <v>7433</v>
      </c>
      <c r="C42">
        <v>730</v>
      </c>
      <c r="D42">
        <v>8163</v>
      </c>
      <c r="E42">
        <v>730</v>
      </c>
      <c r="F42">
        <v>7433</v>
      </c>
      <c r="G42">
        <v>453522500</v>
      </c>
    </row>
    <row r="43" spans="2:7" x14ac:dyDescent="0.25">
      <c r="B43">
        <v>12764</v>
      </c>
      <c r="C43">
        <v>0</v>
      </c>
      <c r="D43">
        <v>12764</v>
      </c>
      <c r="E43">
        <v>0</v>
      </c>
      <c r="F43">
        <v>12764</v>
      </c>
      <c r="G43">
        <v>682901750</v>
      </c>
    </row>
    <row r="44" spans="2:7" x14ac:dyDescent="0.25">
      <c r="B44">
        <v>189729</v>
      </c>
      <c r="C44">
        <v>0</v>
      </c>
      <c r="D44">
        <v>189729</v>
      </c>
      <c r="E44">
        <v>7200</v>
      </c>
      <c r="F44">
        <v>182529</v>
      </c>
      <c r="G44">
        <v>4289786000</v>
      </c>
    </row>
    <row r="45" spans="2:7" x14ac:dyDescent="0.25">
      <c r="B45">
        <v>4119</v>
      </c>
      <c r="C45">
        <v>0</v>
      </c>
      <c r="D45">
        <v>4119</v>
      </c>
      <c r="E45">
        <v>0</v>
      </c>
      <c r="F45">
        <v>4119</v>
      </c>
      <c r="G45">
        <v>156668000</v>
      </c>
    </row>
    <row r="47" spans="2:7" x14ac:dyDescent="0.25">
      <c r="B47">
        <v>13575884</v>
      </c>
      <c r="C47">
        <v>3690</v>
      </c>
      <c r="D47">
        <v>13579574</v>
      </c>
      <c r="E47">
        <v>499108</v>
      </c>
      <c r="F47">
        <v>13080466</v>
      </c>
      <c r="G47">
        <v>62290052250</v>
      </c>
    </row>
    <row r="49" spans="1:7" x14ac:dyDescent="0.25">
      <c r="A49" t="s">
        <v>538</v>
      </c>
      <c r="B49" s="188">
        <f t="shared" ref="B49:G49" si="7">+B8-B39</f>
        <v>0</v>
      </c>
      <c r="C49" s="188">
        <f t="shared" si="7"/>
        <v>0</v>
      </c>
      <c r="D49" s="188">
        <f t="shared" si="7"/>
        <v>0</v>
      </c>
      <c r="E49" s="188">
        <f t="shared" si="7"/>
        <v>0</v>
      </c>
      <c r="F49" s="188">
        <f t="shared" si="7"/>
        <v>0</v>
      </c>
      <c r="G49" s="188">
        <f t="shared" si="7"/>
        <v>0</v>
      </c>
    </row>
    <row r="50" spans="1:7" x14ac:dyDescent="0.25">
      <c r="A50" t="s">
        <v>541</v>
      </c>
      <c r="B50" s="188">
        <f t="shared" ref="B50:G50" si="8">+B9-B40</f>
        <v>0</v>
      </c>
      <c r="C50" s="188">
        <f t="shared" si="8"/>
        <v>0</v>
      </c>
      <c r="D50" s="188">
        <f t="shared" si="8"/>
        <v>0</v>
      </c>
      <c r="E50" s="188">
        <f t="shared" si="8"/>
        <v>0</v>
      </c>
      <c r="F50" s="188">
        <f t="shared" si="8"/>
        <v>0</v>
      </c>
      <c r="G50" s="188">
        <f t="shared" si="8"/>
        <v>0</v>
      </c>
    </row>
    <row r="51" spans="1:7" x14ac:dyDescent="0.25">
      <c r="A51" t="s">
        <v>542</v>
      </c>
      <c r="B51" s="188">
        <f t="shared" ref="B51:G51" si="9">+B10-B41</f>
        <v>0</v>
      </c>
      <c r="C51" s="188">
        <f t="shared" si="9"/>
        <v>0</v>
      </c>
      <c r="D51" s="188">
        <f t="shared" si="9"/>
        <v>0</v>
      </c>
      <c r="E51" s="188">
        <f t="shared" si="9"/>
        <v>0</v>
      </c>
      <c r="F51" s="188">
        <f t="shared" si="9"/>
        <v>0</v>
      </c>
      <c r="G51" s="188">
        <f t="shared" si="9"/>
        <v>0</v>
      </c>
    </row>
    <row r="52" spans="1:7" x14ac:dyDescent="0.25">
      <c r="A52" t="s">
        <v>543</v>
      </c>
      <c r="B52" s="188">
        <f t="shared" ref="B52:G52" si="10">+B11-B42</f>
        <v>0</v>
      </c>
      <c r="C52" s="188">
        <f t="shared" si="10"/>
        <v>0</v>
      </c>
      <c r="D52" s="188">
        <f t="shared" si="10"/>
        <v>0</v>
      </c>
      <c r="E52" s="188">
        <f t="shared" si="10"/>
        <v>0</v>
      </c>
      <c r="F52" s="188">
        <f t="shared" si="10"/>
        <v>0</v>
      </c>
      <c r="G52" s="188">
        <f t="shared" si="10"/>
        <v>0</v>
      </c>
    </row>
    <row r="53" spans="1:7" x14ac:dyDescent="0.25">
      <c r="A53" t="s">
        <v>544</v>
      </c>
      <c r="B53" s="188">
        <f t="shared" ref="B53:G53" si="11">+B12-B43</f>
        <v>0</v>
      </c>
      <c r="C53" s="188">
        <f t="shared" si="11"/>
        <v>0</v>
      </c>
      <c r="D53" s="188">
        <f t="shared" si="11"/>
        <v>0</v>
      </c>
      <c r="E53" s="188">
        <f t="shared" si="11"/>
        <v>0</v>
      </c>
      <c r="F53" s="188">
        <f t="shared" si="11"/>
        <v>0</v>
      </c>
      <c r="G53" s="188">
        <f t="shared" si="11"/>
        <v>0</v>
      </c>
    </row>
    <row r="54" spans="1:7" x14ac:dyDescent="0.25">
      <c r="A54" t="s">
        <v>539</v>
      </c>
      <c r="B54" s="188">
        <f t="shared" ref="B54:G54" si="12">+B13-B44</f>
        <v>0</v>
      </c>
      <c r="C54" s="188">
        <f t="shared" si="12"/>
        <v>0</v>
      </c>
      <c r="D54" s="188">
        <f t="shared" si="12"/>
        <v>0</v>
      </c>
      <c r="E54" s="188">
        <f t="shared" si="12"/>
        <v>0</v>
      </c>
      <c r="F54" s="188">
        <f t="shared" si="12"/>
        <v>0</v>
      </c>
      <c r="G54" s="188">
        <f t="shared" si="12"/>
        <v>0</v>
      </c>
    </row>
    <row r="55" spans="1:7" x14ac:dyDescent="0.25">
      <c r="A55" t="s">
        <v>545</v>
      </c>
      <c r="B55" s="188">
        <f t="shared" ref="B55:G55" si="13">+B14-B45</f>
        <v>0</v>
      </c>
      <c r="C55" s="188">
        <f t="shared" si="13"/>
        <v>0</v>
      </c>
      <c r="D55" s="188">
        <f t="shared" si="13"/>
        <v>0</v>
      </c>
      <c r="E55" s="188">
        <f t="shared" si="13"/>
        <v>0</v>
      </c>
      <c r="F55" s="188">
        <f t="shared" si="13"/>
        <v>0</v>
      </c>
      <c r="G55" s="188">
        <f t="shared" si="13"/>
        <v>0</v>
      </c>
    </row>
    <row r="56" spans="1:7" x14ac:dyDescent="0.25">
      <c r="B56" s="188">
        <f t="shared" ref="B56:G56" si="14">+B15-B46</f>
        <v>0</v>
      </c>
      <c r="C56" s="188">
        <f t="shared" si="14"/>
        <v>0</v>
      </c>
      <c r="D56" s="188">
        <f t="shared" si="14"/>
        <v>0</v>
      </c>
      <c r="E56" s="188">
        <f t="shared" si="14"/>
        <v>0</v>
      </c>
      <c r="F56" s="188">
        <f t="shared" si="14"/>
        <v>0</v>
      </c>
      <c r="G56" s="188">
        <f t="shared" si="14"/>
        <v>0</v>
      </c>
    </row>
    <row r="57" spans="1:7" x14ac:dyDescent="0.25">
      <c r="B57" s="188">
        <f t="shared" ref="B57:G57" si="15">+B16-B47</f>
        <v>0</v>
      </c>
      <c r="C57" s="188">
        <f t="shared" si="15"/>
        <v>0</v>
      </c>
      <c r="D57" s="188">
        <f t="shared" si="15"/>
        <v>0</v>
      </c>
      <c r="E57" s="188">
        <f t="shared" si="15"/>
        <v>0</v>
      </c>
      <c r="F57" s="188">
        <f t="shared" si="15"/>
        <v>0</v>
      </c>
      <c r="G57" s="188">
        <f t="shared" si="15"/>
        <v>0</v>
      </c>
    </row>
    <row r="58" spans="1:7" x14ac:dyDescent="0.25">
      <c r="B58" s="149">
        <f t="shared" ref="B58:G58" si="16">+B17-B48</f>
        <v>0</v>
      </c>
      <c r="C58" s="149">
        <f t="shared" si="16"/>
        <v>0</v>
      </c>
      <c r="D58" s="149">
        <f t="shared" si="16"/>
        <v>0</v>
      </c>
      <c r="E58" s="149">
        <f t="shared" si="16"/>
        <v>0</v>
      </c>
      <c r="F58" s="149">
        <f t="shared" si="16"/>
        <v>0</v>
      </c>
      <c r="G58" s="149">
        <f t="shared" si="16"/>
        <v>0</v>
      </c>
    </row>
    <row r="59" spans="1:7" x14ac:dyDescent="0.25">
      <c r="B59" s="149"/>
      <c r="C59" s="149"/>
      <c r="D59" s="149"/>
      <c r="E59" s="149"/>
      <c r="F59" s="149"/>
      <c r="G59" s="149"/>
    </row>
    <row r="60" spans="1:7" x14ac:dyDescent="0.25">
      <c r="B60" s="149"/>
      <c r="C60" s="149"/>
      <c r="D60" s="149"/>
      <c r="E60" s="149"/>
      <c r="F60" s="149"/>
      <c r="G60" s="149"/>
    </row>
    <row r="61" spans="1:7" x14ac:dyDescent="0.25">
      <c r="B61" s="149"/>
      <c r="C61" s="149"/>
      <c r="D61" s="149"/>
      <c r="E61" s="149"/>
      <c r="F61" s="149"/>
      <c r="G61" s="149"/>
    </row>
    <row r="63" spans="1:7" x14ac:dyDescent="0.25">
      <c r="B63" s="153" t="s">
        <v>901</v>
      </c>
      <c r="D63" s="153" t="s">
        <v>901</v>
      </c>
      <c r="F63" s="153" t="s">
        <v>901</v>
      </c>
    </row>
    <row r="64" spans="1:7" x14ac:dyDescent="0.25">
      <c r="B64" s="153"/>
      <c r="D64" s="153"/>
      <c r="F64" s="153"/>
    </row>
    <row r="65" spans="2:6" x14ac:dyDescent="0.25">
      <c r="B65" s="153"/>
      <c r="D65" s="153"/>
      <c r="F65" s="153"/>
    </row>
    <row r="66" spans="2:6" x14ac:dyDescent="0.25">
      <c r="B66" s="153"/>
      <c r="D66" s="153"/>
      <c r="F66" s="153"/>
    </row>
    <row r="67" spans="2:6" x14ac:dyDescent="0.25">
      <c r="B67" s="153" t="s">
        <v>902</v>
      </c>
      <c r="D67" s="153" t="s">
        <v>902</v>
      </c>
      <c r="F67" s="153" t="s">
        <v>902</v>
      </c>
    </row>
    <row r="69" spans="2:6" x14ac:dyDescent="0.25">
      <c r="B69" s="153" t="s">
        <v>901</v>
      </c>
      <c r="D69" s="153" t="s">
        <v>901</v>
      </c>
      <c r="F69" s="153" t="s">
        <v>901</v>
      </c>
    </row>
    <row r="70" spans="2:6" x14ac:dyDescent="0.25">
      <c r="B70" s="153"/>
      <c r="D70" s="153"/>
      <c r="F70" s="153"/>
    </row>
    <row r="71" spans="2:6" x14ac:dyDescent="0.25">
      <c r="B71" s="153"/>
      <c r="D71" s="153"/>
      <c r="F71" s="153"/>
    </row>
    <row r="72" spans="2:6" x14ac:dyDescent="0.25">
      <c r="B72" s="153"/>
      <c r="D72" s="153"/>
      <c r="F72" s="153"/>
    </row>
    <row r="73" spans="2:6" x14ac:dyDescent="0.25">
      <c r="B73" s="153" t="s">
        <v>902</v>
      </c>
      <c r="D73" s="153" t="s">
        <v>902</v>
      </c>
      <c r="F73" s="153" t="s">
        <v>902</v>
      </c>
    </row>
  </sheetData>
  <protectedRanges>
    <protectedRange sqref="A3" name="Range1"/>
  </protectedRanges>
  <mergeCells count="6">
    <mergeCell ref="A24:B24"/>
    <mergeCell ref="A3:F3"/>
    <mergeCell ref="A4:F4"/>
    <mergeCell ref="A19:B19"/>
    <mergeCell ref="A20:B20"/>
    <mergeCell ref="A23:B23"/>
  </mergeCells>
  <pageMargins left="0.70866141732283472" right="0.70866141732283472" top="0" bottom="0" header="0.31496062992125984" footer="0.31496062992125984"/>
  <pageSetup paperSize="9" orientation="landscape"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A.Prangko</vt:lpstr>
      <vt:lpstr>B.MS &amp; SS</vt:lpstr>
      <vt:lpstr>C.SHP&amp;SHPSS</vt:lpstr>
      <vt:lpstr>D.Kemasan</vt:lpstr>
      <vt:lpstr>E.Merchandise</vt:lpstr>
      <vt:lpstr>F.PRISMA</vt:lpstr>
      <vt:lpstr>G.Dokumen Filateli</vt:lpstr>
      <vt:lpstr>Rekapitulasi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2018-04-18T00:56:34Z</dcterms:modified>
</cp:coreProperties>
</file>