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0" yWindow="-165" windowWidth="19440" windowHeight="4065" tabRatio="735"/>
  </bookViews>
  <sheets>
    <sheet name="A.Prangko" sheetId="1" r:id="rId1"/>
    <sheet name="B.MS &amp; SS" sheetId="2" r:id="rId2"/>
    <sheet name="C.SHP&amp;SHPSS" sheetId="3" r:id="rId3"/>
    <sheet name="D.Kemasan" sheetId="4" r:id="rId4"/>
    <sheet name="E.Merchandise" sheetId="5" r:id="rId5"/>
    <sheet name="F.PRISMA" sheetId="6" r:id="rId6"/>
    <sheet name="G.Dokumen Filateli" sheetId="7" r:id="rId7"/>
    <sheet name="Rekapitulasi" sheetId="8"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s>
  <calcPr calcId="162913"/>
</workbook>
</file>

<file path=xl/calcChain.xml><?xml version="1.0" encoding="utf-8"?>
<calcChain xmlns="http://schemas.openxmlformats.org/spreadsheetml/2006/main">
  <c r="F60" i="6" l="1"/>
  <c r="H64" i="6"/>
  <c r="H63" i="6"/>
  <c r="H237" i="2"/>
  <c r="B56" i="8"/>
  <c r="C56" i="8"/>
  <c r="D56" i="8"/>
  <c r="E56" i="8"/>
  <c r="F56" i="8"/>
  <c r="G56" i="8"/>
  <c r="H430" i="3"/>
  <c r="F314" i="1" l="1"/>
  <c r="F261" i="2"/>
  <c r="H311" i="1" l="1"/>
  <c r="H62" i="6"/>
  <c r="H60" i="6"/>
  <c r="H313" i="1" l="1"/>
  <c r="H312" i="1"/>
  <c r="H132" i="4"/>
  <c r="H261" i="2" l="1"/>
  <c r="H61" i="6"/>
  <c r="H264" i="2"/>
  <c r="H433" i="3"/>
  <c r="H432" i="3"/>
  <c r="H314" i="1"/>
  <c r="F264" i="2"/>
  <c r="H431" i="3" l="1"/>
  <c r="H260" i="2"/>
  <c r="H255" i="2"/>
  <c r="H310" i="1"/>
  <c r="H224" i="2"/>
  <c r="H257" i="2"/>
  <c r="F312" i="1" l="1"/>
  <c r="F311" i="1"/>
  <c r="F64" i="6"/>
  <c r="F63" i="6"/>
  <c r="H58" i="6"/>
  <c r="F430" i="3" l="1"/>
  <c r="F429" i="3"/>
  <c r="F428" i="3"/>
  <c r="H429" i="3"/>
  <c r="H428" i="3"/>
  <c r="F262" i="2"/>
  <c r="F260" i="2"/>
  <c r="F259" i="2"/>
  <c r="H262" i="2" l="1"/>
  <c r="H259" i="2"/>
  <c r="H258" i="2"/>
  <c r="H245" i="2"/>
  <c r="H243" i="2"/>
  <c r="H242" i="2"/>
  <c r="H232" i="2"/>
  <c r="H225" i="2"/>
  <c r="H223" i="2"/>
  <c r="H222" i="2"/>
  <c r="H220" i="2"/>
  <c r="H217" i="2"/>
  <c r="H210" i="2"/>
  <c r="H209" i="2"/>
  <c r="H205" i="2"/>
  <c r="H204" i="2"/>
  <c r="H189" i="2"/>
  <c r="H182" i="2"/>
  <c r="H144" i="4" l="1"/>
  <c r="F144" i="4"/>
  <c r="H219" i="2"/>
  <c r="H73" i="2"/>
  <c r="H62" i="2"/>
  <c r="H45" i="6" l="1"/>
  <c r="F25" i="5"/>
  <c r="H25" i="5"/>
  <c r="H24" i="5"/>
  <c r="H426" i="3"/>
  <c r="H425" i="3"/>
  <c r="H256" i="2"/>
  <c r="H244" i="2"/>
  <c r="H236" i="2"/>
  <c r="H235" i="2"/>
  <c r="H207" i="2"/>
  <c r="H206" i="2"/>
  <c r="H180" i="2"/>
  <c r="H179" i="2"/>
  <c r="H177" i="2"/>
  <c r="H176" i="2"/>
  <c r="H175" i="2"/>
  <c r="H174" i="2"/>
  <c r="H173" i="2"/>
  <c r="H172" i="2"/>
  <c r="H171" i="2"/>
  <c r="H170" i="2"/>
  <c r="H169" i="2"/>
  <c r="H168" i="2"/>
  <c r="H160" i="2"/>
  <c r="H159" i="2"/>
  <c r="H151" i="2"/>
  <c r="H150" i="2"/>
  <c r="H148" i="2"/>
  <c r="H147" i="2"/>
  <c r="H139" i="2"/>
  <c r="H138" i="2"/>
  <c r="H137" i="2"/>
  <c r="H130" i="2"/>
  <c r="H129" i="2"/>
  <c r="H122" i="2"/>
  <c r="H121" i="2"/>
  <c r="H114" i="2"/>
  <c r="H113" i="2"/>
  <c r="H112" i="2"/>
  <c r="H104" i="2"/>
  <c r="H103" i="2"/>
  <c r="H102" i="2"/>
  <c r="H100" i="2"/>
  <c r="H99" i="2"/>
  <c r="H98" i="2"/>
  <c r="H91" i="2"/>
  <c r="H90" i="2"/>
  <c r="H89" i="2"/>
  <c r="H88" i="2"/>
  <c r="H78" i="2"/>
  <c r="H77" i="2"/>
  <c r="H76" i="2"/>
  <c r="H75" i="2"/>
  <c r="H74" i="2"/>
  <c r="H66" i="2"/>
  <c r="H65" i="2"/>
  <c r="H64" i="2"/>
  <c r="H63" i="2"/>
  <c r="H52" i="2"/>
  <c r="H51" i="2"/>
  <c r="H50" i="2"/>
  <c r="H49" i="2"/>
  <c r="H41" i="2"/>
  <c r="H40" i="2"/>
  <c r="H39" i="2"/>
  <c r="H32" i="2"/>
  <c r="H31" i="2"/>
  <c r="H29" i="2"/>
  <c r="H22" i="2"/>
  <c r="H21" i="2"/>
  <c r="H20" i="2"/>
  <c r="H19" i="2"/>
  <c r="H12" i="2"/>
  <c r="H11" i="2"/>
  <c r="H9" i="2"/>
  <c r="H8" i="2"/>
  <c r="H284" i="1" l="1"/>
  <c r="H197" i="1"/>
  <c r="H196" i="1"/>
  <c r="H186" i="1"/>
  <c r="H185" i="1"/>
  <c r="H184" i="1"/>
  <c r="H182" i="1"/>
  <c r="H181" i="1"/>
  <c r="H180" i="1"/>
  <c r="H179" i="1"/>
  <c r="H178" i="1"/>
  <c r="H171" i="1"/>
  <c r="H170" i="1"/>
  <c r="H169" i="1"/>
  <c r="H168" i="1"/>
  <c r="H167" i="1"/>
  <c r="H166" i="1"/>
  <c r="H140" i="1"/>
  <c r="H123" i="1"/>
  <c r="H122" i="1"/>
  <c r="H115" i="1"/>
  <c r="H110" i="1"/>
  <c r="H108" i="1"/>
  <c r="H98" i="1" l="1"/>
  <c r="H97" i="1"/>
  <c r="H93" i="1"/>
  <c r="H89" i="1"/>
  <c r="H87" i="1"/>
  <c r="H73" i="1"/>
  <c r="H70" i="1"/>
  <c r="H68" i="1"/>
  <c r="H59" i="1"/>
  <c r="H51" i="1"/>
  <c r="P24" i="5" l="1"/>
  <c r="F24" i="5" l="1"/>
  <c r="H13" i="5"/>
  <c r="H129" i="4"/>
  <c r="F427" i="3"/>
  <c r="H427" i="3"/>
  <c r="H269" i="3"/>
  <c r="H243" i="3"/>
  <c r="H242" i="3"/>
  <c r="H240" i="3"/>
  <c r="H202" i="3"/>
  <c r="H194" i="3"/>
  <c r="H181" i="3"/>
  <c r="H160" i="3"/>
  <c r="H148" i="3"/>
  <c r="H140" i="3"/>
  <c r="H133" i="3"/>
  <c r="H131" i="3"/>
  <c r="H128" i="3"/>
  <c r="H127" i="3"/>
  <c r="H112" i="3"/>
  <c r="H111" i="3"/>
  <c r="H109" i="3"/>
  <c r="H101" i="3"/>
  <c r="H100" i="3"/>
  <c r="H86" i="3"/>
  <c r="H84" i="3"/>
  <c r="H82" i="3"/>
  <c r="H80" i="3"/>
  <c r="H74" i="3"/>
  <c r="H73" i="3"/>
  <c r="F258" i="2"/>
  <c r="F257" i="2"/>
  <c r="H246" i="2"/>
  <c r="H240" i="2"/>
  <c r="H300" i="1"/>
  <c r="H299" i="1"/>
  <c r="H298" i="1"/>
  <c r="H297" i="1"/>
  <c r="H287" i="1"/>
  <c r="H286" i="1"/>
  <c r="H278" i="1"/>
  <c r="H269" i="1"/>
  <c r="H268" i="1"/>
  <c r="H262" i="1"/>
  <c r="H249" i="1"/>
  <c r="H248" i="1"/>
  <c r="H246" i="1"/>
  <c r="H242" i="1"/>
  <c r="H240" i="1"/>
  <c r="H100" i="1"/>
  <c r="F62" i="6" l="1"/>
  <c r="H23" i="5"/>
  <c r="F23" i="5"/>
  <c r="F426" i="3"/>
  <c r="F425" i="3"/>
  <c r="F256" i="2"/>
  <c r="F255" i="2"/>
  <c r="H208" i="2"/>
  <c r="H181" i="2"/>
  <c r="H178" i="2"/>
  <c r="H101" i="2"/>
  <c r="F310" i="1"/>
  <c r="H301" i="1"/>
  <c r="F301" i="1"/>
  <c r="H267" i="1"/>
  <c r="H265" i="1"/>
  <c r="H208" i="1"/>
  <c r="H204" i="1"/>
  <c r="H201" i="1"/>
  <c r="H200" i="1"/>
  <c r="H198" i="1"/>
  <c r="H183" i="1"/>
  <c r="H54" i="1"/>
  <c r="G27" i="5" l="1"/>
  <c r="I27" i="5" s="1"/>
  <c r="G26" i="5"/>
  <c r="I26" i="5" s="1"/>
  <c r="G25" i="5"/>
  <c r="I25" i="5" s="1"/>
  <c r="G24" i="5"/>
  <c r="I24" i="5" s="1"/>
  <c r="G23" i="5"/>
  <c r="I23" i="5" s="1"/>
  <c r="P300" i="1"/>
  <c r="O300" i="1"/>
  <c r="J23" i="5" l="1"/>
  <c r="K23" i="5"/>
  <c r="J24" i="5"/>
  <c r="K24" i="5"/>
  <c r="J25" i="5"/>
  <c r="K25" i="5"/>
  <c r="J27" i="5"/>
  <c r="K27" i="5"/>
  <c r="J26" i="5"/>
  <c r="K26" i="5"/>
  <c r="F22" i="5" l="1"/>
  <c r="H22" i="5"/>
  <c r="F418" i="3"/>
  <c r="H418" i="3"/>
  <c r="H392" i="3"/>
  <c r="H134" i="3"/>
  <c r="H221" i="2"/>
  <c r="H281" i="1"/>
  <c r="H277" i="1"/>
  <c r="H266" i="1"/>
  <c r="H263" i="1"/>
  <c r="H261" i="1"/>
  <c r="H258" i="1"/>
  <c r="H239" i="1"/>
  <c r="H238" i="1"/>
  <c r="H237" i="1"/>
  <c r="H228" i="1"/>
  <c r="H227" i="1"/>
  <c r="H226" i="1"/>
  <c r="H225" i="1"/>
  <c r="H218" i="1"/>
  <c r="H195" i="1"/>
  <c r="H194" i="1"/>
  <c r="H193" i="1"/>
  <c r="E158" i="4"/>
  <c r="H156" i="4"/>
  <c r="F156" i="4"/>
  <c r="G156" i="4" s="1"/>
  <c r="H155" i="4"/>
  <c r="F155" i="4"/>
  <c r="G155" i="4" s="1"/>
  <c r="H154" i="4"/>
  <c r="F154" i="4"/>
  <c r="G154" i="4" s="1"/>
  <c r="H153" i="4"/>
  <c r="F153" i="4"/>
  <c r="G153" i="4" s="1"/>
  <c r="H152" i="4"/>
  <c r="F152" i="4"/>
  <c r="G152" i="4" s="1"/>
  <c r="H151" i="4"/>
  <c r="F151" i="4"/>
  <c r="G151" i="4" s="1"/>
  <c r="H150" i="4"/>
  <c r="F150" i="4"/>
  <c r="G150" i="4" s="1"/>
  <c r="H149" i="4"/>
  <c r="H158" i="4" s="1"/>
  <c r="F149" i="4"/>
  <c r="F158" i="4" s="1"/>
  <c r="G147" i="4"/>
  <c r="I147" i="4" s="1"/>
  <c r="G146" i="4"/>
  <c r="I146" i="4" s="1"/>
  <c r="G145" i="4"/>
  <c r="I145" i="4" s="1"/>
  <c r="G144" i="4"/>
  <c r="F142" i="4"/>
  <c r="H445" i="3"/>
  <c r="E445" i="3"/>
  <c r="I150" i="4" l="1"/>
  <c r="J150" i="4" s="1"/>
  <c r="I151" i="4"/>
  <c r="I152" i="4"/>
  <c r="J152" i="4" s="1"/>
  <c r="I153" i="4"/>
  <c r="J153" i="4" s="1"/>
  <c r="I154" i="4"/>
  <c r="J154" i="4" s="1"/>
  <c r="I155" i="4"/>
  <c r="I156" i="4"/>
  <c r="J156" i="4" s="1"/>
  <c r="J145" i="4"/>
  <c r="K145" i="4"/>
  <c r="J147" i="4"/>
  <c r="K147" i="4"/>
  <c r="J146" i="4"/>
  <c r="K146" i="4"/>
  <c r="K150" i="4"/>
  <c r="J151" i="4"/>
  <c r="K151" i="4"/>
  <c r="K152" i="4"/>
  <c r="K154" i="4"/>
  <c r="J155" i="4"/>
  <c r="K155" i="4"/>
  <c r="K156" i="4"/>
  <c r="I144" i="4"/>
  <c r="G149" i="4"/>
  <c r="I149" i="4" s="1"/>
  <c r="G444" i="3"/>
  <c r="I444" i="3" s="1"/>
  <c r="G443" i="3"/>
  <c r="I443" i="3" s="1"/>
  <c r="G442" i="3"/>
  <c r="I442" i="3" s="1"/>
  <c r="G441" i="3"/>
  <c r="I441" i="3" s="1"/>
  <c r="G440" i="3"/>
  <c r="I440" i="3" s="1"/>
  <c r="G439" i="3"/>
  <c r="I439" i="3" s="1"/>
  <c r="G438" i="3"/>
  <c r="I438" i="3" s="1"/>
  <c r="G437" i="3"/>
  <c r="I437" i="3" s="1"/>
  <c r="G436" i="3"/>
  <c r="I436" i="3" s="1"/>
  <c r="G435" i="3"/>
  <c r="I435" i="3" s="1"/>
  <c r="G434" i="3"/>
  <c r="I434" i="3" s="1"/>
  <c r="G433" i="3"/>
  <c r="I433" i="3" s="1"/>
  <c r="G432" i="3"/>
  <c r="I432" i="3" s="1"/>
  <c r="G431" i="3"/>
  <c r="I431" i="3" s="1"/>
  <c r="J431" i="3" s="1"/>
  <c r="G430" i="3"/>
  <c r="I430" i="3" s="1"/>
  <c r="G429" i="3"/>
  <c r="I429" i="3" s="1"/>
  <c r="G428" i="3"/>
  <c r="I428" i="3" s="1"/>
  <c r="F445" i="3"/>
  <c r="G426" i="3"/>
  <c r="I426" i="3" s="1"/>
  <c r="G425" i="3"/>
  <c r="F423" i="3"/>
  <c r="E267" i="2"/>
  <c r="E324" i="1"/>
  <c r="H267" i="2"/>
  <c r="G266" i="2"/>
  <c r="I266" i="2" s="1"/>
  <c r="G265" i="2"/>
  <c r="I265" i="2" s="1"/>
  <c r="G264" i="2"/>
  <c r="I264" i="2" s="1"/>
  <c r="G263" i="2"/>
  <c r="I263" i="2" s="1"/>
  <c r="G262" i="2"/>
  <c r="I262" i="2" s="1"/>
  <c r="G261" i="2"/>
  <c r="I261" i="2" s="1"/>
  <c r="G260" i="2"/>
  <c r="I260" i="2" s="1"/>
  <c r="G259" i="2"/>
  <c r="I259" i="2" s="1"/>
  <c r="G258" i="2"/>
  <c r="I258" i="2" s="1"/>
  <c r="G257" i="2"/>
  <c r="I257" i="2" s="1"/>
  <c r="G256" i="2"/>
  <c r="I256" i="2" s="1"/>
  <c r="G255" i="2"/>
  <c r="I255" i="2" s="1"/>
  <c r="G254" i="2"/>
  <c r="I254" i="2" s="1"/>
  <c r="F253" i="2"/>
  <c r="G323" i="1"/>
  <c r="I323" i="1" s="1"/>
  <c r="G322" i="1"/>
  <c r="I322" i="1" s="1"/>
  <c r="G321" i="1"/>
  <c r="I321" i="1" s="1"/>
  <c r="G320" i="1"/>
  <c r="I320" i="1" s="1"/>
  <c r="G319" i="1"/>
  <c r="I319" i="1" s="1"/>
  <c r="G318" i="1"/>
  <c r="I318" i="1" s="1"/>
  <c r="G317" i="1"/>
  <c r="I317" i="1" s="1"/>
  <c r="G316" i="1"/>
  <c r="I316" i="1" s="1"/>
  <c r="G315" i="1"/>
  <c r="I315" i="1" s="1"/>
  <c r="G314" i="1"/>
  <c r="I314" i="1" s="1"/>
  <c r="G313" i="1"/>
  <c r="G312" i="1"/>
  <c r="G311" i="1"/>
  <c r="G310" i="1"/>
  <c r="F308" i="1"/>
  <c r="K153" i="4" l="1"/>
  <c r="G427" i="3"/>
  <c r="I427" i="3" s="1"/>
  <c r="J427" i="3" s="1"/>
  <c r="F267" i="2"/>
  <c r="I425" i="3"/>
  <c r="I445" i="3" s="1"/>
  <c r="I158" i="4"/>
  <c r="J144" i="4"/>
  <c r="K144" i="4"/>
  <c r="J149" i="4"/>
  <c r="K149" i="4"/>
  <c r="G158" i="4"/>
  <c r="K428" i="3"/>
  <c r="J428" i="3"/>
  <c r="K429" i="3"/>
  <c r="J429" i="3"/>
  <c r="K430" i="3"/>
  <c r="J430" i="3"/>
  <c r="J433" i="3"/>
  <c r="K433" i="3"/>
  <c r="J435" i="3"/>
  <c r="K435" i="3"/>
  <c r="K436" i="3"/>
  <c r="J436" i="3"/>
  <c r="K437" i="3"/>
  <c r="J437" i="3"/>
  <c r="K438" i="3"/>
  <c r="J438" i="3"/>
  <c r="K439" i="3"/>
  <c r="J439" i="3"/>
  <c r="K440" i="3"/>
  <c r="J440" i="3"/>
  <c r="K441" i="3"/>
  <c r="J441" i="3"/>
  <c r="K442" i="3"/>
  <c r="J442" i="3"/>
  <c r="K443" i="3"/>
  <c r="J443" i="3"/>
  <c r="K444" i="3"/>
  <c r="J444" i="3"/>
  <c r="J426" i="3"/>
  <c r="K426" i="3"/>
  <c r="J432" i="3"/>
  <c r="K432" i="3"/>
  <c r="J434" i="3"/>
  <c r="K434" i="3"/>
  <c r="K431" i="3"/>
  <c r="I267" i="2"/>
  <c r="G267" i="2"/>
  <c r="K254" i="2"/>
  <c r="J254" i="2"/>
  <c r="J256" i="2"/>
  <c r="K256" i="2"/>
  <c r="K257" i="2"/>
  <c r="J257" i="2"/>
  <c r="K258" i="2"/>
  <c r="J258" i="2"/>
  <c r="K262" i="2"/>
  <c r="J262" i="2"/>
  <c r="K263" i="2"/>
  <c r="J263" i="2"/>
  <c r="K264" i="2"/>
  <c r="J264" i="2"/>
  <c r="K265" i="2"/>
  <c r="J265" i="2"/>
  <c r="K266" i="2"/>
  <c r="J266" i="2"/>
  <c r="J255" i="2"/>
  <c r="K255" i="2"/>
  <c r="K259" i="2"/>
  <c r="J259" i="2"/>
  <c r="K260" i="2"/>
  <c r="J260" i="2"/>
  <c r="K261" i="2"/>
  <c r="J261" i="2"/>
  <c r="H324" i="1"/>
  <c r="I311" i="1"/>
  <c r="K311" i="1" s="1"/>
  <c r="I312" i="1"/>
  <c r="J312" i="1" s="1"/>
  <c r="I313" i="1"/>
  <c r="J313" i="1" s="1"/>
  <c r="J315" i="1"/>
  <c r="K315" i="1"/>
  <c r="J317" i="1"/>
  <c r="K317" i="1"/>
  <c r="J319" i="1"/>
  <c r="K319" i="1"/>
  <c r="J321" i="1"/>
  <c r="K321" i="1"/>
  <c r="J323" i="1"/>
  <c r="K323" i="1"/>
  <c r="G324" i="1"/>
  <c r="K314" i="1"/>
  <c r="J314" i="1"/>
  <c r="J316" i="1"/>
  <c r="K316" i="1"/>
  <c r="J318" i="1"/>
  <c r="K318" i="1"/>
  <c r="J320" i="1"/>
  <c r="K320" i="1"/>
  <c r="J322" i="1"/>
  <c r="K322" i="1"/>
  <c r="F324" i="1"/>
  <c r="I310" i="1"/>
  <c r="K425" i="3" l="1"/>
  <c r="K427" i="3"/>
  <c r="G445" i="3"/>
  <c r="K312" i="1"/>
  <c r="K158" i="4"/>
  <c r="J425" i="3"/>
  <c r="J445" i="3" s="1"/>
  <c r="J158" i="4"/>
  <c r="K267" i="2"/>
  <c r="K313" i="1"/>
  <c r="J311" i="1"/>
  <c r="J267" i="2"/>
  <c r="I324" i="1"/>
  <c r="K310" i="1"/>
  <c r="J310" i="1"/>
  <c r="K324" i="1" l="1"/>
  <c r="J324" i="1"/>
  <c r="K445" i="3"/>
  <c r="N239" i="1"/>
  <c r="N238" i="1"/>
  <c r="N237" i="1"/>
  <c r="O237" i="1" s="1"/>
  <c r="H21" i="5" l="1"/>
  <c r="F21" i="5"/>
  <c r="G21" i="5" s="1"/>
  <c r="G22" i="5"/>
  <c r="I22" i="5" s="1"/>
  <c r="I21" i="5" l="1"/>
  <c r="K21" i="5" s="1"/>
  <c r="K22" i="5"/>
  <c r="J22" i="5"/>
  <c r="J21" i="5" l="1"/>
  <c r="O281" i="1"/>
  <c r="N281" i="1"/>
  <c r="H34" i="5" l="1"/>
  <c r="F34" i="5"/>
  <c r="G34" i="5" s="1"/>
  <c r="I34" i="5" l="1"/>
  <c r="J34" i="5" s="1"/>
  <c r="F61" i="6"/>
  <c r="F24" i="6"/>
  <c r="F23" i="6"/>
  <c r="F22" i="6"/>
  <c r="F21" i="6"/>
  <c r="H24" i="6"/>
  <c r="H23" i="6"/>
  <c r="H22" i="6"/>
  <c r="H21" i="6"/>
  <c r="F35" i="5"/>
  <c r="F20" i="5"/>
  <c r="F19" i="5"/>
  <c r="F18" i="5"/>
  <c r="F17" i="5"/>
  <c r="F16" i="5"/>
  <c r="F15" i="5"/>
  <c r="F14" i="5"/>
  <c r="F7" i="5"/>
  <c r="H35" i="5"/>
  <c r="H20" i="5"/>
  <c r="H19" i="5"/>
  <c r="H18" i="5"/>
  <c r="H17" i="5"/>
  <c r="H16" i="5"/>
  <c r="H15" i="5"/>
  <c r="H14" i="5"/>
  <c r="H7" i="5"/>
  <c r="F44" i="4"/>
  <c r="F35" i="4"/>
  <c r="F34" i="4"/>
  <c r="H44" i="4"/>
  <c r="H35" i="4"/>
  <c r="H34" i="4"/>
  <c r="F26" i="4"/>
  <c r="F27" i="4"/>
  <c r="F25" i="4"/>
  <c r="F24" i="4"/>
  <c r="F23" i="4"/>
  <c r="F21" i="4"/>
  <c r="F20" i="4"/>
  <c r="F18" i="4"/>
  <c r="F17" i="4"/>
  <c r="F8" i="4"/>
  <c r="H27" i="4"/>
  <c r="H26" i="4"/>
  <c r="H25" i="4"/>
  <c r="H24" i="4"/>
  <c r="H23" i="4"/>
  <c r="H21" i="4"/>
  <c r="H20" i="4"/>
  <c r="H18" i="4"/>
  <c r="H17" i="4"/>
  <c r="H8" i="4"/>
  <c r="F136" i="4"/>
  <c r="H136" i="4"/>
  <c r="F417" i="3"/>
  <c r="F416" i="3"/>
  <c r="F412" i="3"/>
  <c r="H417" i="3"/>
  <c r="H416" i="3"/>
  <c r="H412" i="3"/>
  <c r="H408" i="3"/>
  <c r="H407" i="3"/>
  <c r="K34" i="5" l="1"/>
  <c r="F248" i="2"/>
  <c r="F247" i="2"/>
  <c r="F246" i="2"/>
  <c r="F245" i="2"/>
  <c r="F244" i="2"/>
  <c r="H248" i="2"/>
  <c r="H247" i="2"/>
  <c r="F115" i="2"/>
  <c r="F105" i="2"/>
  <c r="H105" i="2"/>
  <c r="F92" i="2"/>
  <c r="H87" i="2"/>
  <c r="H86" i="2"/>
  <c r="H290" i="1"/>
  <c r="H289" i="1"/>
  <c r="H288" i="1"/>
  <c r="H285" i="1"/>
  <c r="H283" i="1"/>
  <c r="H282" i="1"/>
  <c r="H279" i="1"/>
  <c r="H270" i="1"/>
  <c r="H264" i="1"/>
  <c r="H244" i="1"/>
  <c r="H243" i="1"/>
  <c r="H230" i="1"/>
  <c r="H229" i="1"/>
  <c r="H223" i="1"/>
  <c r="H221" i="1"/>
  <c r="H217" i="1"/>
  <c r="H210" i="1"/>
  <c r="H207" i="1"/>
  <c r="H206" i="1"/>
  <c r="H203" i="1"/>
  <c r="H199" i="1"/>
  <c r="G35" i="5" l="1"/>
  <c r="I35" i="5" l="1"/>
  <c r="G20" i="5"/>
  <c r="I20" i="5" s="1"/>
  <c r="K20" i="5" s="1"/>
  <c r="G19" i="5"/>
  <c r="I19" i="5" s="1"/>
  <c r="G18" i="5"/>
  <c r="I18" i="5" s="1"/>
  <c r="K18" i="5" s="1"/>
  <c r="G17" i="5"/>
  <c r="I17" i="5" s="1"/>
  <c r="G16" i="5"/>
  <c r="I16" i="5" s="1"/>
  <c r="K16" i="5" s="1"/>
  <c r="F28" i="4"/>
  <c r="G23" i="4"/>
  <c r="I23" i="4" s="1"/>
  <c r="K23" i="4" s="1"/>
  <c r="G24" i="4"/>
  <c r="I24" i="4" s="1"/>
  <c r="J24" i="4" s="1"/>
  <c r="G25" i="4"/>
  <c r="I25" i="4" s="1"/>
  <c r="K25" i="4" s="1"/>
  <c r="G26" i="4"/>
  <c r="I26" i="4" s="1"/>
  <c r="J26" i="4" s="1"/>
  <c r="G22" i="4"/>
  <c r="I22" i="4" s="1"/>
  <c r="E28" i="4"/>
  <c r="H45" i="4"/>
  <c r="G246" i="2"/>
  <c r="I246" i="2" s="1"/>
  <c r="J246" i="2" s="1"/>
  <c r="G247" i="2"/>
  <c r="I247" i="2" s="1"/>
  <c r="G248" i="2"/>
  <c r="I248" i="2" s="1"/>
  <c r="J248" i="2" s="1"/>
  <c r="E249" i="2"/>
  <c r="K35" i="5" l="1"/>
  <c r="J35" i="5"/>
  <c r="K19" i="5"/>
  <c r="J19" i="5"/>
  <c r="K17" i="5"/>
  <c r="J17" i="5"/>
  <c r="J16" i="5"/>
  <c r="J18" i="5"/>
  <c r="J20" i="5"/>
  <c r="J23" i="4"/>
  <c r="K24" i="4"/>
  <c r="J25" i="4"/>
  <c r="K26" i="4"/>
  <c r="K22" i="4"/>
  <c r="J22" i="4"/>
  <c r="K247" i="2"/>
  <c r="J247" i="2"/>
  <c r="K246" i="2"/>
  <c r="K248" i="2"/>
  <c r="G418" i="3" l="1"/>
  <c r="I418" i="3" s="1"/>
  <c r="K418" i="3" s="1"/>
  <c r="G417" i="3"/>
  <c r="I417" i="3" s="1"/>
  <c r="K417" i="3" s="1"/>
  <c r="J417" i="3" l="1"/>
  <c r="J418" i="3"/>
  <c r="N270" i="1"/>
  <c r="P301" i="1" l="1"/>
  <c r="G416" i="3"/>
  <c r="I416" i="3" s="1"/>
  <c r="K416" i="3" s="1"/>
  <c r="J416" i="3" l="1"/>
  <c r="G245" i="2" l="1"/>
  <c r="I245" i="2" s="1"/>
  <c r="K245" i="2" l="1"/>
  <c r="J245" i="2"/>
  <c r="H33" i="7"/>
  <c r="H41" i="6"/>
  <c r="F135" i="4"/>
  <c r="H135" i="4"/>
  <c r="F415" i="3"/>
  <c r="F414" i="3"/>
  <c r="F413" i="3"/>
  <c r="F411" i="3"/>
  <c r="H415" i="3"/>
  <c r="H414" i="3"/>
  <c r="H413" i="3"/>
  <c r="H411" i="3"/>
  <c r="H409" i="3"/>
  <c r="H326" i="3"/>
  <c r="H241" i="2"/>
  <c r="F243" i="2"/>
  <c r="H245" i="1" l="1"/>
  <c r="H397" i="3" l="1"/>
  <c r="G243" i="2" l="1"/>
  <c r="I243" i="2" s="1"/>
  <c r="K243" i="2" s="1"/>
  <c r="F242" i="2"/>
  <c r="G244" i="2"/>
  <c r="I244" i="2" s="1"/>
  <c r="J244" i="2" s="1"/>
  <c r="G242" i="2"/>
  <c r="I242" i="2" s="1"/>
  <c r="J243" i="2" l="1"/>
  <c r="K244" i="2"/>
  <c r="K242" i="2"/>
  <c r="J242" i="2"/>
  <c r="G415" i="3" l="1"/>
  <c r="I415" i="3" s="1"/>
  <c r="G414" i="3"/>
  <c r="I414" i="3" s="1"/>
  <c r="G413" i="3"/>
  <c r="I413" i="3" s="1"/>
  <c r="G412" i="3"/>
  <c r="I412" i="3" s="1"/>
  <c r="G411" i="3"/>
  <c r="I411" i="3" s="1"/>
  <c r="J414" i="3" l="1"/>
  <c r="K414" i="3"/>
  <c r="K411" i="3"/>
  <c r="J411" i="3"/>
  <c r="J412" i="3"/>
  <c r="K412" i="3"/>
  <c r="K413" i="3"/>
  <c r="J413" i="3"/>
  <c r="K415" i="3"/>
  <c r="J415" i="3"/>
  <c r="H56" i="6" l="1"/>
  <c r="H53" i="6"/>
  <c r="H54" i="6"/>
  <c r="H52" i="6"/>
  <c r="H42" i="6"/>
  <c r="H43" i="6"/>
  <c r="H44" i="6"/>
  <c r="H28" i="6"/>
  <c r="H27" i="6"/>
  <c r="H26" i="6"/>
  <c r="H25" i="6"/>
  <c r="H20" i="6"/>
  <c r="H19" i="6"/>
  <c r="H18" i="6"/>
  <c r="H17" i="6"/>
  <c r="H10" i="6"/>
  <c r="H9" i="6"/>
  <c r="H8" i="6"/>
  <c r="H7" i="6"/>
  <c r="H6" i="6"/>
  <c r="F13" i="5"/>
  <c r="F410" i="3"/>
  <c r="F409" i="3"/>
  <c r="H410" i="3"/>
  <c r="H388" i="3"/>
  <c r="H238" i="2"/>
  <c r="F300" i="1"/>
  <c r="F258" i="1"/>
  <c r="H250" i="1"/>
  <c r="F250" i="1"/>
  <c r="F227" i="1"/>
  <c r="F226" i="1"/>
  <c r="F218" i="1"/>
  <c r="H209" i="1"/>
  <c r="F209" i="1"/>
  <c r="H202" i="1"/>
  <c r="H211" i="1" s="1"/>
  <c r="F203" i="1"/>
  <c r="F202" i="1"/>
  <c r="F201" i="1"/>
  <c r="F194" i="1"/>
  <c r="D300" i="1" l="1"/>
  <c r="P238" i="2" l="1"/>
  <c r="R235" i="2"/>
  <c r="H52" i="7" l="1"/>
  <c r="H406" i="3"/>
  <c r="F408" i="3"/>
  <c r="F407" i="3"/>
  <c r="F406" i="3"/>
  <c r="F335" i="3"/>
  <c r="F310" i="3"/>
  <c r="F291" i="3"/>
  <c r="F252" i="3"/>
  <c r="F224" i="3"/>
  <c r="F121" i="3"/>
  <c r="F88" i="3"/>
  <c r="F66" i="3"/>
  <c r="F241" i="2"/>
  <c r="F240" i="2"/>
  <c r="F187" i="1"/>
  <c r="F172" i="1"/>
  <c r="F160" i="1"/>
  <c r="F124" i="1"/>
  <c r="F102" i="1"/>
  <c r="F81" i="1"/>
  <c r="F62" i="1"/>
  <c r="F44" i="1"/>
  <c r="G410" i="3" l="1"/>
  <c r="I410" i="3" s="1"/>
  <c r="G409" i="3"/>
  <c r="I409" i="3" s="1"/>
  <c r="G408" i="3"/>
  <c r="I408" i="3" s="1"/>
  <c r="G241" i="2"/>
  <c r="I241" i="2" s="1"/>
  <c r="G240" i="2"/>
  <c r="I240" i="2" s="1"/>
  <c r="K408" i="3" l="1"/>
  <c r="J408" i="3"/>
  <c r="J409" i="3"/>
  <c r="K409" i="3"/>
  <c r="K410" i="3"/>
  <c r="J410" i="3"/>
  <c r="K240" i="2"/>
  <c r="J240" i="2"/>
  <c r="K241" i="2"/>
  <c r="J241" i="2"/>
  <c r="X16" i="8" l="1"/>
  <c r="W16" i="8"/>
  <c r="X15" i="8"/>
  <c r="W15" i="8"/>
  <c r="X14" i="8"/>
  <c r="W14" i="8"/>
  <c r="X13" i="8"/>
  <c r="W13" i="8"/>
  <c r="X12" i="8"/>
  <c r="W12" i="8"/>
  <c r="X11" i="8"/>
  <c r="W11" i="8"/>
  <c r="X10" i="8"/>
  <c r="W10" i="8"/>
  <c r="X9" i="8"/>
  <c r="W9" i="8"/>
  <c r="X8" i="8"/>
  <c r="W8" i="8"/>
  <c r="H134" i="4" l="1"/>
  <c r="F134" i="4"/>
  <c r="F223" i="1"/>
  <c r="H220" i="1"/>
  <c r="F35" i="6" l="1"/>
  <c r="F11" i="6"/>
  <c r="F231" i="1"/>
  <c r="H33" i="6" l="1"/>
  <c r="H32" i="6"/>
  <c r="H31" i="6"/>
  <c r="H30" i="6"/>
  <c r="H29" i="6"/>
  <c r="H16" i="6"/>
  <c r="F133" i="4"/>
  <c r="F132" i="4"/>
  <c r="H133" i="4"/>
  <c r="H116" i="4"/>
  <c r="H107" i="4"/>
  <c r="H105" i="4"/>
  <c r="H88" i="4"/>
  <c r="H87" i="4"/>
  <c r="H54" i="4"/>
  <c r="H52" i="4"/>
  <c r="H16" i="4"/>
  <c r="H15" i="4"/>
  <c r="H14" i="4"/>
  <c r="H13" i="4"/>
  <c r="H12" i="4"/>
  <c r="H10" i="4"/>
  <c r="H9" i="4"/>
  <c r="G7" i="4"/>
  <c r="G8" i="4"/>
  <c r="G9" i="4"/>
  <c r="G10" i="4"/>
  <c r="G11" i="4"/>
  <c r="G12" i="4"/>
  <c r="G13" i="4"/>
  <c r="G14" i="4"/>
  <c r="G15" i="4"/>
  <c r="G16" i="4"/>
  <c r="G17" i="4"/>
  <c r="G18" i="4"/>
  <c r="G19" i="4"/>
  <c r="G20" i="4"/>
  <c r="G21" i="4"/>
  <c r="G27" i="4"/>
  <c r="H35" i="3"/>
  <c r="H405" i="3"/>
  <c r="H404" i="3"/>
  <c r="F405" i="3"/>
  <c r="F404" i="3"/>
  <c r="F238" i="2"/>
  <c r="F195" i="2"/>
  <c r="H28" i="4" l="1"/>
  <c r="H55" i="4"/>
  <c r="F196" i="2" l="1"/>
  <c r="H196" i="2"/>
  <c r="F251" i="1"/>
  <c r="H251" i="1"/>
  <c r="G63" i="6" l="1"/>
  <c r="I63" i="6" s="1"/>
  <c r="K63" i="6" s="1"/>
  <c r="G64" i="6"/>
  <c r="I64" i="6" s="1"/>
  <c r="J64" i="6" s="1"/>
  <c r="G65" i="6"/>
  <c r="I65" i="6" s="1"/>
  <c r="K65" i="6" s="1"/>
  <c r="G66" i="6"/>
  <c r="I66" i="6" s="1"/>
  <c r="J66" i="6" s="1"/>
  <c r="J63" i="6" l="1"/>
  <c r="K64" i="6"/>
  <c r="J65" i="6"/>
  <c r="K66" i="6"/>
  <c r="E419" i="3"/>
  <c r="E138" i="4"/>
  <c r="G133" i="4"/>
  <c r="G134" i="4"/>
  <c r="G135" i="4"/>
  <c r="G136" i="4"/>
  <c r="G407" i="3" l="1"/>
  <c r="I407" i="3" s="1"/>
  <c r="G406" i="3"/>
  <c r="I406" i="3" s="1"/>
  <c r="G405" i="3"/>
  <c r="I405" i="3" s="1"/>
  <c r="G404" i="3"/>
  <c r="I404" i="3" s="1"/>
  <c r="I133" i="4"/>
  <c r="J133" i="4" s="1"/>
  <c r="I134" i="4"/>
  <c r="J134" i="4" s="1"/>
  <c r="I135" i="4"/>
  <c r="J135" i="4" s="1"/>
  <c r="I136" i="4"/>
  <c r="J136" i="4" s="1"/>
  <c r="H389" i="3"/>
  <c r="K134" i="4" l="1"/>
  <c r="K136" i="4"/>
  <c r="K133" i="4"/>
  <c r="K135" i="4"/>
  <c r="K404" i="3"/>
  <c r="J404" i="3"/>
  <c r="J405" i="3"/>
  <c r="K405" i="3"/>
  <c r="J406" i="3"/>
  <c r="K406" i="3"/>
  <c r="J407" i="3"/>
  <c r="K407" i="3"/>
  <c r="H61" i="4" l="1"/>
  <c r="F61" i="4"/>
  <c r="H143" i="3"/>
  <c r="H139" i="3"/>
  <c r="F143" i="3"/>
  <c r="F139" i="3"/>
  <c r="F54" i="7"/>
  <c r="H54" i="7"/>
  <c r="F131" i="4"/>
  <c r="F130" i="4"/>
  <c r="F129" i="4"/>
  <c r="H131" i="4"/>
  <c r="H130" i="4"/>
  <c r="H403" i="3"/>
  <c r="H402" i="3"/>
  <c r="H401" i="3"/>
  <c r="H400" i="3"/>
  <c r="H399" i="3"/>
  <c r="H398" i="3"/>
  <c r="H391" i="3"/>
  <c r="H390" i="3"/>
  <c r="F403" i="3"/>
  <c r="F402" i="3"/>
  <c r="F401" i="3"/>
  <c r="F400" i="3"/>
  <c r="F399" i="3"/>
  <c r="F398" i="3"/>
  <c r="F392" i="3"/>
  <c r="F389" i="3"/>
  <c r="F178" i="2"/>
  <c r="F239" i="2"/>
  <c r="F237" i="2"/>
  <c r="H239" i="2"/>
  <c r="B36" i="8"/>
  <c r="F233" i="2"/>
  <c r="H138" i="4" l="1"/>
  <c r="F138" i="4"/>
  <c r="G58" i="8"/>
  <c r="F58" i="8"/>
  <c r="E58" i="8"/>
  <c r="D58" i="8"/>
  <c r="C58" i="8"/>
  <c r="B58" i="8"/>
  <c r="F182" i="3"/>
  <c r="F45" i="4"/>
  <c r="F66" i="4"/>
  <c r="F183" i="2"/>
  <c r="E183" i="2"/>
  <c r="H68" i="6"/>
  <c r="E68" i="6"/>
  <c r="G132" i="4"/>
  <c r="I132" i="4" s="1"/>
  <c r="J132" i="4" l="1"/>
  <c r="K132" i="4"/>
  <c r="G62" i="6"/>
  <c r="I62" i="6" s="1"/>
  <c r="G131" i="4"/>
  <c r="I131" i="4" s="1"/>
  <c r="G130" i="4"/>
  <c r="I130" i="4" s="1"/>
  <c r="G129" i="4"/>
  <c r="I129" i="4" s="1"/>
  <c r="J62" i="6" l="1"/>
  <c r="K62" i="6"/>
  <c r="J130" i="4"/>
  <c r="K130" i="4"/>
  <c r="J129" i="4"/>
  <c r="K129" i="4"/>
  <c r="J131" i="4"/>
  <c r="K131" i="4"/>
  <c r="H53" i="7" l="1"/>
  <c r="F52" i="7"/>
  <c r="L16" i="8"/>
  <c r="K16" i="8"/>
  <c r="J16" i="8"/>
  <c r="F53" i="7" l="1"/>
  <c r="H65" i="4"/>
  <c r="F397" i="3"/>
  <c r="F396" i="3"/>
  <c r="F395" i="3"/>
  <c r="F394" i="3"/>
  <c r="F391" i="3"/>
  <c r="H396" i="3"/>
  <c r="H395" i="3"/>
  <c r="H394" i="3"/>
  <c r="F236" i="2"/>
  <c r="F235" i="2"/>
  <c r="H234" i="2"/>
  <c r="H233" i="2"/>
  <c r="H161" i="2"/>
  <c r="F299" i="1"/>
  <c r="F419" i="3" l="1"/>
  <c r="F249" i="2"/>
  <c r="H419" i="3"/>
  <c r="H249" i="2"/>
  <c r="F68" i="6"/>
  <c r="G388" i="3"/>
  <c r="G126" i="4" l="1"/>
  <c r="I126" i="4" s="1"/>
  <c r="G125" i="4"/>
  <c r="I125" i="4" s="1"/>
  <c r="J126" i="4" l="1"/>
  <c r="K126" i="4"/>
  <c r="J125" i="4"/>
  <c r="K125" i="4"/>
  <c r="D270" i="1" l="1"/>
  <c r="G236" i="2"/>
  <c r="C298" i="1" l="1"/>
  <c r="C297" i="1"/>
  <c r="H67" i="7" l="1"/>
  <c r="F67" i="7"/>
  <c r="E67" i="7"/>
  <c r="G66" i="7"/>
  <c r="I66" i="7" s="1"/>
  <c r="G65" i="7"/>
  <c r="I65" i="7" s="1"/>
  <c r="G64" i="7"/>
  <c r="I64" i="7" s="1"/>
  <c r="G63" i="7"/>
  <c r="I63" i="7" s="1"/>
  <c r="G62" i="7"/>
  <c r="I62" i="7" s="1"/>
  <c r="G61" i="7"/>
  <c r="I61" i="7" s="1"/>
  <c r="G60" i="7"/>
  <c r="I60" i="7" s="1"/>
  <c r="G59" i="7"/>
  <c r="I59" i="7" s="1"/>
  <c r="G58" i="7"/>
  <c r="I58" i="7" s="1"/>
  <c r="G57" i="7"/>
  <c r="I57" i="7" s="1"/>
  <c r="G56" i="7"/>
  <c r="I56" i="7" s="1"/>
  <c r="G55" i="7"/>
  <c r="I55" i="7" s="1"/>
  <c r="G54" i="7"/>
  <c r="I54" i="7" s="1"/>
  <c r="L54" i="7" s="1"/>
  <c r="G53" i="7"/>
  <c r="I53" i="7" s="1"/>
  <c r="L53" i="7" s="1"/>
  <c r="G52" i="7"/>
  <c r="I52" i="7" s="1"/>
  <c r="G51" i="7"/>
  <c r="I51" i="7" s="1"/>
  <c r="L51" i="7" s="1"/>
  <c r="F49" i="7"/>
  <c r="F2" i="7"/>
  <c r="F2" i="6"/>
  <c r="G2" i="5"/>
  <c r="F59" i="4"/>
  <c r="G2" i="4"/>
  <c r="G2" i="3"/>
  <c r="G2" i="2"/>
  <c r="G403" i="3"/>
  <c r="I403" i="3" s="1"/>
  <c r="K403" i="3" s="1"/>
  <c r="G402" i="3"/>
  <c r="I402" i="3" s="1"/>
  <c r="K402" i="3" s="1"/>
  <c r="G401" i="3"/>
  <c r="I401" i="3" s="1"/>
  <c r="G400" i="3"/>
  <c r="I400" i="3" s="1"/>
  <c r="K400" i="3" s="1"/>
  <c r="G399" i="3"/>
  <c r="I399" i="3" s="1"/>
  <c r="K399" i="3" s="1"/>
  <c r="G398" i="3"/>
  <c r="I398" i="3" s="1"/>
  <c r="K398" i="3" s="1"/>
  <c r="G397" i="3"/>
  <c r="I397" i="3" s="1"/>
  <c r="G396" i="3"/>
  <c r="I396" i="3" s="1"/>
  <c r="K396" i="3" s="1"/>
  <c r="G395" i="3"/>
  <c r="I395" i="3" s="1"/>
  <c r="K395" i="3" s="1"/>
  <c r="G394" i="3"/>
  <c r="I394" i="3" s="1"/>
  <c r="K394" i="3" s="1"/>
  <c r="G393" i="3"/>
  <c r="I393" i="3" s="1"/>
  <c r="K393" i="3" s="1"/>
  <c r="G392" i="3"/>
  <c r="I392" i="3" s="1"/>
  <c r="G391" i="3"/>
  <c r="I391" i="3" s="1"/>
  <c r="G390" i="3"/>
  <c r="I390" i="3" s="1"/>
  <c r="K390" i="3" s="1"/>
  <c r="G389" i="3"/>
  <c r="I389" i="3" s="1"/>
  <c r="K389" i="3" s="1"/>
  <c r="I388" i="3"/>
  <c r="G387" i="3"/>
  <c r="F385" i="3"/>
  <c r="O15" i="8"/>
  <c r="N15" i="8"/>
  <c r="M15" i="8"/>
  <c r="H36" i="5"/>
  <c r="E12" i="8" s="1"/>
  <c r="E53" i="8" s="1"/>
  <c r="F36" i="5"/>
  <c r="E36" i="5"/>
  <c r="B12" i="8" s="1"/>
  <c r="B53" i="8" s="1"/>
  <c r="G15" i="5"/>
  <c r="I15" i="5" s="1"/>
  <c r="J15" i="5" s="1"/>
  <c r="G14" i="5"/>
  <c r="I14" i="5" s="1"/>
  <c r="K14" i="5" s="1"/>
  <c r="G13" i="5"/>
  <c r="I13" i="5" s="1"/>
  <c r="J13" i="5" s="1"/>
  <c r="G127" i="4"/>
  <c r="I127" i="4" s="1"/>
  <c r="G124" i="4"/>
  <c r="F122" i="4"/>
  <c r="C12" i="8" l="1"/>
  <c r="C53" i="8" s="1"/>
  <c r="G138" i="4"/>
  <c r="G419" i="3"/>
  <c r="K391" i="3"/>
  <c r="K397" i="3"/>
  <c r="M397" i="3"/>
  <c r="K401" i="3"/>
  <c r="C33" i="8"/>
  <c r="K388" i="3"/>
  <c r="K392" i="3"/>
  <c r="M392" i="3"/>
  <c r="J14" i="5"/>
  <c r="I124" i="4"/>
  <c r="I138" i="4" s="1"/>
  <c r="K52" i="7"/>
  <c r="J52" i="7"/>
  <c r="K51" i="7"/>
  <c r="I67" i="7"/>
  <c r="J51" i="7"/>
  <c r="K53" i="7"/>
  <c r="J53" i="7"/>
  <c r="K55" i="7"/>
  <c r="J55" i="7"/>
  <c r="K57" i="7"/>
  <c r="J57" i="7"/>
  <c r="K59" i="7"/>
  <c r="J59" i="7"/>
  <c r="K61" i="7"/>
  <c r="J61" i="7"/>
  <c r="K63" i="7"/>
  <c r="J63" i="7"/>
  <c r="K65" i="7"/>
  <c r="J65" i="7"/>
  <c r="K54" i="7"/>
  <c r="J54" i="7"/>
  <c r="K56" i="7"/>
  <c r="J56" i="7"/>
  <c r="K58" i="7"/>
  <c r="J58" i="7"/>
  <c r="K60" i="7"/>
  <c r="J60" i="7"/>
  <c r="K62" i="7"/>
  <c r="J62" i="7"/>
  <c r="K64" i="7"/>
  <c r="J64" i="7"/>
  <c r="K66" i="7"/>
  <c r="J66" i="7"/>
  <c r="G67" i="7"/>
  <c r="I387" i="3"/>
  <c r="J388" i="3"/>
  <c r="J389" i="3"/>
  <c r="J390" i="3"/>
  <c r="J391" i="3"/>
  <c r="J392" i="3"/>
  <c r="J393" i="3"/>
  <c r="J394" i="3"/>
  <c r="J395" i="3"/>
  <c r="J396" i="3"/>
  <c r="J397" i="3"/>
  <c r="J398" i="3"/>
  <c r="J399" i="3"/>
  <c r="J400" i="3"/>
  <c r="J401" i="3"/>
  <c r="J402" i="3"/>
  <c r="J403" i="3"/>
  <c r="K13" i="5"/>
  <c r="K15" i="5"/>
  <c r="K124" i="4"/>
  <c r="K127" i="4"/>
  <c r="J127" i="4"/>
  <c r="D12" i="8" l="1"/>
  <c r="D53" i="8" s="1"/>
  <c r="J124" i="4"/>
  <c r="I419" i="3"/>
  <c r="J138" i="4"/>
  <c r="K138" i="4"/>
  <c r="J67" i="7"/>
  <c r="K67" i="7"/>
  <c r="J387" i="3"/>
  <c r="J419" i="3" s="1"/>
  <c r="K387" i="3"/>
  <c r="K419" i="3" s="1"/>
  <c r="G239" i="2" l="1"/>
  <c r="I239" i="2" s="1"/>
  <c r="G238" i="2"/>
  <c r="I238" i="2" s="1"/>
  <c r="G237" i="2"/>
  <c r="I237" i="2" s="1"/>
  <c r="I236" i="2"/>
  <c r="G235" i="2"/>
  <c r="I235" i="2" s="1"/>
  <c r="M235" i="2" s="1"/>
  <c r="G234" i="2"/>
  <c r="I234" i="2" s="1"/>
  <c r="G233" i="2"/>
  <c r="I233" i="2" s="1"/>
  <c r="G232" i="2"/>
  <c r="I232" i="2" s="1"/>
  <c r="G231" i="2"/>
  <c r="I231" i="2" s="1"/>
  <c r="F230" i="2"/>
  <c r="F304" i="1"/>
  <c r="E304" i="1"/>
  <c r="G303" i="1"/>
  <c r="I303" i="1" s="1"/>
  <c r="H304" i="1"/>
  <c r="G302" i="1"/>
  <c r="I302" i="1" s="1"/>
  <c r="G301" i="1"/>
  <c r="I301" i="1" s="1"/>
  <c r="G300" i="1"/>
  <c r="I300" i="1" s="1"/>
  <c r="G299" i="1"/>
  <c r="I299" i="1" s="1"/>
  <c r="G298" i="1"/>
  <c r="I298" i="1" s="1"/>
  <c r="G297" i="1"/>
  <c r="F295" i="1"/>
  <c r="I249" i="2" l="1"/>
  <c r="K231" i="2"/>
  <c r="J231" i="2"/>
  <c r="K233" i="2"/>
  <c r="J233" i="2"/>
  <c r="K235" i="2"/>
  <c r="J235" i="2"/>
  <c r="K237" i="2"/>
  <c r="J237" i="2"/>
  <c r="K239" i="2"/>
  <c r="J239" i="2"/>
  <c r="K232" i="2"/>
  <c r="J232" i="2"/>
  <c r="K234" i="2"/>
  <c r="J234" i="2"/>
  <c r="K236" i="2"/>
  <c r="J236" i="2"/>
  <c r="K238" i="2"/>
  <c r="J238" i="2"/>
  <c r="G249" i="2"/>
  <c r="G304" i="1"/>
  <c r="J299" i="1"/>
  <c r="K299" i="1"/>
  <c r="J301" i="1"/>
  <c r="K301" i="1"/>
  <c r="K303" i="1"/>
  <c r="J303" i="1"/>
  <c r="J298" i="1"/>
  <c r="K298" i="1"/>
  <c r="J300" i="1"/>
  <c r="K300" i="1"/>
  <c r="J302" i="1"/>
  <c r="K302" i="1"/>
  <c r="I297" i="1"/>
  <c r="M297" i="1" s="1"/>
  <c r="J249" i="2" l="1"/>
  <c r="K249" i="2"/>
  <c r="J297" i="1"/>
  <c r="J304" i="1" s="1"/>
  <c r="I304" i="1"/>
  <c r="K297" i="1"/>
  <c r="K304" i="1" s="1"/>
  <c r="G44" i="7" l="1"/>
  <c r="I44" i="7" s="1"/>
  <c r="G43" i="7"/>
  <c r="I43" i="7" s="1"/>
  <c r="G42" i="7"/>
  <c r="I42" i="7" s="1"/>
  <c r="L42" i="7" s="1"/>
  <c r="G41" i="7"/>
  <c r="I41" i="7" s="1"/>
  <c r="L41" i="7" s="1"/>
  <c r="G40" i="7"/>
  <c r="I40" i="7" s="1"/>
  <c r="G39" i="7"/>
  <c r="I39" i="7" s="1"/>
  <c r="L39" i="7" s="1"/>
  <c r="G38" i="7"/>
  <c r="I38" i="7" s="1"/>
  <c r="L38" i="7" s="1"/>
  <c r="G37" i="7"/>
  <c r="I37" i="7" s="1"/>
  <c r="G36" i="7"/>
  <c r="I36" i="7" s="1"/>
  <c r="G35" i="7"/>
  <c r="I35" i="7" s="1"/>
  <c r="G34" i="7"/>
  <c r="I34" i="7" s="1"/>
  <c r="G33" i="7"/>
  <c r="I33" i="7" s="1"/>
  <c r="G32" i="7"/>
  <c r="I32" i="7" s="1"/>
  <c r="G31" i="7"/>
  <c r="I31" i="7" s="1"/>
  <c r="G30" i="7"/>
  <c r="I30" i="7" s="1"/>
  <c r="G29" i="7"/>
  <c r="I29" i="7" s="1"/>
  <c r="F27" i="7"/>
  <c r="G22" i="7"/>
  <c r="I22" i="7" s="1"/>
  <c r="G21" i="7"/>
  <c r="I21" i="7" s="1"/>
  <c r="G20" i="7"/>
  <c r="I20" i="7" s="1"/>
  <c r="J20" i="7" s="1"/>
  <c r="G19" i="7"/>
  <c r="I19" i="7" s="1"/>
  <c r="J19" i="7" s="1"/>
  <c r="G18" i="7"/>
  <c r="I18" i="7" s="1"/>
  <c r="G17" i="7"/>
  <c r="I17" i="7" s="1"/>
  <c r="J17" i="7" s="1"/>
  <c r="G16" i="7"/>
  <c r="I16" i="7" s="1"/>
  <c r="J16" i="7" s="1"/>
  <c r="G15" i="7"/>
  <c r="I15" i="7" s="1"/>
  <c r="J15" i="7" s="1"/>
  <c r="G14" i="7"/>
  <c r="I14" i="7" s="1"/>
  <c r="G13" i="7"/>
  <c r="I13" i="7" s="1"/>
  <c r="G12" i="7"/>
  <c r="I12" i="7" s="1"/>
  <c r="J12" i="7" s="1"/>
  <c r="G11" i="7"/>
  <c r="I11" i="7" s="1"/>
  <c r="J11" i="7" s="1"/>
  <c r="G10" i="7"/>
  <c r="I10" i="7" s="1"/>
  <c r="J10" i="7" s="1"/>
  <c r="G9" i="7"/>
  <c r="I9" i="7" s="1"/>
  <c r="J9" i="7" s="1"/>
  <c r="G8" i="7"/>
  <c r="I8" i="7" s="1"/>
  <c r="J8" i="7" s="1"/>
  <c r="G7" i="7"/>
  <c r="I7" i="7" s="1"/>
  <c r="F5" i="7"/>
  <c r="G61" i="6"/>
  <c r="I61" i="6" s="1"/>
  <c r="G60" i="6"/>
  <c r="I60" i="6" s="1"/>
  <c r="G59" i="6"/>
  <c r="I59" i="6" s="1"/>
  <c r="G58" i="6"/>
  <c r="I58" i="6" s="1"/>
  <c r="G57" i="6"/>
  <c r="I57" i="6" s="1"/>
  <c r="J57" i="6" s="1"/>
  <c r="G56" i="6"/>
  <c r="I56" i="6" s="1"/>
  <c r="J56" i="6" s="1"/>
  <c r="G55" i="6"/>
  <c r="I55" i="6" s="1"/>
  <c r="J55" i="6" s="1"/>
  <c r="G54" i="6"/>
  <c r="I54" i="6" s="1"/>
  <c r="J54" i="6" s="1"/>
  <c r="G53" i="6"/>
  <c r="I53" i="6" s="1"/>
  <c r="J53" i="6" s="1"/>
  <c r="G52" i="6"/>
  <c r="F50" i="6"/>
  <c r="F46" i="6"/>
  <c r="G45" i="6"/>
  <c r="I45" i="6" s="1"/>
  <c r="J45" i="6" s="1"/>
  <c r="G44" i="6"/>
  <c r="I44" i="6" s="1"/>
  <c r="J44" i="6" s="1"/>
  <c r="G43" i="6"/>
  <c r="I43" i="6" s="1"/>
  <c r="J43" i="6" s="1"/>
  <c r="G42" i="6"/>
  <c r="I42" i="6" s="1"/>
  <c r="J42" i="6" s="1"/>
  <c r="F39" i="6"/>
  <c r="G34" i="6"/>
  <c r="I34" i="6" s="1"/>
  <c r="G33" i="6"/>
  <c r="I33" i="6" s="1"/>
  <c r="G32" i="6"/>
  <c r="I32" i="6" s="1"/>
  <c r="G31" i="6"/>
  <c r="I31" i="6" s="1"/>
  <c r="G30" i="6"/>
  <c r="I30" i="6" s="1"/>
  <c r="G29" i="6"/>
  <c r="I29" i="6" s="1"/>
  <c r="G28" i="6"/>
  <c r="I28" i="6" s="1"/>
  <c r="G27" i="6"/>
  <c r="I27" i="6" s="1"/>
  <c r="G26" i="6"/>
  <c r="I26" i="6" s="1"/>
  <c r="G25" i="6"/>
  <c r="I25" i="6" s="1"/>
  <c r="G24" i="6"/>
  <c r="I24" i="6" s="1"/>
  <c r="G23" i="6"/>
  <c r="I23" i="6" s="1"/>
  <c r="G22" i="6"/>
  <c r="I22" i="6" s="1"/>
  <c r="G21" i="6"/>
  <c r="I21" i="6" s="1"/>
  <c r="G20" i="6"/>
  <c r="I20" i="6" s="1"/>
  <c r="G19" i="6"/>
  <c r="I19" i="6" s="1"/>
  <c r="G18" i="6"/>
  <c r="I18" i="6" s="1"/>
  <c r="G17" i="6"/>
  <c r="I17" i="6" s="1"/>
  <c r="G16" i="6"/>
  <c r="I16" i="6" s="1"/>
  <c r="F15" i="6"/>
  <c r="G10" i="6"/>
  <c r="I10" i="6" s="1"/>
  <c r="G9" i="6"/>
  <c r="I9" i="6" s="1"/>
  <c r="G8" i="6"/>
  <c r="I8" i="6" s="1"/>
  <c r="G7" i="6"/>
  <c r="I7" i="6" s="1"/>
  <c r="G6" i="6"/>
  <c r="I6" i="6" s="1"/>
  <c r="F5" i="6"/>
  <c r="G12" i="5"/>
  <c r="I12" i="5" s="1"/>
  <c r="J12" i="5" s="1"/>
  <c r="G11" i="5"/>
  <c r="I11" i="5" s="1"/>
  <c r="J11" i="5" s="1"/>
  <c r="G10" i="5"/>
  <c r="I10" i="5" s="1"/>
  <c r="J10" i="5" s="1"/>
  <c r="G9" i="5"/>
  <c r="I9" i="5" s="1"/>
  <c r="J9" i="5" s="1"/>
  <c r="G8" i="5"/>
  <c r="I8" i="5" s="1"/>
  <c r="J8" i="5" s="1"/>
  <c r="G7" i="5"/>
  <c r="F5" i="5"/>
  <c r="G117" i="4"/>
  <c r="I117" i="4" s="1"/>
  <c r="G116" i="4"/>
  <c r="I116" i="4" s="1"/>
  <c r="F110" i="4"/>
  <c r="H110" i="4"/>
  <c r="E110" i="4"/>
  <c r="F114" i="4"/>
  <c r="G109" i="4"/>
  <c r="I109" i="4" s="1"/>
  <c r="G108" i="4"/>
  <c r="I108" i="4" s="1"/>
  <c r="G107" i="4"/>
  <c r="I107" i="4" s="1"/>
  <c r="G106" i="4"/>
  <c r="I106" i="4" s="1"/>
  <c r="G105" i="4"/>
  <c r="I105" i="4" s="1"/>
  <c r="L105" i="4" s="1"/>
  <c r="F103" i="4"/>
  <c r="G98" i="4"/>
  <c r="I98" i="4" s="1"/>
  <c r="G97" i="4"/>
  <c r="I97" i="4" s="1"/>
  <c r="F95" i="4"/>
  <c r="G90" i="4"/>
  <c r="I90" i="4" s="1"/>
  <c r="L90" i="4" s="1"/>
  <c r="G89" i="4"/>
  <c r="I89" i="4" s="1"/>
  <c r="G88" i="4"/>
  <c r="I88" i="4" s="1"/>
  <c r="G87" i="4"/>
  <c r="I87" i="4" s="1"/>
  <c r="L87" i="4" s="1"/>
  <c r="F85" i="4"/>
  <c r="G80" i="4"/>
  <c r="I80" i="4" s="1"/>
  <c r="G79" i="4"/>
  <c r="I79" i="4" s="1"/>
  <c r="F77" i="4"/>
  <c r="G72" i="4"/>
  <c r="I72" i="4" s="1"/>
  <c r="F70" i="4"/>
  <c r="G65" i="4"/>
  <c r="I65" i="4" s="1"/>
  <c r="G64" i="4"/>
  <c r="I64" i="4" s="1"/>
  <c r="J64" i="4" s="1"/>
  <c r="G63" i="4"/>
  <c r="I63" i="4" s="1"/>
  <c r="J63" i="4" s="1"/>
  <c r="G62" i="4"/>
  <c r="I62" i="4" s="1"/>
  <c r="J62" i="4" s="1"/>
  <c r="G61" i="4"/>
  <c r="I61" i="4" s="1"/>
  <c r="G54" i="4"/>
  <c r="I54" i="4" s="1"/>
  <c r="G53" i="4"/>
  <c r="I53" i="4" s="1"/>
  <c r="G52" i="4"/>
  <c r="I52" i="4" s="1"/>
  <c r="G51" i="4"/>
  <c r="I51" i="4" s="1"/>
  <c r="F49" i="4"/>
  <c r="G44" i="4"/>
  <c r="I44" i="4" s="1"/>
  <c r="G43" i="4"/>
  <c r="I43" i="4" s="1"/>
  <c r="G42" i="4"/>
  <c r="I42" i="4" s="1"/>
  <c r="G41" i="4"/>
  <c r="I41" i="4" s="1"/>
  <c r="G40" i="4"/>
  <c r="I40" i="4" s="1"/>
  <c r="G39" i="4"/>
  <c r="I39" i="4" s="1"/>
  <c r="J39" i="4" s="1"/>
  <c r="G38" i="4"/>
  <c r="I38" i="4" s="1"/>
  <c r="J38" i="4" s="1"/>
  <c r="G37" i="4"/>
  <c r="I37" i="4" s="1"/>
  <c r="J37" i="4" s="1"/>
  <c r="G36" i="4"/>
  <c r="I36" i="4" s="1"/>
  <c r="J36" i="4" s="1"/>
  <c r="G35" i="4"/>
  <c r="I35" i="4" s="1"/>
  <c r="L35" i="4" s="1"/>
  <c r="G34" i="4"/>
  <c r="I34" i="4" s="1"/>
  <c r="J34" i="4" s="1"/>
  <c r="F32" i="4"/>
  <c r="I27" i="4"/>
  <c r="I21" i="4"/>
  <c r="I20" i="4"/>
  <c r="I19" i="4"/>
  <c r="I18" i="4"/>
  <c r="I17" i="4"/>
  <c r="I16" i="4"/>
  <c r="I15" i="4"/>
  <c r="I14" i="4"/>
  <c r="I13" i="4"/>
  <c r="I12" i="4"/>
  <c r="I11" i="4"/>
  <c r="I10" i="4"/>
  <c r="J10" i="4" s="1"/>
  <c r="I9" i="4"/>
  <c r="J9" i="4" s="1"/>
  <c r="I8" i="4"/>
  <c r="J8" i="4" s="1"/>
  <c r="I7" i="4"/>
  <c r="J7" i="4" s="1"/>
  <c r="F5" i="4"/>
  <c r="G380" i="3"/>
  <c r="I380" i="3" s="1"/>
  <c r="G379" i="3"/>
  <c r="I379" i="3" s="1"/>
  <c r="M379" i="3" s="1"/>
  <c r="G378" i="3"/>
  <c r="I378" i="3" s="1"/>
  <c r="M378" i="3" s="1"/>
  <c r="G377" i="3"/>
  <c r="I377" i="3" s="1"/>
  <c r="G376" i="3"/>
  <c r="I376" i="3" s="1"/>
  <c r="G375" i="3"/>
  <c r="I375" i="3" s="1"/>
  <c r="J375" i="3" s="1"/>
  <c r="G374" i="3"/>
  <c r="I374" i="3" s="1"/>
  <c r="G373" i="3"/>
  <c r="I373" i="3" s="1"/>
  <c r="M373" i="3" s="1"/>
  <c r="G372" i="3"/>
  <c r="I372" i="3" s="1"/>
  <c r="G371" i="3"/>
  <c r="I371" i="3" s="1"/>
  <c r="G370" i="3"/>
  <c r="I370" i="3" s="1"/>
  <c r="J370" i="3" s="1"/>
  <c r="G369" i="3"/>
  <c r="I369" i="3" s="1"/>
  <c r="J369" i="3" s="1"/>
  <c r="G368" i="3"/>
  <c r="I368" i="3" s="1"/>
  <c r="J368" i="3" s="1"/>
  <c r="G367" i="3"/>
  <c r="I367" i="3" s="1"/>
  <c r="G366" i="3"/>
  <c r="I366" i="3" s="1"/>
  <c r="G365" i="3"/>
  <c r="I365" i="3" s="1"/>
  <c r="G364" i="3"/>
  <c r="I364" i="3" s="1"/>
  <c r="F362" i="3"/>
  <c r="G357" i="3"/>
  <c r="I357" i="3" s="1"/>
  <c r="G356" i="3"/>
  <c r="I356" i="3" s="1"/>
  <c r="G355" i="3"/>
  <c r="I355" i="3" s="1"/>
  <c r="G354" i="3"/>
  <c r="I354" i="3" s="1"/>
  <c r="G353" i="3"/>
  <c r="I353" i="3" s="1"/>
  <c r="G352" i="3"/>
  <c r="I352" i="3" s="1"/>
  <c r="G351" i="3"/>
  <c r="I351" i="3" s="1"/>
  <c r="J351" i="3" s="1"/>
  <c r="G350" i="3"/>
  <c r="I350" i="3" s="1"/>
  <c r="G349" i="3"/>
  <c r="I349" i="3" s="1"/>
  <c r="G348" i="3"/>
  <c r="I348" i="3" s="1"/>
  <c r="G347" i="3"/>
  <c r="I347" i="3" s="1"/>
  <c r="J347" i="3" s="1"/>
  <c r="G346" i="3"/>
  <c r="I346" i="3" s="1"/>
  <c r="J346" i="3" s="1"/>
  <c r="G345" i="3"/>
  <c r="I345" i="3" s="1"/>
  <c r="J345" i="3" s="1"/>
  <c r="G344" i="3"/>
  <c r="I344" i="3" s="1"/>
  <c r="J344" i="3" s="1"/>
  <c r="G343" i="3"/>
  <c r="I343" i="3" s="1"/>
  <c r="J343" i="3" s="1"/>
  <c r="G342" i="3"/>
  <c r="I342" i="3" s="1"/>
  <c r="J342" i="3" s="1"/>
  <c r="G341" i="3"/>
  <c r="I341" i="3" s="1"/>
  <c r="J341" i="3" s="1"/>
  <c r="F358" i="3"/>
  <c r="H358" i="3"/>
  <c r="E358" i="3"/>
  <c r="F339" i="3"/>
  <c r="G334" i="3"/>
  <c r="I334" i="3" s="1"/>
  <c r="G333" i="3"/>
  <c r="I333" i="3" s="1"/>
  <c r="G332" i="3"/>
  <c r="I332" i="3" s="1"/>
  <c r="G331" i="3"/>
  <c r="I331" i="3" s="1"/>
  <c r="G330" i="3"/>
  <c r="I330" i="3" s="1"/>
  <c r="G329" i="3"/>
  <c r="I329" i="3" s="1"/>
  <c r="G328" i="3"/>
  <c r="I328" i="3" s="1"/>
  <c r="G327" i="3"/>
  <c r="I327" i="3" s="1"/>
  <c r="G326" i="3"/>
  <c r="I326" i="3" s="1"/>
  <c r="G325" i="3"/>
  <c r="I325" i="3" s="1"/>
  <c r="G324" i="3"/>
  <c r="I324" i="3" s="1"/>
  <c r="G323" i="3"/>
  <c r="I323" i="3" s="1"/>
  <c r="G322" i="3"/>
  <c r="I322" i="3" s="1"/>
  <c r="G321" i="3"/>
  <c r="I321" i="3" s="1"/>
  <c r="G320" i="3"/>
  <c r="I320" i="3" s="1"/>
  <c r="G319" i="3"/>
  <c r="I319" i="3" s="1"/>
  <c r="G318" i="3"/>
  <c r="I318" i="3" s="1"/>
  <c r="G317" i="3"/>
  <c r="I317" i="3" s="1"/>
  <c r="J317" i="3" s="1"/>
  <c r="G316" i="3"/>
  <c r="I316" i="3" s="1"/>
  <c r="F314" i="3"/>
  <c r="G309" i="3"/>
  <c r="I309" i="3" s="1"/>
  <c r="G308" i="3"/>
  <c r="I308" i="3" s="1"/>
  <c r="G307" i="3"/>
  <c r="I307" i="3" s="1"/>
  <c r="G306" i="3"/>
  <c r="I306" i="3" s="1"/>
  <c r="G305" i="3"/>
  <c r="I305" i="3" s="1"/>
  <c r="G304" i="3"/>
  <c r="I304" i="3" s="1"/>
  <c r="G303" i="3"/>
  <c r="I303" i="3" s="1"/>
  <c r="G302" i="3"/>
  <c r="I302" i="3" s="1"/>
  <c r="G301" i="3"/>
  <c r="I301" i="3" s="1"/>
  <c r="J301" i="3" s="1"/>
  <c r="G299" i="3"/>
  <c r="I299" i="3" s="1"/>
  <c r="J299" i="3" s="1"/>
  <c r="G298" i="3"/>
  <c r="I298" i="3" s="1"/>
  <c r="J298" i="3" s="1"/>
  <c r="G297" i="3"/>
  <c r="I297" i="3" s="1"/>
  <c r="J297" i="3" s="1"/>
  <c r="F295" i="3"/>
  <c r="G290" i="3"/>
  <c r="I290" i="3" s="1"/>
  <c r="J290" i="3" s="1"/>
  <c r="G289" i="3"/>
  <c r="I289" i="3" s="1"/>
  <c r="J289" i="3" s="1"/>
  <c r="G288" i="3"/>
  <c r="I288" i="3" s="1"/>
  <c r="J288" i="3" s="1"/>
  <c r="G287" i="3"/>
  <c r="I287" i="3" s="1"/>
  <c r="J287" i="3" s="1"/>
  <c r="G286" i="3"/>
  <c r="I286" i="3" s="1"/>
  <c r="J286" i="3" s="1"/>
  <c r="G285" i="3"/>
  <c r="I285" i="3" s="1"/>
  <c r="J285" i="3" s="1"/>
  <c r="G284" i="3"/>
  <c r="I284" i="3" s="1"/>
  <c r="J284" i="3" s="1"/>
  <c r="G283" i="3"/>
  <c r="I283" i="3" s="1"/>
  <c r="J283" i="3" s="1"/>
  <c r="G282" i="3"/>
  <c r="I282" i="3" s="1"/>
  <c r="J282" i="3" s="1"/>
  <c r="G281" i="3"/>
  <c r="I281" i="3" s="1"/>
  <c r="J281" i="3" s="1"/>
  <c r="G280" i="3"/>
  <c r="I280" i="3" s="1"/>
  <c r="J280" i="3" s="1"/>
  <c r="G279" i="3"/>
  <c r="I279" i="3" s="1"/>
  <c r="J279" i="3" s="1"/>
  <c r="G278" i="3"/>
  <c r="I278" i="3" s="1"/>
  <c r="J278" i="3" s="1"/>
  <c r="G277" i="3"/>
  <c r="I277" i="3" s="1"/>
  <c r="J277" i="3" s="1"/>
  <c r="G276" i="3"/>
  <c r="I276" i="3" s="1"/>
  <c r="J276" i="3" s="1"/>
  <c r="G275" i="3"/>
  <c r="I275" i="3" s="1"/>
  <c r="J275" i="3" s="1"/>
  <c r="G274" i="3"/>
  <c r="I274" i="3" s="1"/>
  <c r="J274" i="3" s="1"/>
  <c r="G273" i="3"/>
  <c r="I273" i="3" s="1"/>
  <c r="J273" i="3" s="1"/>
  <c r="G272" i="3"/>
  <c r="I272" i="3" s="1"/>
  <c r="J272" i="3" s="1"/>
  <c r="G271" i="3"/>
  <c r="I271" i="3" s="1"/>
  <c r="J271" i="3" s="1"/>
  <c r="G270" i="3"/>
  <c r="I270" i="3" s="1"/>
  <c r="J270" i="3" s="1"/>
  <c r="G269" i="3"/>
  <c r="I269" i="3" s="1"/>
  <c r="J269" i="3" s="1"/>
  <c r="G268" i="3"/>
  <c r="I268" i="3" s="1"/>
  <c r="J268" i="3" s="1"/>
  <c r="G267" i="3"/>
  <c r="I267" i="3" s="1"/>
  <c r="J267" i="3" s="1"/>
  <c r="G266" i="3"/>
  <c r="I266" i="3" s="1"/>
  <c r="J266" i="3" s="1"/>
  <c r="G265" i="3"/>
  <c r="I265" i="3" s="1"/>
  <c r="J265" i="3" s="1"/>
  <c r="G264" i="3"/>
  <c r="I264" i="3" s="1"/>
  <c r="J264" i="3" s="1"/>
  <c r="G263" i="3"/>
  <c r="I263" i="3" s="1"/>
  <c r="J263" i="3" s="1"/>
  <c r="G262" i="3"/>
  <c r="I262" i="3" s="1"/>
  <c r="J262" i="3" s="1"/>
  <c r="G261" i="3"/>
  <c r="I261" i="3" s="1"/>
  <c r="G260" i="3"/>
  <c r="I260" i="3" s="1"/>
  <c r="G259" i="3"/>
  <c r="I259" i="3" s="1"/>
  <c r="G258" i="3"/>
  <c r="I258" i="3" s="1"/>
  <c r="F256" i="3"/>
  <c r="G251" i="3"/>
  <c r="I251" i="3" s="1"/>
  <c r="G250" i="3"/>
  <c r="I250" i="3" s="1"/>
  <c r="G249" i="3"/>
  <c r="I249" i="3" s="1"/>
  <c r="G248" i="3"/>
  <c r="I248" i="3" s="1"/>
  <c r="G247" i="3"/>
  <c r="I247" i="3" s="1"/>
  <c r="G246" i="3"/>
  <c r="I246" i="3" s="1"/>
  <c r="G245" i="3"/>
  <c r="I245" i="3" s="1"/>
  <c r="G244" i="3"/>
  <c r="I244" i="3" s="1"/>
  <c r="G243" i="3"/>
  <c r="I243" i="3" s="1"/>
  <c r="G242" i="3"/>
  <c r="I242" i="3" s="1"/>
  <c r="G241" i="3"/>
  <c r="I241" i="3" s="1"/>
  <c r="G240" i="3"/>
  <c r="I240" i="3" s="1"/>
  <c r="G239" i="3"/>
  <c r="I239" i="3" s="1"/>
  <c r="G238" i="3"/>
  <c r="I238" i="3" s="1"/>
  <c r="G237" i="3"/>
  <c r="I237" i="3" s="1"/>
  <c r="G236" i="3"/>
  <c r="I236" i="3" s="1"/>
  <c r="G235" i="3"/>
  <c r="I235" i="3" s="1"/>
  <c r="G234" i="3"/>
  <c r="I234" i="3" s="1"/>
  <c r="G233" i="3"/>
  <c r="I233" i="3" s="1"/>
  <c r="G232" i="3"/>
  <c r="I232" i="3" s="1"/>
  <c r="J232" i="3" s="1"/>
  <c r="G231" i="3"/>
  <c r="I231" i="3" s="1"/>
  <c r="J231" i="3" s="1"/>
  <c r="G230" i="3"/>
  <c r="I230" i="3" s="1"/>
  <c r="J230" i="3" s="1"/>
  <c r="F228" i="3"/>
  <c r="G223" i="3"/>
  <c r="I223" i="3" s="1"/>
  <c r="G222" i="3"/>
  <c r="I222" i="3" s="1"/>
  <c r="G221" i="3"/>
  <c r="I221" i="3" s="1"/>
  <c r="G220" i="3"/>
  <c r="I220" i="3" s="1"/>
  <c r="G219" i="3"/>
  <c r="I219" i="3" s="1"/>
  <c r="G218" i="3"/>
  <c r="I218" i="3" s="1"/>
  <c r="G217" i="3"/>
  <c r="I217" i="3" s="1"/>
  <c r="G216" i="3"/>
  <c r="I216" i="3" s="1"/>
  <c r="G215" i="3"/>
  <c r="I215" i="3" s="1"/>
  <c r="J215" i="3" s="1"/>
  <c r="G214" i="3"/>
  <c r="I214" i="3" s="1"/>
  <c r="J214" i="3" s="1"/>
  <c r="G213" i="3"/>
  <c r="I213" i="3" s="1"/>
  <c r="J213" i="3" s="1"/>
  <c r="G212" i="3"/>
  <c r="I212" i="3" s="1"/>
  <c r="G211" i="3"/>
  <c r="I211" i="3" s="1"/>
  <c r="J211" i="3" s="1"/>
  <c r="G210" i="3"/>
  <c r="I210" i="3" s="1"/>
  <c r="G209" i="3"/>
  <c r="I209" i="3" s="1"/>
  <c r="G208" i="3"/>
  <c r="I208" i="3" s="1"/>
  <c r="G207" i="3"/>
  <c r="I207" i="3" s="1"/>
  <c r="G206" i="3"/>
  <c r="I206" i="3" s="1"/>
  <c r="G205" i="3"/>
  <c r="I205" i="3" s="1"/>
  <c r="J205" i="3" s="1"/>
  <c r="G204" i="3"/>
  <c r="I204" i="3" s="1"/>
  <c r="J204" i="3" s="1"/>
  <c r="G203" i="3"/>
  <c r="I203" i="3" s="1"/>
  <c r="J203" i="3" s="1"/>
  <c r="G202" i="3"/>
  <c r="I202" i="3" s="1"/>
  <c r="J202" i="3" s="1"/>
  <c r="G201" i="3"/>
  <c r="I201" i="3" s="1"/>
  <c r="J201" i="3" s="1"/>
  <c r="G200" i="3"/>
  <c r="I200" i="3" s="1"/>
  <c r="G199" i="3"/>
  <c r="I199" i="3" s="1"/>
  <c r="J199" i="3" s="1"/>
  <c r="G198" i="3"/>
  <c r="I198" i="3" s="1"/>
  <c r="J198" i="3" s="1"/>
  <c r="G197" i="3"/>
  <c r="I197" i="3" s="1"/>
  <c r="G196" i="3"/>
  <c r="I196" i="3" s="1"/>
  <c r="G195" i="3"/>
  <c r="I195" i="3" s="1"/>
  <c r="G194" i="3"/>
  <c r="I194" i="3" s="1"/>
  <c r="G193" i="3"/>
  <c r="I193" i="3" s="1"/>
  <c r="G192" i="3"/>
  <c r="I192" i="3" s="1"/>
  <c r="J192" i="3" s="1"/>
  <c r="G191" i="3"/>
  <c r="I191" i="3" s="1"/>
  <c r="J191" i="3" s="1"/>
  <c r="G190" i="3"/>
  <c r="I190" i="3" s="1"/>
  <c r="J190" i="3" s="1"/>
  <c r="G189" i="3"/>
  <c r="I189" i="3" s="1"/>
  <c r="J189" i="3" s="1"/>
  <c r="G188" i="3"/>
  <c r="I188" i="3" s="1"/>
  <c r="J188" i="3" s="1"/>
  <c r="F186" i="3"/>
  <c r="G181" i="3"/>
  <c r="I181" i="3" s="1"/>
  <c r="G180" i="3"/>
  <c r="I180" i="3" s="1"/>
  <c r="G179" i="3"/>
  <c r="I179" i="3" s="1"/>
  <c r="G178" i="3"/>
  <c r="I178" i="3" s="1"/>
  <c r="G177" i="3"/>
  <c r="I177" i="3" s="1"/>
  <c r="G176" i="3"/>
  <c r="I176" i="3" s="1"/>
  <c r="J176" i="3" s="1"/>
  <c r="G175" i="3"/>
  <c r="I175" i="3" s="1"/>
  <c r="J175" i="3" s="1"/>
  <c r="G174" i="3"/>
  <c r="I174" i="3" s="1"/>
  <c r="J174" i="3" s="1"/>
  <c r="G173" i="3"/>
  <c r="I173" i="3" s="1"/>
  <c r="J173" i="3" s="1"/>
  <c r="G172" i="3"/>
  <c r="I172" i="3" s="1"/>
  <c r="J172" i="3" s="1"/>
  <c r="G171" i="3"/>
  <c r="I171" i="3" s="1"/>
  <c r="J171" i="3" s="1"/>
  <c r="G170" i="3"/>
  <c r="I170" i="3" s="1"/>
  <c r="J170" i="3" s="1"/>
  <c r="G169" i="3"/>
  <c r="I169" i="3" s="1"/>
  <c r="J169" i="3" s="1"/>
  <c r="G168" i="3"/>
  <c r="I168" i="3" s="1"/>
  <c r="J168" i="3" s="1"/>
  <c r="G167" i="3"/>
  <c r="I167" i="3" s="1"/>
  <c r="J167" i="3" s="1"/>
  <c r="G166" i="3"/>
  <c r="I166" i="3" s="1"/>
  <c r="J166" i="3" s="1"/>
  <c r="G165" i="3"/>
  <c r="I165" i="3" s="1"/>
  <c r="J165" i="3" s="1"/>
  <c r="G164" i="3"/>
  <c r="I164" i="3" s="1"/>
  <c r="J164" i="3" s="1"/>
  <c r="G163" i="3"/>
  <c r="I163" i="3" s="1"/>
  <c r="J163" i="3" s="1"/>
  <c r="G162" i="3"/>
  <c r="I162" i="3" s="1"/>
  <c r="J162" i="3" s="1"/>
  <c r="G161" i="3"/>
  <c r="I161" i="3" s="1"/>
  <c r="G160" i="3"/>
  <c r="I160" i="3" s="1"/>
  <c r="J160" i="3" s="1"/>
  <c r="G159" i="3"/>
  <c r="I159" i="3" s="1"/>
  <c r="J159" i="3" s="1"/>
  <c r="G158" i="3"/>
  <c r="I158" i="3" s="1"/>
  <c r="J158" i="3" s="1"/>
  <c r="G157" i="3"/>
  <c r="I157" i="3" s="1"/>
  <c r="J157" i="3" s="1"/>
  <c r="G156" i="3"/>
  <c r="I156" i="3" s="1"/>
  <c r="J156" i="3" s="1"/>
  <c r="G155" i="3"/>
  <c r="I155" i="3" s="1"/>
  <c r="J155" i="3" s="1"/>
  <c r="G154" i="3"/>
  <c r="I154" i="3" s="1"/>
  <c r="J154" i="3" s="1"/>
  <c r="G153" i="3"/>
  <c r="I153" i="3" s="1"/>
  <c r="J153" i="3" s="1"/>
  <c r="G152" i="3"/>
  <c r="I152" i="3" s="1"/>
  <c r="G151" i="3"/>
  <c r="I151" i="3" s="1"/>
  <c r="J151" i="3" s="1"/>
  <c r="G150" i="3"/>
  <c r="I150" i="3" s="1"/>
  <c r="J150" i="3" s="1"/>
  <c r="G149" i="3"/>
  <c r="I149" i="3" s="1"/>
  <c r="G148" i="3"/>
  <c r="I148" i="3" s="1"/>
  <c r="G147" i="3"/>
  <c r="I147" i="3" s="1"/>
  <c r="G146" i="3"/>
  <c r="I146" i="3" s="1"/>
  <c r="J146" i="3" s="1"/>
  <c r="G145" i="3"/>
  <c r="I145" i="3" s="1"/>
  <c r="J145" i="3" s="1"/>
  <c r="G144" i="3"/>
  <c r="I144" i="3" s="1"/>
  <c r="J144" i="3" s="1"/>
  <c r="G143" i="3"/>
  <c r="I143" i="3" s="1"/>
  <c r="J143" i="3" s="1"/>
  <c r="G142" i="3"/>
  <c r="I142" i="3" s="1"/>
  <c r="J142" i="3" s="1"/>
  <c r="G140" i="3"/>
  <c r="I140" i="3" s="1"/>
  <c r="J140" i="3" s="1"/>
  <c r="G139" i="3"/>
  <c r="I139" i="3" s="1"/>
  <c r="J139" i="3" s="1"/>
  <c r="G138" i="3"/>
  <c r="I138" i="3" s="1"/>
  <c r="J138" i="3" s="1"/>
  <c r="G137" i="3"/>
  <c r="I137" i="3" s="1"/>
  <c r="J137" i="3" s="1"/>
  <c r="G136" i="3"/>
  <c r="I136" i="3" s="1"/>
  <c r="G135" i="3"/>
  <c r="I135" i="3" s="1"/>
  <c r="G134" i="3"/>
  <c r="I134" i="3" s="1"/>
  <c r="G133" i="3"/>
  <c r="I133" i="3" s="1"/>
  <c r="G132" i="3"/>
  <c r="I132" i="3" s="1"/>
  <c r="G131" i="3"/>
  <c r="I131" i="3" s="1"/>
  <c r="G130" i="3"/>
  <c r="I130" i="3" s="1"/>
  <c r="G129" i="3"/>
  <c r="I129" i="3" s="1"/>
  <c r="J129" i="3" s="1"/>
  <c r="G128" i="3"/>
  <c r="I128" i="3" s="1"/>
  <c r="J128" i="3" s="1"/>
  <c r="G127" i="3"/>
  <c r="I127" i="3" s="1"/>
  <c r="J127" i="3" s="1"/>
  <c r="F125" i="3"/>
  <c r="G120" i="3"/>
  <c r="I120" i="3" s="1"/>
  <c r="G119" i="3"/>
  <c r="I119" i="3" s="1"/>
  <c r="G118" i="3"/>
  <c r="I118" i="3" s="1"/>
  <c r="G117" i="3"/>
  <c r="I117" i="3" s="1"/>
  <c r="G116" i="3"/>
  <c r="I116" i="3" s="1"/>
  <c r="G115" i="3"/>
  <c r="I115" i="3" s="1"/>
  <c r="G114" i="3"/>
  <c r="I114" i="3" s="1"/>
  <c r="G113" i="3"/>
  <c r="I113" i="3" s="1"/>
  <c r="G112" i="3"/>
  <c r="I112" i="3" s="1"/>
  <c r="J112" i="3" s="1"/>
  <c r="G111" i="3"/>
  <c r="I111" i="3" s="1"/>
  <c r="J111" i="3" s="1"/>
  <c r="G110" i="3"/>
  <c r="I110" i="3" s="1"/>
  <c r="J110" i="3" s="1"/>
  <c r="G109" i="3"/>
  <c r="I109" i="3" s="1"/>
  <c r="J109" i="3" s="1"/>
  <c r="G108" i="3"/>
  <c r="I108" i="3" s="1"/>
  <c r="J108" i="3" s="1"/>
  <c r="G107" i="3"/>
  <c r="I107" i="3" s="1"/>
  <c r="J107" i="3" s="1"/>
  <c r="G106" i="3"/>
  <c r="I106" i="3" s="1"/>
  <c r="J106" i="3" s="1"/>
  <c r="G105" i="3"/>
  <c r="I105" i="3" s="1"/>
  <c r="J105" i="3" s="1"/>
  <c r="G104" i="3"/>
  <c r="I104" i="3" s="1"/>
  <c r="J104" i="3" s="1"/>
  <c r="G103" i="3"/>
  <c r="I103" i="3" s="1"/>
  <c r="J103" i="3" s="1"/>
  <c r="G102" i="3"/>
  <c r="I102" i="3" s="1"/>
  <c r="J102" i="3" s="1"/>
  <c r="G101" i="3"/>
  <c r="I101" i="3" s="1"/>
  <c r="J101" i="3" s="1"/>
  <c r="G100" i="3"/>
  <c r="I100" i="3" s="1"/>
  <c r="J100" i="3" s="1"/>
  <c r="G99" i="3"/>
  <c r="I99" i="3" s="1"/>
  <c r="J99" i="3" s="1"/>
  <c r="G98" i="3"/>
  <c r="I98" i="3" s="1"/>
  <c r="J98" i="3" s="1"/>
  <c r="G97" i="3"/>
  <c r="I97" i="3" s="1"/>
  <c r="J97" i="3" s="1"/>
  <c r="G96" i="3"/>
  <c r="I96" i="3" s="1"/>
  <c r="J96" i="3" s="1"/>
  <c r="G94" i="3"/>
  <c r="I94" i="3" s="1"/>
  <c r="J94" i="3" s="1"/>
  <c r="F92" i="3"/>
  <c r="G87" i="3"/>
  <c r="I87" i="3" s="1"/>
  <c r="G86" i="3"/>
  <c r="I86" i="3" s="1"/>
  <c r="G85" i="3"/>
  <c r="I85" i="3" s="1"/>
  <c r="G84" i="3"/>
  <c r="I84" i="3" s="1"/>
  <c r="G83" i="3"/>
  <c r="I83" i="3" s="1"/>
  <c r="G82" i="3"/>
  <c r="I82" i="3" s="1"/>
  <c r="G81" i="3"/>
  <c r="I81" i="3" s="1"/>
  <c r="G80" i="3"/>
  <c r="I80" i="3" s="1"/>
  <c r="G79" i="3"/>
  <c r="I79" i="3" s="1"/>
  <c r="G78" i="3"/>
  <c r="I78" i="3" s="1"/>
  <c r="G76" i="3"/>
  <c r="I76" i="3" s="1"/>
  <c r="G75" i="3"/>
  <c r="I75" i="3" s="1"/>
  <c r="G74" i="3"/>
  <c r="I74" i="3" s="1"/>
  <c r="G73" i="3"/>
  <c r="I73" i="3" s="1"/>
  <c r="G72" i="3"/>
  <c r="I72" i="3" s="1"/>
  <c r="F70" i="3"/>
  <c r="F48" i="3"/>
  <c r="G65" i="3"/>
  <c r="I65" i="3" s="1"/>
  <c r="G64" i="3"/>
  <c r="I64" i="3" s="1"/>
  <c r="G63" i="3"/>
  <c r="I63" i="3" s="1"/>
  <c r="G62" i="3"/>
  <c r="I62" i="3" s="1"/>
  <c r="G61" i="3"/>
  <c r="I61" i="3" s="1"/>
  <c r="G60" i="3"/>
  <c r="I60" i="3" s="1"/>
  <c r="G59" i="3"/>
  <c r="I59" i="3" s="1"/>
  <c r="G58" i="3"/>
  <c r="I58" i="3" s="1"/>
  <c r="G57" i="3"/>
  <c r="I57" i="3" s="1"/>
  <c r="G56" i="3"/>
  <c r="I56" i="3" s="1"/>
  <c r="G55" i="3"/>
  <c r="I55" i="3" s="1"/>
  <c r="G54" i="3"/>
  <c r="I54" i="3" s="1"/>
  <c r="G53" i="3"/>
  <c r="I53" i="3" s="1"/>
  <c r="G51" i="3"/>
  <c r="I51" i="3" s="1"/>
  <c r="G50" i="3"/>
  <c r="I50" i="3" s="1"/>
  <c r="J50" i="3" s="1"/>
  <c r="F44" i="3"/>
  <c r="G43" i="3"/>
  <c r="I43" i="3" s="1"/>
  <c r="G42" i="3"/>
  <c r="I42" i="3" s="1"/>
  <c r="G41" i="3"/>
  <c r="I41" i="3" s="1"/>
  <c r="G40" i="3"/>
  <c r="I40" i="3" s="1"/>
  <c r="G39" i="3"/>
  <c r="I39" i="3" s="1"/>
  <c r="G38" i="3"/>
  <c r="I38" i="3" s="1"/>
  <c r="G37" i="3"/>
  <c r="I37" i="3" s="1"/>
  <c r="G36" i="3"/>
  <c r="I36" i="3" s="1"/>
  <c r="G35" i="3"/>
  <c r="I35" i="3" s="1"/>
  <c r="G34" i="3"/>
  <c r="I34" i="3" s="1"/>
  <c r="G33" i="3"/>
  <c r="I33" i="3" s="1"/>
  <c r="G32" i="3"/>
  <c r="I32" i="3" s="1"/>
  <c r="F30" i="3"/>
  <c r="G36" i="5" l="1"/>
  <c r="J377" i="3"/>
  <c r="M377" i="3"/>
  <c r="J61" i="4"/>
  <c r="L61" i="4"/>
  <c r="J65" i="4"/>
  <c r="L65" i="4"/>
  <c r="J60" i="6"/>
  <c r="J374" i="3"/>
  <c r="M374" i="3"/>
  <c r="J376" i="3"/>
  <c r="M376" i="3"/>
  <c r="J35" i="4"/>
  <c r="J61" i="6"/>
  <c r="I7" i="5"/>
  <c r="I52" i="6"/>
  <c r="G68" i="6"/>
  <c r="I110" i="4"/>
  <c r="G110" i="4"/>
  <c r="J30" i="7"/>
  <c r="K30" i="7"/>
  <c r="J32" i="7"/>
  <c r="K32" i="7"/>
  <c r="J34" i="7"/>
  <c r="K34" i="7"/>
  <c r="J36" i="7"/>
  <c r="K36" i="7"/>
  <c r="J38" i="7"/>
  <c r="K38" i="7"/>
  <c r="J40" i="7"/>
  <c r="K40" i="7"/>
  <c r="J42" i="7"/>
  <c r="K42" i="7"/>
  <c r="J44" i="7"/>
  <c r="K44" i="7"/>
  <c r="J29" i="7"/>
  <c r="K29" i="7"/>
  <c r="J31" i="7"/>
  <c r="K31" i="7"/>
  <c r="J33" i="7"/>
  <c r="K33" i="7"/>
  <c r="J35" i="7"/>
  <c r="K35" i="7"/>
  <c r="J37" i="7"/>
  <c r="K37" i="7"/>
  <c r="J39" i="7"/>
  <c r="K39" i="7"/>
  <c r="J41" i="7"/>
  <c r="K41" i="7"/>
  <c r="J43" i="7"/>
  <c r="K43" i="7"/>
  <c r="J13" i="7"/>
  <c r="K13" i="7"/>
  <c r="J18" i="7"/>
  <c r="K18" i="7"/>
  <c r="J22" i="7"/>
  <c r="K22" i="7"/>
  <c r="J7" i="7"/>
  <c r="K7" i="7"/>
  <c r="J14" i="7"/>
  <c r="K14" i="7"/>
  <c r="J21" i="7"/>
  <c r="K21" i="7"/>
  <c r="K8" i="7"/>
  <c r="K9" i="7"/>
  <c r="K10" i="7"/>
  <c r="K11" i="7"/>
  <c r="K12" i="7"/>
  <c r="K15" i="7"/>
  <c r="K16" i="7"/>
  <c r="K17" i="7"/>
  <c r="K19" i="7"/>
  <c r="K20" i="7"/>
  <c r="K55" i="6"/>
  <c r="K56" i="6"/>
  <c r="K57" i="6"/>
  <c r="K58" i="6"/>
  <c r="K59" i="6"/>
  <c r="K60" i="6"/>
  <c r="K61" i="6"/>
  <c r="J16" i="6"/>
  <c r="K16" i="6"/>
  <c r="J18" i="6"/>
  <c r="K18" i="6"/>
  <c r="J20" i="6"/>
  <c r="K20" i="6"/>
  <c r="J22" i="6"/>
  <c r="K22" i="6"/>
  <c r="J24" i="6"/>
  <c r="K24" i="6"/>
  <c r="J26" i="6"/>
  <c r="K26" i="6"/>
  <c r="J28" i="6"/>
  <c r="K28" i="6"/>
  <c r="J30" i="6"/>
  <c r="K30" i="6"/>
  <c r="J32" i="6"/>
  <c r="K32" i="6"/>
  <c r="J34" i="6"/>
  <c r="J17" i="6"/>
  <c r="K17" i="6"/>
  <c r="J19" i="6"/>
  <c r="K19" i="6"/>
  <c r="J21" i="6"/>
  <c r="K21" i="6"/>
  <c r="J23" i="6"/>
  <c r="K23" i="6"/>
  <c r="J25" i="6"/>
  <c r="K25" i="6"/>
  <c r="J27" i="6"/>
  <c r="K27" i="6"/>
  <c r="J29" i="6"/>
  <c r="K29" i="6"/>
  <c r="J31" i="6"/>
  <c r="K31" i="6"/>
  <c r="J33" i="6"/>
  <c r="K33" i="6"/>
  <c r="J6" i="6"/>
  <c r="K6" i="6"/>
  <c r="J8" i="6"/>
  <c r="K8" i="6"/>
  <c r="J10" i="6"/>
  <c r="K10" i="6"/>
  <c r="J7" i="6"/>
  <c r="K7" i="6"/>
  <c r="J9" i="6"/>
  <c r="K9" i="6"/>
  <c r="K8" i="5"/>
  <c r="K9" i="5"/>
  <c r="K10" i="5"/>
  <c r="K11" i="5"/>
  <c r="J117" i="4"/>
  <c r="K117" i="4"/>
  <c r="J116" i="4"/>
  <c r="K116" i="4"/>
  <c r="J109" i="4"/>
  <c r="K109" i="4"/>
  <c r="J108" i="4"/>
  <c r="K108" i="4"/>
  <c r="J105" i="4"/>
  <c r="K105" i="4"/>
  <c r="J107" i="4"/>
  <c r="K107" i="4"/>
  <c r="J106" i="4"/>
  <c r="K106" i="4"/>
  <c r="K98" i="4"/>
  <c r="J98" i="4"/>
  <c r="K97" i="4"/>
  <c r="K99" i="4" s="1"/>
  <c r="J97" i="4"/>
  <c r="J99" i="4" s="1"/>
  <c r="J88" i="4"/>
  <c r="K88" i="4"/>
  <c r="J90" i="4"/>
  <c r="K90" i="4"/>
  <c r="J87" i="4"/>
  <c r="K87" i="4"/>
  <c r="J89" i="4"/>
  <c r="K89" i="4"/>
  <c r="J80" i="4"/>
  <c r="K80" i="4"/>
  <c r="J79" i="4"/>
  <c r="K79" i="4"/>
  <c r="J72" i="4"/>
  <c r="K62" i="4"/>
  <c r="K64" i="4"/>
  <c r="K65" i="4"/>
  <c r="J52" i="4"/>
  <c r="J54" i="4"/>
  <c r="K54" i="4"/>
  <c r="J51" i="4"/>
  <c r="J53" i="4"/>
  <c r="J40" i="4"/>
  <c r="K40" i="4"/>
  <c r="J42" i="4"/>
  <c r="J44" i="4"/>
  <c r="K44" i="4"/>
  <c r="J41" i="4"/>
  <c r="K41" i="4"/>
  <c r="J43" i="4"/>
  <c r="K43" i="4"/>
  <c r="K34" i="4"/>
  <c r="K35" i="4"/>
  <c r="K36" i="4"/>
  <c r="K37" i="4"/>
  <c r="K39" i="4"/>
  <c r="J12" i="4"/>
  <c r="K12" i="4"/>
  <c r="J14" i="4"/>
  <c r="K14" i="4"/>
  <c r="J16" i="4"/>
  <c r="K16" i="4"/>
  <c r="J18" i="4"/>
  <c r="K18" i="4"/>
  <c r="J20" i="4"/>
  <c r="K20" i="4"/>
  <c r="J27" i="4"/>
  <c r="K27" i="4"/>
  <c r="J11" i="4"/>
  <c r="K11" i="4"/>
  <c r="J13" i="4"/>
  <c r="K13" i="4"/>
  <c r="J15" i="4"/>
  <c r="K15" i="4"/>
  <c r="J17" i="4"/>
  <c r="K17" i="4"/>
  <c r="J19" i="4"/>
  <c r="K19" i="4"/>
  <c r="J21" i="4"/>
  <c r="K21" i="4"/>
  <c r="K7" i="4"/>
  <c r="K8" i="4"/>
  <c r="K9" i="4"/>
  <c r="K10" i="4"/>
  <c r="J364" i="3"/>
  <c r="K364" i="3"/>
  <c r="J366" i="3"/>
  <c r="K366" i="3"/>
  <c r="J371" i="3"/>
  <c r="K371" i="3"/>
  <c r="J373" i="3"/>
  <c r="K373" i="3"/>
  <c r="J379" i="3"/>
  <c r="K379" i="3"/>
  <c r="J365" i="3"/>
  <c r="K365" i="3"/>
  <c r="J367" i="3"/>
  <c r="K367" i="3"/>
  <c r="J372" i="3"/>
  <c r="K372" i="3"/>
  <c r="J378" i="3"/>
  <c r="K378" i="3"/>
  <c r="J380" i="3"/>
  <c r="K380" i="3"/>
  <c r="K368" i="3"/>
  <c r="K369" i="3"/>
  <c r="K370" i="3"/>
  <c r="K374" i="3"/>
  <c r="K375" i="3"/>
  <c r="K376" i="3"/>
  <c r="K377" i="3"/>
  <c r="G358" i="3"/>
  <c r="J348" i="3"/>
  <c r="K348" i="3"/>
  <c r="J350" i="3"/>
  <c r="K350" i="3"/>
  <c r="J353" i="3"/>
  <c r="K353" i="3"/>
  <c r="J355" i="3"/>
  <c r="K355" i="3"/>
  <c r="J357" i="3"/>
  <c r="K357" i="3"/>
  <c r="J349" i="3"/>
  <c r="K349" i="3"/>
  <c r="J352" i="3"/>
  <c r="K352" i="3"/>
  <c r="J354" i="3"/>
  <c r="K354" i="3"/>
  <c r="J356" i="3"/>
  <c r="K356" i="3"/>
  <c r="K341" i="3"/>
  <c r="K342" i="3"/>
  <c r="K343" i="3"/>
  <c r="K344" i="3"/>
  <c r="K345" i="3"/>
  <c r="K346" i="3"/>
  <c r="K347" i="3"/>
  <c r="K351" i="3"/>
  <c r="J358" i="3"/>
  <c r="I358" i="3"/>
  <c r="J329" i="3"/>
  <c r="K329" i="3"/>
  <c r="J331" i="3"/>
  <c r="K331" i="3"/>
  <c r="J333" i="3"/>
  <c r="K333" i="3"/>
  <c r="J330" i="3"/>
  <c r="J332" i="3"/>
  <c r="K332" i="3"/>
  <c r="J334" i="3"/>
  <c r="K334" i="3"/>
  <c r="K303" i="3"/>
  <c r="K305" i="3"/>
  <c r="K307" i="3"/>
  <c r="J309" i="3"/>
  <c r="K309" i="3"/>
  <c r="K302" i="3"/>
  <c r="K304" i="3"/>
  <c r="K306" i="3"/>
  <c r="J308" i="3"/>
  <c r="K308" i="3"/>
  <c r="K297" i="3"/>
  <c r="K298" i="3"/>
  <c r="K299" i="3"/>
  <c r="J259" i="3"/>
  <c r="K259" i="3"/>
  <c r="J261" i="3"/>
  <c r="K261" i="3"/>
  <c r="J258" i="3"/>
  <c r="K258" i="3"/>
  <c r="J260" i="3"/>
  <c r="K260" i="3"/>
  <c r="K262" i="3"/>
  <c r="K263" i="3"/>
  <c r="K264" i="3"/>
  <c r="K265" i="3"/>
  <c r="K266" i="3"/>
  <c r="K267" i="3"/>
  <c r="K269" i="3"/>
  <c r="K270" i="3"/>
  <c r="K271" i="3"/>
  <c r="K272" i="3"/>
  <c r="K273" i="3"/>
  <c r="K274" i="3"/>
  <c r="K275" i="3"/>
  <c r="K276" i="3"/>
  <c r="K277" i="3"/>
  <c r="K278" i="3"/>
  <c r="K279" i="3"/>
  <c r="K280" i="3"/>
  <c r="K281" i="3"/>
  <c r="K282" i="3"/>
  <c r="K283" i="3"/>
  <c r="K284" i="3"/>
  <c r="K288" i="3"/>
  <c r="K289" i="3"/>
  <c r="K290" i="3"/>
  <c r="J233" i="3"/>
  <c r="J235" i="3"/>
  <c r="J237" i="3"/>
  <c r="J239" i="3"/>
  <c r="J241" i="3"/>
  <c r="J243" i="3"/>
  <c r="J245" i="3"/>
  <c r="J247" i="3"/>
  <c r="J249" i="3"/>
  <c r="J251" i="3"/>
  <c r="J234" i="3"/>
  <c r="J236" i="3"/>
  <c r="J238" i="3"/>
  <c r="J240" i="3"/>
  <c r="J242" i="3"/>
  <c r="K242" i="3"/>
  <c r="J244" i="3"/>
  <c r="J246" i="3"/>
  <c r="J248" i="3"/>
  <c r="J250" i="3"/>
  <c r="J194" i="3"/>
  <c r="K194" i="3"/>
  <c r="J196" i="3"/>
  <c r="K196" i="3"/>
  <c r="J200" i="3"/>
  <c r="K200" i="3"/>
  <c r="J207" i="3"/>
  <c r="K207" i="3"/>
  <c r="J209" i="3"/>
  <c r="K209" i="3"/>
  <c r="J212" i="3"/>
  <c r="K212" i="3"/>
  <c r="J217" i="3"/>
  <c r="K217" i="3"/>
  <c r="J219" i="3"/>
  <c r="K219" i="3"/>
  <c r="J221" i="3"/>
  <c r="J223" i="3"/>
  <c r="K223" i="3"/>
  <c r="J193" i="3"/>
  <c r="K193" i="3"/>
  <c r="J195" i="3"/>
  <c r="K195" i="3"/>
  <c r="J197" i="3"/>
  <c r="K197" i="3"/>
  <c r="J206" i="3"/>
  <c r="K206" i="3"/>
  <c r="J208" i="3"/>
  <c r="K208" i="3"/>
  <c r="J210" i="3"/>
  <c r="K210" i="3"/>
  <c r="J216" i="3"/>
  <c r="K216" i="3"/>
  <c r="J218" i="3"/>
  <c r="K218" i="3"/>
  <c r="J220" i="3"/>
  <c r="J222" i="3"/>
  <c r="K222" i="3"/>
  <c r="K188" i="3"/>
  <c r="K189" i="3"/>
  <c r="K190" i="3"/>
  <c r="K191" i="3"/>
  <c r="K192" i="3"/>
  <c r="K198" i="3"/>
  <c r="K199" i="3"/>
  <c r="K201" i="3"/>
  <c r="K202" i="3"/>
  <c r="K203" i="3"/>
  <c r="K204" i="3"/>
  <c r="K205" i="3"/>
  <c r="K211" i="3"/>
  <c r="K213" i="3"/>
  <c r="K214" i="3"/>
  <c r="K215" i="3"/>
  <c r="J130" i="3"/>
  <c r="K130" i="3"/>
  <c r="J132" i="3"/>
  <c r="K132" i="3"/>
  <c r="J134" i="3"/>
  <c r="K134" i="3"/>
  <c r="J136" i="3"/>
  <c r="K136" i="3"/>
  <c r="J148" i="3"/>
  <c r="K148" i="3"/>
  <c r="J152" i="3"/>
  <c r="K152" i="3"/>
  <c r="J177" i="3"/>
  <c r="K177" i="3"/>
  <c r="J179" i="3"/>
  <c r="K179" i="3"/>
  <c r="J181" i="3"/>
  <c r="K181" i="3"/>
  <c r="J131" i="3"/>
  <c r="K131" i="3"/>
  <c r="J133" i="3"/>
  <c r="K133" i="3"/>
  <c r="J135" i="3"/>
  <c r="K135" i="3"/>
  <c r="J147" i="3"/>
  <c r="K147" i="3"/>
  <c r="J149" i="3"/>
  <c r="K149" i="3"/>
  <c r="J161" i="3"/>
  <c r="K161" i="3"/>
  <c r="J178" i="3"/>
  <c r="K178" i="3"/>
  <c r="J180" i="3"/>
  <c r="K180" i="3"/>
  <c r="K127" i="3"/>
  <c r="K128" i="3"/>
  <c r="K129" i="3"/>
  <c r="K137" i="3"/>
  <c r="K138" i="3"/>
  <c r="K139" i="3"/>
  <c r="K140" i="3"/>
  <c r="K142" i="3"/>
  <c r="K143" i="3"/>
  <c r="K144" i="3"/>
  <c r="K145" i="3"/>
  <c r="K146" i="3"/>
  <c r="K150" i="3"/>
  <c r="K151" i="3"/>
  <c r="K153" i="3"/>
  <c r="K154" i="3"/>
  <c r="K155" i="3"/>
  <c r="K156" i="3"/>
  <c r="K157" i="3"/>
  <c r="K158" i="3"/>
  <c r="K159" i="3"/>
  <c r="K160" i="3"/>
  <c r="K162" i="3"/>
  <c r="K163" i="3"/>
  <c r="K164" i="3"/>
  <c r="K165" i="3"/>
  <c r="K166" i="3"/>
  <c r="K167" i="3"/>
  <c r="K168" i="3"/>
  <c r="K169" i="3"/>
  <c r="K170" i="3"/>
  <c r="K171" i="3"/>
  <c r="K172" i="3"/>
  <c r="K173" i="3"/>
  <c r="K174" i="3"/>
  <c r="K175" i="3"/>
  <c r="K176" i="3"/>
  <c r="J114" i="3"/>
  <c r="K114" i="3"/>
  <c r="J116" i="3"/>
  <c r="K116" i="3"/>
  <c r="J118" i="3"/>
  <c r="K118" i="3"/>
  <c r="J120" i="3"/>
  <c r="J113" i="3"/>
  <c r="K113" i="3"/>
  <c r="J115" i="3"/>
  <c r="K115" i="3"/>
  <c r="J117" i="3"/>
  <c r="K117" i="3"/>
  <c r="J119" i="3"/>
  <c r="K119" i="3"/>
  <c r="K96" i="3"/>
  <c r="K97" i="3"/>
  <c r="K98" i="3"/>
  <c r="K99" i="3"/>
  <c r="K100" i="3"/>
  <c r="K101" i="3"/>
  <c r="K102" i="3"/>
  <c r="K103" i="3"/>
  <c r="K104" i="3"/>
  <c r="K105" i="3"/>
  <c r="K106" i="3"/>
  <c r="K107" i="3"/>
  <c r="K108" i="3"/>
  <c r="K109" i="3"/>
  <c r="K110" i="3"/>
  <c r="K111" i="3"/>
  <c r="K112" i="3"/>
  <c r="K94" i="3"/>
  <c r="K72" i="3"/>
  <c r="J72" i="3"/>
  <c r="K74" i="3"/>
  <c r="J74" i="3"/>
  <c r="K76" i="3"/>
  <c r="J76" i="3"/>
  <c r="K78" i="3"/>
  <c r="J78" i="3"/>
  <c r="K80" i="3"/>
  <c r="J80" i="3"/>
  <c r="K82" i="3"/>
  <c r="J82" i="3"/>
  <c r="K84" i="3"/>
  <c r="J84" i="3"/>
  <c r="K86" i="3"/>
  <c r="J86" i="3"/>
  <c r="K73" i="3"/>
  <c r="J73" i="3"/>
  <c r="K75" i="3"/>
  <c r="J75" i="3"/>
  <c r="J79" i="3"/>
  <c r="K79" i="3"/>
  <c r="K81" i="3"/>
  <c r="J81" i="3"/>
  <c r="K83" i="3"/>
  <c r="J83" i="3"/>
  <c r="K85" i="3"/>
  <c r="J85" i="3"/>
  <c r="K87" i="3"/>
  <c r="J87" i="3"/>
  <c r="J51" i="3"/>
  <c r="K51" i="3"/>
  <c r="J53" i="3"/>
  <c r="K53" i="3"/>
  <c r="J55" i="3"/>
  <c r="K55" i="3"/>
  <c r="J57" i="3"/>
  <c r="K57" i="3"/>
  <c r="J59" i="3"/>
  <c r="K59" i="3"/>
  <c r="J61" i="3"/>
  <c r="K61" i="3"/>
  <c r="J63" i="3"/>
  <c r="K63" i="3"/>
  <c r="J65" i="3"/>
  <c r="K65" i="3"/>
  <c r="J54" i="3"/>
  <c r="K54" i="3"/>
  <c r="J56" i="3"/>
  <c r="K56" i="3"/>
  <c r="J58" i="3"/>
  <c r="K58" i="3"/>
  <c r="J60" i="3"/>
  <c r="K60" i="3"/>
  <c r="J62" i="3"/>
  <c r="K62" i="3"/>
  <c r="J64" i="3"/>
  <c r="K64" i="3"/>
  <c r="K50" i="3"/>
  <c r="J32" i="3"/>
  <c r="K32" i="3"/>
  <c r="K34" i="3"/>
  <c r="J34" i="3"/>
  <c r="K36" i="3"/>
  <c r="J36" i="3"/>
  <c r="K38" i="3"/>
  <c r="J38" i="3"/>
  <c r="K40" i="3"/>
  <c r="J40" i="3"/>
  <c r="K42" i="3"/>
  <c r="J42" i="3"/>
  <c r="J33" i="3"/>
  <c r="K33" i="3"/>
  <c r="K35" i="3"/>
  <c r="J35" i="3"/>
  <c r="J37" i="3"/>
  <c r="K37" i="3"/>
  <c r="K39" i="3"/>
  <c r="J39" i="3"/>
  <c r="K41" i="3"/>
  <c r="J41" i="3"/>
  <c r="J43" i="3"/>
  <c r="K43" i="3"/>
  <c r="F5" i="3"/>
  <c r="G25" i="3"/>
  <c r="I25" i="3" s="1"/>
  <c r="J25" i="3" s="1"/>
  <c r="G24" i="3"/>
  <c r="I24" i="3" s="1"/>
  <c r="J24" i="3" s="1"/>
  <c r="G23" i="3"/>
  <c r="I23" i="3" s="1"/>
  <c r="J23" i="3" s="1"/>
  <c r="G22" i="3"/>
  <c r="I22" i="3" s="1"/>
  <c r="J22" i="3" s="1"/>
  <c r="G21" i="3"/>
  <c r="I21" i="3" s="1"/>
  <c r="J21" i="3" s="1"/>
  <c r="G20" i="3"/>
  <c r="I20" i="3" s="1"/>
  <c r="J20" i="3" s="1"/>
  <c r="G19" i="3"/>
  <c r="I19" i="3" s="1"/>
  <c r="J19" i="3" s="1"/>
  <c r="G18" i="3"/>
  <c r="I18" i="3" s="1"/>
  <c r="J18" i="3" s="1"/>
  <c r="G17" i="3"/>
  <c r="I17" i="3" s="1"/>
  <c r="J17" i="3" s="1"/>
  <c r="G16" i="3"/>
  <c r="I16" i="3" s="1"/>
  <c r="J16" i="3" s="1"/>
  <c r="G15" i="3"/>
  <c r="I15" i="3" s="1"/>
  <c r="J15" i="3" s="1"/>
  <c r="G14" i="3"/>
  <c r="I14" i="3" s="1"/>
  <c r="J14" i="3" s="1"/>
  <c r="G13" i="3"/>
  <c r="I13" i="3" s="1"/>
  <c r="J13" i="3" s="1"/>
  <c r="G12" i="3"/>
  <c r="I12" i="3" s="1"/>
  <c r="J12" i="3" s="1"/>
  <c r="G11" i="3"/>
  <c r="I11" i="3" s="1"/>
  <c r="J11" i="3" s="1"/>
  <c r="G10" i="3"/>
  <c r="I10" i="3" s="1"/>
  <c r="J10" i="3" s="1"/>
  <c r="G9" i="3"/>
  <c r="I9" i="3" s="1"/>
  <c r="J9" i="3" s="1"/>
  <c r="G8" i="3"/>
  <c r="I8" i="3" s="1"/>
  <c r="J8" i="3" s="1"/>
  <c r="G7" i="3"/>
  <c r="I7" i="3" s="1"/>
  <c r="J7" i="3" s="1"/>
  <c r="F215" i="2"/>
  <c r="G216" i="2"/>
  <c r="I216" i="2" s="1"/>
  <c r="G225" i="2"/>
  <c r="I225" i="2" s="1"/>
  <c r="G224" i="2"/>
  <c r="I224" i="2" s="1"/>
  <c r="G223" i="2"/>
  <c r="I223" i="2" s="1"/>
  <c r="J223" i="2" s="1"/>
  <c r="G222" i="2"/>
  <c r="I222" i="2" s="1"/>
  <c r="J222" i="2" s="1"/>
  <c r="G221" i="2"/>
  <c r="I221" i="2" s="1"/>
  <c r="J221" i="2" s="1"/>
  <c r="G220" i="2"/>
  <c r="I220" i="2" s="1"/>
  <c r="J220" i="2" s="1"/>
  <c r="G219" i="2"/>
  <c r="I219" i="2" s="1"/>
  <c r="J219" i="2" s="1"/>
  <c r="G218" i="2"/>
  <c r="I218" i="2" s="1"/>
  <c r="J218" i="2" s="1"/>
  <c r="G217" i="2"/>
  <c r="I217" i="2" s="1"/>
  <c r="J217" i="2" s="1"/>
  <c r="F200" i="2"/>
  <c r="F211" i="2"/>
  <c r="H211" i="2"/>
  <c r="G210" i="2"/>
  <c r="I210" i="2" s="1"/>
  <c r="G209" i="2"/>
  <c r="I209" i="2" s="1"/>
  <c r="G208" i="2"/>
  <c r="I208" i="2" s="1"/>
  <c r="G206" i="2"/>
  <c r="I206" i="2" s="1"/>
  <c r="J206" i="2" s="1"/>
  <c r="G205" i="2"/>
  <c r="I205" i="2" s="1"/>
  <c r="J205" i="2" s="1"/>
  <c r="G204" i="2"/>
  <c r="I204" i="2" s="1"/>
  <c r="J204" i="2" s="1"/>
  <c r="G203" i="2"/>
  <c r="I203" i="2" s="1"/>
  <c r="J203" i="2" s="1"/>
  <c r="G202" i="2"/>
  <c r="I202" i="2" s="1"/>
  <c r="J202" i="2" s="1"/>
  <c r="F187" i="2"/>
  <c r="G195" i="2"/>
  <c r="I195" i="2" s="1"/>
  <c r="G194" i="2"/>
  <c r="I194" i="2" s="1"/>
  <c r="G193" i="2"/>
  <c r="I193" i="2" s="1"/>
  <c r="G192" i="2"/>
  <c r="I192" i="2" s="1"/>
  <c r="G191" i="2"/>
  <c r="I191" i="2" s="1"/>
  <c r="G190" i="2"/>
  <c r="I190" i="2" s="1"/>
  <c r="J190" i="2" s="1"/>
  <c r="G189" i="2"/>
  <c r="F166" i="2"/>
  <c r="G182" i="2"/>
  <c r="I182" i="2" s="1"/>
  <c r="G181" i="2"/>
  <c r="I181" i="2" s="1"/>
  <c r="J181" i="2" s="1"/>
  <c r="G180" i="2"/>
  <c r="I180" i="2" s="1"/>
  <c r="J180" i="2" s="1"/>
  <c r="G179" i="2"/>
  <c r="I179" i="2" s="1"/>
  <c r="G178" i="2"/>
  <c r="I178" i="2" s="1"/>
  <c r="G177" i="2"/>
  <c r="I177" i="2" s="1"/>
  <c r="G176" i="2"/>
  <c r="I176" i="2" s="1"/>
  <c r="G175" i="2"/>
  <c r="I175" i="2" s="1"/>
  <c r="G174" i="2"/>
  <c r="I174" i="2" s="1"/>
  <c r="G173" i="2"/>
  <c r="I173" i="2" s="1"/>
  <c r="G172" i="2"/>
  <c r="I172" i="2" s="1"/>
  <c r="G171" i="2"/>
  <c r="I171" i="2" s="1"/>
  <c r="G170" i="2"/>
  <c r="I170" i="2" s="1"/>
  <c r="J170" i="2" s="1"/>
  <c r="G169" i="2"/>
  <c r="I169" i="2" s="1"/>
  <c r="J169" i="2" s="1"/>
  <c r="G168" i="2"/>
  <c r="F156" i="2"/>
  <c r="G161" i="2"/>
  <c r="I161" i="2" s="1"/>
  <c r="G160" i="2"/>
  <c r="I160" i="2" s="1"/>
  <c r="G159" i="2"/>
  <c r="I159" i="2" s="1"/>
  <c r="G158" i="2"/>
  <c r="I158" i="2" s="1"/>
  <c r="G151" i="2"/>
  <c r="I151" i="2" s="1"/>
  <c r="G150" i="2"/>
  <c r="I150" i="2" s="1"/>
  <c r="G149" i="2"/>
  <c r="I149" i="2" s="1"/>
  <c r="G148" i="2"/>
  <c r="I148" i="2" s="1"/>
  <c r="G147" i="2"/>
  <c r="I147" i="2" s="1"/>
  <c r="F145" i="2"/>
  <c r="G140" i="2"/>
  <c r="I140" i="2" s="1"/>
  <c r="J140" i="2" s="1"/>
  <c r="G139" i="2"/>
  <c r="I139" i="2" s="1"/>
  <c r="J139" i="2" s="1"/>
  <c r="G138" i="2"/>
  <c r="I138" i="2" s="1"/>
  <c r="J138" i="2" s="1"/>
  <c r="G137" i="2"/>
  <c r="I137" i="2" s="1"/>
  <c r="J137" i="2" s="1"/>
  <c r="F135" i="2"/>
  <c r="G130" i="2"/>
  <c r="I130" i="2" s="1"/>
  <c r="G129" i="2"/>
  <c r="I129" i="2" s="1"/>
  <c r="F127" i="2"/>
  <c r="G122" i="2"/>
  <c r="I122" i="2" s="1"/>
  <c r="J122" i="2" s="1"/>
  <c r="G121" i="2"/>
  <c r="I121" i="2" s="1"/>
  <c r="J121" i="2" s="1"/>
  <c r="G114" i="2"/>
  <c r="I114" i="2" s="1"/>
  <c r="J114" i="2" s="1"/>
  <c r="G113" i="2"/>
  <c r="I113" i="2" s="1"/>
  <c r="J113" i="2" s="1"/>
  <c r="G112" i="2"/>
  <c r="I112" i="2" s="1"/>
  <c r="J112" i="2" s="1"/>
  <c r="F119" i="2"/>
  <c r="F42" i="2"/>
  <c r="F13" i="2"/>
  <c r="C12" i="2"/>
  <c r="C244" i="1"/>
  <c r="C240" i="1"/>
  <c r="C224" i="1"/>
  <c r="F211" i="1"/>
  <c r="I189" i="2" l="1"/>
  <c r="J189" i="2" s="1"/>
  <c r="G196" i="2"/>
  <c r="J7" i="5"/>
  <c r="J36" i="5" s="1"/>
  <c r="I36" i="5"/>
  <c r="K7" i="5"/>
  <c r="J52" i="6"/>
  <c r="I68" i="6"/>
  <c r="I168" i="2"/>
  <c r="J168" i="2" s="1"/>
  <c r="G183" i="2"/>
  <c r="J110" i="4"/>
  <c r="K110" i="4"/>
  <c r="K358" i="3"/>
  <c r="K7" i="3"/>
  <c r="K8" i="3"/>
  <c r="K9" i="3"/>
  <c r="K10" i="3"/>
  <c r="K11" i="3"/>
  <c r="K12" i="3"/>
  <c r="K13" i="3"/>
  <c r="K14" i="3"/>
  <c r="K15" i="3"/>
  <c r="K16" i="3"/>
  <c r="K17" i="3"/>
  <c r="K18" i="3"/>
  <c r="K19" i="3"/>
  <c r="K20" i="3"/>
  <c r="K21" i="3"/>
  <c r="K22" i="3"/>
  <c r="K23" i="3"/>
  <c r="K24" i="3"/>
  <c r="K25" i="3"/>
  <c r="J216" i="2"/>
  <c r="K216" i="2"/>
  <c r="J225" i="2"/>
  <c r="K225" i="2"/>
  <c r="J224" i="2"/>
  <c r="K224" i="2"/>
  <c r="K217" i="2"/>
  <c r="K218" i="2"/>
  <c r="K219" i="2"/>
  <c r="K220" i="2"/>
  <c r="K221" i="2"/>
  <c r="K222" i="2"/>
  <c r="K223" i="2"/>
  <c r="J208" i="2"/>
  <c r="K208" i="2"/>
  <c r="J210" i="2"/>
  <c r="K210" i="2"/>
  <c r="J209" i="2"/>
  <c r="K209" i="2"/>
  <c r="K203" i="2"/>
  <c r="K204" i="2"/>
  <c r="K205" i="2"/>
  <c r="K206" i="2"/>
  <c r="K202" i="2"/>
  <c r="K194" i="2"/>
  <c r="K195" i="2"/>
  <c r="J158" i="2"/>
  <c r="K158" i="2"/>
  <c r="J160" i="2"/>
  <c r="K160" i="2"/>
  <c r="J159" i="2"/>
  <c r="K159" i="2"/>
  <c r="J161" i="2"/>
  <c r="K161" i="2"/>
  <c r="K147" i="2"/>
  <c r="J147" i="2"/>
  <c r="K149" i="2"/>
  <c r="J149" i="2"/>
  <c r="K151" i="2"/>
  <c r="J151" i="2"/>
  <c r="J148" i="2"/>
  <c r="K150" i="2"/>
  <c r="J150" i="2"/>
  <c r="K137" i="2"/>
  <c r="K138" i="2"/>
  <c r="K140" i="2"/>
  <c r="J130" i="2"/>
  <c r="K130" i="2"/>
  <c r="J129" i="2"/>
  <c r="K129" i="2"/>
  <c r="K121" i="2"/>
  <c r="K122" i="2"/>
  <c r="K114" i="2"/>
  <c r="K112" i="2"/>
  <c r="K113" i="2"/>
  <c r="L37" i="5" l="1"/>
  <c r="F12" i="8"/>
  <c r="F53" i="8" s="1"/>
  <c r="M37" i="5"/>
  <c r="G12" i="8"/>
  <c r="G53" i="8" s="1"/>
  <c r="F110" i="2"/>
  <c r="G104" i="2"/>
  <c r="I104" i="2" s="1"/>
  <c r="G103" i="2"/>
  <c r="I103" i="2" s="1"/>
  <c r="G102" i="2"/>
  <c r="I102" i="2" s="1"/>
  <c r="G101" i="2"/>
  <c r="I101" i="2" s="1"/>
  <c r="G100" i="2"/>
  <c r="I100" i="2" s="1"/>
  <c r="G99" i="2"/>
  <c r="I99" i="2" s="1"/>
  <c r="G98" i="2"/>
  <c r="F96" i="2"/>
  <c r="G91" i="2"/>
  <c r="I91" i="2" s="1"/>
  <c r="G90" i="2"/>
  <c r="I90" i="2" s="1"/>
  <c r="G89" i="2"/>
  <c r="I89" i="2" s="1"/>
  <c r="G88" i="2"/>
  <c r="I88" i="2" s="1"/>
  <c r="G87" i="2"/>
  <c r="I87" i="2" s="1"/>
  <c r="G86" i="2"/>
  <c r="I86" i="2" s="1"/>
  <c r="G85" i="2"/>
  <c r="I85" i="2" s="1"/>
  <c r="F83" i="2"/>
  <c r="G78" i="2"/>
  <c r="I78" i="2" s="1"/>
  <c r="G77" i="2"/>
  <c r="I77" i="2" s="1"/>
  <c r="G76" i="2"/>
  <c r="I76" i="2" s="1"/>
  <c r="G75" i="2"/>
  <c r="I75" i="2" s="1"/>
  <c r="G74" i="2"/>
  <c r="I74" i="2" s="1"/>
  <c r="G73" i="2"/>
  <c r="I73" i="2" s="1"/>
  <c r="F71" i="2"/>
  <c r="G66" i="2"/>
  <c r="I66" i="2" s="1"/>
  <c r="G65" i="2"/>
  <c r="I65" i="2" s="1"/>
  <c r="G64" i="2"/>
  <c r="I64" i="2" s="1"/>
  <c r="G63" i="2"/>
  <c r="I63" i="2" s="1"/>
  <c r="G62" i="2"/>
  <c r="I62" i="2" s="1"/>
  <c r="F60" i="2"/>
  <c r="G52" i="2"/>
  <c r="I52" i="2" s="1"/>
  <c r="G51" i="2"/>
  <c r="I51" i="2" s="1"/>
  <c r="G50" i="2"/>
  <c r="I50" i="2" s="1"/>
  <c r="G49" i="2"/>
  <c r="I49" i="2" s="1"/>
  <c r="G48" i="2"/>
  <c r="I48" i="2" s="1"/>
  <c r="F46" i="2"/>
  <c r="G41" i="2"/>
  <c r="I41" i="2" s="1"/>
  <c r="G40" i="2"/>
  <c r="I40" i="2" s="1"/>
  <c r="G39" i="2"/>
  <c r="I39" i="2" s="1"/>
  <c r="G32" i="2"/>
  <c r="I32" i="2" s="1"/>
  <c r="G31" i="2"/>
  <c r="I31" i="2" s="1"/>
  <c r="G30" i="2"/>
  <c r="I30" i="2" s="1"/>
  <c r="G29" i="2"/>
  <c r="I29" i="2" s="1"/>
  <c r="F37" i="2"/>
  <c r="F27" i="2"/>
  <c r="G22" i="2"/>
  <c r="I22" i="2" s="1"/>
  <c r="G21" i="2"/>
  <c r="I21" i="2" s="1"/>
  <c r="G20" i="2"/>
  <c r="I20" i="2" s="1"/>
  <c r="G19" i="2"/>
  <c r="I19" i="2" s="1"/>
  <c r="F17" i="2"/>
  <c r="G12" i="2"/>
  <c r="I12" i="2" s="1"/>
  <c r="G11" i="2"/>
  <c r="I11" i="2" s="1"/>
  <c r="G10" i="2"/>
  <c r="I10" i="2" s="1"/>
  <c r="J10" i="2" s="1"/>
  <c r="G9" i="2"/>
  <c r="I9" i="2" s="1"/>
  <c r="J9" i="2" s="1"/>
  <c r="G8" i="2"/>
  <c r="I8" i="2" s="1"/>
  <c r="G7" i="2"/>
  <c r="I7" i="2" s="1"/>
  <c r="J7" i="2" s="1"/>
  <c r="F5" i="2"/>
  <c r="G290" i="1"/>
  <c r="I290" i="1" s="1"/>
  <c r="M290" i="1" s="1"/>
  <c r="G289" i="1"/>
  <c r="I289" i="1" s="1"/>
  <c r="G288" i="1"/>
  <c r="I288" i="1" s="1"/>
  <c r="G287" i="1"/>
  <c r="I287" i="1" s="1"/>
  <c r="G286" i="1"/>
  <c r="I286" i="1" s="1"/>
  <c r="G285" i="1"/>
  <c r="I285" i="1" s="1"/>
  <c r="G284" i="1"/>
  <c r="I284" i="1" s="1"/>
  <c r="J284" i="1" s="1"/>
  <c r="G283" i="1"/>
  <c r="I283" i="1" s="1"/>
  <c r="G282" i="1"/>
  <c r="I282" i="1" s="1"/>
  <c r="G281" i="1"/>
  <c r="I281" i="1" s="1"/>
  <c r="G280" i="1"/>
  <c r="I280" i="1" s="1"/>
  <c r="J280" i="1" s="1"/>
  <c r="G279" i="1"/>
  <c r="I279" i="1" s="1"/>
  <c r="G278" i="1"/>
  <c r="I278" i="1" s="1"/>
  <c r="J278" i="1" s="1"/>
  <c r="G277" i="1"/>
  <c r="I277" i="1" s="1"/>
  <c r="K277" i="1" s="1"/>
  <c r="F275" i="1"/>
  <c r="F255" i="1"/>
  <c r="G270" i="1"/>
  <c r="G269" i="1"/>
  <c r="I269" i="1" s="1"/>
  <c r="G268" i="1"/>
  <c r="I268" i="1" s="1"/>
  <c r="J268" i="1" s="1"/>
  <c r="G267" i="1"/>
  <c r="I267" i="1" s="1"/>
  <c r="J267" i="1" s="1"/>
  <c r="G266" i="1"/>
  <c r="I266" i="1" s="1"/>
  <c r="J266" i="1" s="1"/>
  <c r="G265" i="1"/>
  <c r="I265" i="1" s="1"/>
  <c r="J265" i="1" s="1"/>
  <c r="G264" i="1"/>
  <c r="I264" i="1" s="1"/>
  <c r="J264" i="1" s="1"/>
  <c r="G263" i="1"/>
  <c r="I263" i="1" s="1"/>
  <c r="G262" i="1"/>
  <c r="I262" i="1" s="1"/>
  <c r="G261" i="1"/>
  <c r="I261" i="1" s="1"/>
  <c r="J261" i="1" s="1"/>
  <c r="G260" i="1"/>
  <c r="I260" i="1" s="1"/>
  <c r="J260" i="1" s="1"/>
  <c r="G259" i="1"/>
  <c r="I259" i="1" s="1"/>
  <c r="J259" i="1" s="1"/>
  <c r="G258" i="1"/>
  <c r="I258" i="1" s="1"/>
  <c r="J258" i="1" s="1"/>
  <c r="G257" i="1"/>
  <c r="I257" i="1" s="1"/>
  <c r="F235" i="1"/>
  <c r="G250" i="1"/>
  <c r="I250" i="1" s="1"/>
  <c r="J250" i="1" s="1"/>
  <c r="G249" i="1"/>
  <c r="I249" i="1" s="1"/>
  <c r="J249" i="1" s="1"/>
  <c r="G248" i="1"/>
  <c r="I248" i="1" s="1"/>
  <c r="J248" i="1" s="1"/>
  <c r="G247" i="1"/>
  <c r="I247" i="1" s="1"/>
  <c r="G246" i="1"/>
  <c r="I246" i="1" s="1"/>
  <c r="J246" i="1" s="1"/>
  <c r="G245" i="1"/>
  <c r="I245" i="1" s="1"/>
  <c r="J245" i="1" s="1"/>
  <c r="G244" i="1"/>
  <c r="I244" i="1" s="1"/>
  <c r="J244" i="1" s="1"/>
  <c r="G243" i="1"/>
  <c r="I243" i="1" s="1"/>
  <c r="J243" i="1" s="1"/>
  <c r="G242" i="1"/>
  <c r="I242" i="1" s="1"/>
  <c r="G241" i="1"/>
  <c r="I241" i="1" s="1"/>
  <c r="G240" i="1"/>
  <c r="I240" i="1" s="1"/>
  <c r="J240" i="1" s="1"/>
  <c r="G239" i="1"/>
  <c r="I239" i="1" s="1"/>
  <c r="J239" i="1" s="1"/>
  <c r="G238" i="1"/>
  <c r="I238" i="1" s="1"/>
  <c r="J238" i="1" s="1"/>
  <c r="G237" i="1"/>
  <c r="G230" i="1"/>
  <c r="I230" i="1" s="1"/>
  <c r="G229" i="1"/>
  <c r="I229" i="1" s="1"/>
  <c r="G228" i="1"/>
  <c r="I228" i="1" s="1"/>
  <c r="G227" i="1"/>
  <c r="I227" i="1" s="1"/>
  <c r="G225" i="1"/>
  <c r="I225" i="1" s="1"/>
  <c r="G224" i="1"/>
  <c r="I224" i="1" s="1"/>
  <c r="G223" i="1"/>
  <c r="I223" i="1" s="1"/>
  <c r="G222" i="1"/>
  <c r="I222" i="1" s="1"/>
  <c r="G221" i="1"/>
  <c r="I221" i="1" s="1"/>
  <c r="G220" i="1"/>
  <c r="I220" i="1" s="1"/>
  <c r="G219" i="1"/>
  <c r="I219" i="1" s="1"/>
  <c r="G218" i="1"/>
  <c r="I218" i="1" s="1"/>
  <c r="G217" i="1"/>
  <c r="I217" i="1" s="1"/>
  <c r="F215" i="1"/>
  <c r="G210" i="1"/>
  <c r="I210" i="1" s="1"/>
  <c r="G209" i="1"/>
  <c r="I209" i="1" s="1"/>
  <c r="G208" i="1"/>
  <c r="I208" i="1" s="1"/>
  <c r="G207" i="1"/>
  <c r="I207" i="1" s="1"/>
  <c r="G206" i="1"/>
  <c r="I206" i="1" s="1"/>
  <c r="G205" i="1"/>
  <c r="I205" i="1" s="1"/>
  <c r="G204" i="1"/>
  <c r="I204" i="1" s="1"/>
  <c r="G203" i="1"/>
  <c r="I203" i="1" s="1"/>
  <c r="G202" i="1"/>
  <c r="I202" i="1" s="1"/>
  <c r="G201" i="1"/>
  <c r="I201" i="1" s="1"/>
  <c r="G200" i="1"/>
  <c r="I200" i="1" s="1"/>
  <c r="G199" i="1"/>
  <c r="I199" i="1" s="1"/>
  <c r="G198" i="1"/>
  <c r="I198" i="1" s="1"/>
  <c r="G197" i="1"/>
  <c r="I197" i="1" s="1"/>
  <c r="G196" i="1"/>
  <c r="I196" i="1" s="1"/>
  <c r="G195" i="1"/>
  <c r="I195" i="1" s="1"/>
  <c r="G194" i="1"/>
  <c r="I194" i="1" s="1"/>
  <c r="G193" i="1"/>
  <c r="I193" i="1" s="1"/>
  <c r="F191" i="1"/>
  <c r="G186" i="1"/>
  <c r="I186" i="1" s="1"/>
  <c r="G185" i="1"/>
  <c r="I185" i="1" s="1"/>
  <c r="G184" i="1"/>
  <c r="I184" i="1" s="1"/>
  <c r="G183" i="1"/>
  <c r="I183" i="1" s="1"/>
  <c r="G182" i="1"/>
  <c r="I182" i="1" s="1"/>
  <c r="G181" i="1"/>
  <c r="I181" i="1" s="1"/>
  <c r="G180" i="1"/>
  <c r="I180" i="1" s="1"/>
  <c r="J180" i="1" s="1"/>
  <c r="G179" i="1"/>
  <c r="I179" i="1" s="1"/>
  <c r="J179" i="1" s="1"/>
  <c r="G178" i="1"/>
  <c r="I178" i="1" s="1"/>
  <c r="J178" i="1" s="1"/>
  <c r="F176" i="1"/>
  <c r="G171" i="1"/>
  <c r="I171" i="1" s="1"/>
  <c r="G170" i="1"/>
  <c r="I170" i="1" s="1"/>
  <c r="G169" i="1"/>
  <c r="I169" i="1" s="1"/>
  <c r="G168" i="1"/>
  <c r="I168" i="1" s="1"/>
  <c r="G167" i="1"/>
  <c r="I167" i="1" s="1"/>
  <c r="G166" i="1"/>
  <c r="I166" i="1" s="1"/>
  <c r="F164" i="1"/>
  <c r="G159" i="1"/>
  <c r="I159" i="1" s="1"/>
  <c r="G158" i="1"/>
  <c r="I158" i="1" s="1"/>
  <c r="G157" i="1"/>
  <c r="I157" i="1" s="1"/>
  <c r="G156" i="1"/>
  <c r="I156" i="1" s="1"/>
  <c r="G155" i="1"/>
  <c r="I155" i="1" s="1"/>
  <c r="G154" i="1"/>
  <c r="I154" i="1" s="1"/>
  <c r="G153" i="1"/>
  <c r="I153" i="1" s="1"/>
  <c r="G152" i="1"/>
  <c r="I152" i="1" s="1"/>
  <c r="G151" i="1"/>
  <c r="I151" i="1" s="1"/>
  <c r="J151" i="1" s="1"/>
  <c r="G150" i="1"/>
  <c r="I150" i="1" s="1"/>
  <c r="J150" i="1" s="1"/>
  <c r="G149" i="1"/>
  <c r="I149" i="1" s="1"/>
  <c r="J149" i="1" s="1"/>
  <c r="G148" i="1"/>
  <c r="I148" i="1" s="1"/>
  <c r="J148" i="1" s="1"/>
  <c r="G147" i="1"/>
  <c r="I147" i="1" s="1"/>
  <c r="J147" i="1" s="1"/>
  <c r="G146" i="1"/>
  <c r="I146" i="1" s="1"/>
  <c r="J146" i="1" s="1"/>
  <c r="G145" i="1"/>
  <c r="I145" i="1" s="1"/>
  <c r="J145" i="1" s="1"/>
  <c r="G144" i="1"/>
  <c r="I144" i="1" s="1"/>
  <c r="J144" i="1" s="1"/>
  <c r="G143" i="1"/>
  <c r="I143" i="1" s="1"/>
  <c r="J143" i="1" s="1"/>
  <c r="G142" i="1"/>
  <c r="I142" i="1" s="1"/>
  <c r="J142" i="1" s="1"/>
  <c r="G141" i="1"/>
  <c r="I141" i="1" s="1"/>
  <c r="J141" i="1" s="1"/>
  <c r="G140" i="1"/>
  <c r="I140" i="1" s="1"/>
  <c r="J140" i="1" s="1"/>
  <c r="G139" i="1"/>
  <c r="I139" i="1" s="1"/>
  <c r="J139" i="1" s="1"/>
  <c r="G138" i="1"/>
  <c r="I138" i="1" s="1"/>
  <c r="J138" i="1" s="1"/>
  <c r="G137" i="1"/>
  <c r="I137" i="1" s="1"/>
  <c r="J137" i="1" s="1"/>
  <c r="G136" i="1"/>
  <c r="I136" i="1" s="1"/>
  <c r="J136" i="1" s="1"/>
  <c r="G135" i="1"/>
  <c r="I135" i="1" s="1"/>
  <c r="J135" i="1" s="1"/>
  <c r="G134" i="1"/>
  <c r="I134" i="1" s="1"/>
  <c r="J134" i="1" s="1"/>
  <c r="G133" i="1"/>
  <c r="I133" i="1" s="1"/>
  <c r="J133" i="1" s="1"/>
  <c r="G132" i="1"/>
  <c r="I132" i="1" s="1"/>
  <c r="J132" i="1" s="1"/>
  <c r="G131" i="1"/>
  <c r="I131" i="1" s="1"/>
  <c r="J131" i="1" s="1"/>
  <c r="G130" i="1"/>
  <c r="I130" i="1" s="1"/>
  <c r="J130" i="1" s="1"/>
  <c r="F128" i="1"/>
  <c r="G123" i="1"/>
  <c r="I123" i="1" s="1"/>
  <c r="G122" i="1"/>
  <c r="I122" i="1" s="1"/>
  <c r="G121" i="1"/>
  <c r="I121" i="1" s="1"/>
  <c r="J121" i="1" s="1"/>
  <c r="G120" i="1"/>
  <c r="I120" i="1" s="1"/>
  <c r="J120" i="1" s="1"/>
  <c r="G119" i="1"/>
  <c r="I119" i="1" s="1"/>
  <c r="J119" i="1" s="1"/>
  <c r="G118" i="1"/>
  <c r="I118" i="1" s="1"/>
  <c r="J118" i="1" s="1"/>
  <c r="G117" i="1"/>
  <c r="I117" i="1" s="1"/>
  <c r="J117" i="1" s="1"/>
  <c r="G116" i="1"/>
  <c r="I116" i="1" s="1"/>
  <c r="J116" i="1" s="1"/>
  <c r="G115" i="1"/>
  <c r="I115" i="1" s="1"/>
  <c r="J115" i="1" s="1"/>
  <c r="G114" i="1"/>
  <c r="I114" i="1" s="1"/>
  <c r="J114" i="1" s="1"/>
  <c r="G113" i="1"/>
  <c r="I113" i="1" s="1"/>
  <c r="J113" i="1" s="1"/>
  <c r="G112" i="1"/>
  <c r="I112" i="1" s="1"/>
  <c r="J112" i="1" s="1"/>
  <c r="G111" i="1"/>
  <c r="I111" i="1" s="1"/>
  <c r="J111" i="1" s="1"/>
  <c r="G109" i="1"/>
  <c r="I109" i="1" s="1"/>
  <c r="J109" i="1" s="1"/>
  <c r="G108" i="1"/>
  <c r="I108" i="1" s="1"/>
  <c r="J108" i="1" s="1"/>
  <c r="F106" i="1"/>
  <c r="G101" i="1"/>
  <c r="I101" i="1" s="1"/>
  <c r="G100" i="1"/>
  <c r="I100" i="1" s="1"/>
  <c r="G99" i="1"/>
  <c r="I99" i="1" s="1"/>
  <c r="G98" i="1"/>
  <c r="I98" i="1" s="1"/>
  <c r="G97" i="1"/>
  <c r="I97" i="1" s="1"/>
  <c r="G96" i="1"/>
  <c r="I96" i="1" s="1"/>
  <c r="G95" i="1"/>
  <c r="I95" i="1" s="1"/>
  <c r="G94" i="1"/>
  <c r="I94" i="1" s="1"/>
  <c r="G93" i="1"/>
  <c r="I93" i="1" s="1"/>
  <c r="G92" i="1"/>
  <c r="I92" i="1" s="1"/>
  <c r="G91" i="1"/>
  <c r="I91" i="1" s="1"/>
  <c r="G90" i="1"/>
  <c r="I90" i="1" s="1"/>
  <c r="G89" i="1"/>
  <c r="I89" i="1" s="1"/>
  <c r="G88" i="1"/>
  <c r="I88" i="1" s="1"/>
  <c r="G87" i="1"/>
  <c r="I87" i="1" s="1"/>
  <c r="F85" i="1"/>
  <c r="G80" i="1"/>
  <c r="I80" i="1" s="1"/>
  <c r="G79" i="1"/>
  <c r="I79" i="1" s="1"/>
  <c r="G78" i="1"/>
  <c r="I78" i="1" s="1"/>
  <c r="G77" i="1"/>
  <c r="I77" i="1" s="1"/>
  <c r="G76" i="1"/>
  <c r="I76" i="1" s="1"/>
  <c r="G75" i="1"/>
  <c r="I75" i="1" s="1"/>
  <c r="G74" i="1"/>
  <c r="I74" i="1" s="1"/>
  <c r="G73" i="1"/>
  <c r="I73" i="1" s="1"/>
  <c r="J73" i="1" s="1"/>
  <c r="G72" i="1"/>
  <c r="I72" i="1" s="1"/>
  <c r="J72" i="1" s="1"/>
  <c r="G71" i="1"/>
  <c r="I71" i="1" s="1"/>
  <c r="J71" i="1" s="1"/>
  <c r="G70" i="1"/>
  <c r="I70" i="1" s="1"/>
  <c r="J70" i="1" s="1"/>
  <c r="G69" i="1"/>
  <c r="I69" i="1" s="1"/>
  <c r="J69" i="1" s="1"/>
  <c r="G68" i="1"/>
  <c r="I68" i="1" s="1"/>
  <c r="J68" i="1" s="1"/>
  <c r="F66" i="1"/>
  <c r="G61" i="1"/>
  <c r="I61" i="1" s="1"/>
  <c r="G60" i="1"/>
  <c r="I60" i="1" s="1"/>
  <c r="G59" i="1"/>
  <c r="I59" i="1" s="1"/>
  <c r="G58" i="1"/>
  <c r="I58" i="1" s="1"/>
  <c r="G57" i="1"/>
  <c r="I57" i="1" s="1"/>
  <c r="G56" i="1"/>
  <c r="I56" i="1" s="1"/>
  <c r="G55" i="1"/>
  <c r="I55" i="1" s="1"/>
  <c r="J55" i="1" s="1"/>
  <c r="G54" i="1"/>
  <c r="I54" i="1" s="1"/>
  <c r="J54" i="1" s="1"/>
  <c r="G53" i="1"/>
  <c r="I53" i="1" s="1"/>
  <c r="J53" i="1" s="1"/>
  <c r="G52" i="1"/>
  <c r="I52" i="1" s="1"/>
  <c r="J52" i="1" s="1"/>
  <c r="G51" i="1"/>
  <c r="I51" i="1" s="1"/>
  <c r="J51" i="1" s="1"/>
  <c r="G50" i="1"/>
  <c r="I50" i="1" s="1"/>
  <c r="J50" i="1" s="1"/>
  <c r="F48" i="1"/>
  <c r="G43" i="1"/>
  <c r="I43" i="1" s="1"/>
  <c r="K43" i="1" s="1"/>
  <c r="G42" i="1"/>
  <c r="I42" i="1" s="1"/>
  <c r="K42" i="1" s="1"/>
  <c r="G41" i="1"/>
  <c r="I41" i="1" s="1"/>
  <c r="K41" i="1" s="1"/>
  <c r="G40" i="1"/>
  <c r="I40" i="1" s="1"/>
  <c r="K40" i="1" s="1"/>
  <c r="G39" i="1"/>
  <c r="I39" i="1" s="1"/>
  <c r="K39" i="1" s="1"/>
  <c r="G38" i="1"/>
  <c r="I38" i="1" s="1"/>
  <c r="K38" i="1" s="1"/>
  <c r="G37" i="1"/>
  <c r="I37" i="1" s="1"/>
  <c r="K37" i="1" s="1"/>
  <c r="G36" i="1"/>
  <c r="I36" i="1" s="1"/>
  <c r="K36" i="1" s="1"/>
  <c r="G35" i="1"/>
  <c r="I35" i="1" s="1"/>
  <c r="K35" i="1" s="1"/>
  <c r="G34" i="1"/>
  <c r="I34" i="1" s="1"/>
  <c r="K34" i="1" s="1"/>
  <c r="G33" i="1"/>
  <c r="I33" i="1" s="1"/>
  <c r="K33" i="1" s="1"/>
  <c r="G32" i="1"/>
  <c r="I32" i="1" s="1"/>
  <c r="K32" i="1" s="1"/>
  <c r="G31" i="1"/>
  <c r="I31" i="1" s="1"/>
  <c r="K31" i="1" s="1"/>
  <c r="G30" i="1"/>
  <c r="I30" i="1" s="1"/>
  <c r="K30" i="1" s="1"/>
  <c r="G29" i="1"/>
  <c r="I29" i="1" s="1"/>
  <c r="K29" i="1" s="1"/>
  <c r="G28" i="1"/>
  <c r="I28" i="1" s="1"/>
  <c r="K28" i="1" s="1"/>
  <c r="G27" i="1"/>
  <c r="I27" i="1" s="1"/>
  <c r="K27" i="1" s="1"/>
  <c r="G26" i="1"/>
  <c r="I26" i="1" s="1"/>
  <c r="K26" i="1" s="1"/>
  <c r="G25" i="1"/>
  <c r="I25" i="1" s="1"/>
  <c r="K25" i="1" s="1"/>
  <c r="G24" i="1"/>
  <c r="I24" i="1" s="1"/>
  <c r="K24" i="1" s="1"/>
  <c r="G23" i="1"/>
  <c r="I23" i="1" s="1"/>
  <c r="K23" i="1" s="1"/>
  <c r="G22" i="1"/>
  <c r="I22" i="1" s="1"/>
  <c r="G21" i="1"/>
  <c r="I21" i="1" s="1"/>
  <c r="K21" i="1" s="1"/>
  <c r="G20" i="1"/>
  <c r="I20" i="1" s="1"/>
  <c r="K20" i="1" s="1"/>
  <c r="G19" i="1"/>
  <c r="I19" i="1" s="1"/>
  <c r="J19" i="1" s="1"/>
  <c r="G18" i="1"/>
  <c r="I18" i="1" s="1"/>
  <c r="J18" i="1" s="1"/>
  <c r="G17" i="1"/>
  <c r="I17" i="1" s="1"/>
  <c r="J17" i="1" s="1"/>
  <c r="G16" i="1"/>
  <c r="I16" i="1" s="1"/>
  <c r="J16" i="1" s="1"/>
  <c r="G15" i="1"/>
  <c r="I15" i="1" s="1"/>
  <c r="J15" i="1" s="1"/>
  <c r="G14" i="1"/>
  <c r="I14" i="1" s="1"/>
  <c r="J14" i="1" s="1"/>
  <c r="G13" i="1"/>
  <c r="I13" i="1" s="1"/>
  <c r="K13" i="1" s="1"/>
  <c r="G12" i="1"/>
  <c r="I12" i="1" s="1"/>
  <c r="J12" i="1" s="1"/>
  <c r="G11" i="1"/>
  <c r="I11" i="1" s="1"/>
  <c r="K11" i="1" s="1"/>
  <c r="G10" i="1"/>
  <c r="I10" i="1" s="1"/>
  <c r="K10" i="1" s="1"/>
  <c r="G9" i="1"/>
  <c r="I9" i="1" s="1"/>
  <c r="J9" i="1" s="1"/>
  <c r="G8" i="1"/>
  <c r="I8" i="1" s="1"/>
  <c r="J8" i="1" s="1"/>
  <c r="G7" i="1"/>
  <c r="I7" i="1" s="1"/>
  <c r="K7" i="1" s="1"/>
  <c r="I211" i="1" l="1"/>
  <c r="I270" i="1"/>
  <c r="J270" i="1" s="1"/>
  <c r="J257" i="1"/>
  <c r="I271" i="1"/>
  <c r="I98" i="2"/>
  <c r="J98" i="2" s="1"/>
  <c r="G105" i="2"/>
  <c r="I237" i="1"/>
  <c r="G251" i="1"/>
  <c r="J262" i="1"/>
  <c r="J282" i="1"/>
  <c r="M282" i="1"/>
  <c r="K288" i="1"/>
  <c r="M288" i="1"/>
  <c r="J263" i="1"/>
  <c r="J269" i="1"/>
  <c r="K279" i="1"/>
  <c r="M279" i="1"/>
  <c r="K281" i="1"/>
  <c r="M281" i="1"/>
  <c r="K283" i="1"/>
  <c r="M283" i="1"/>
  <c r="K285" i="1"/>
  <c r="M285" i="1"/>
  <c r="K287" i="1"/>
  <c r="K289" i="1"/>
  <c r="K286" i="1"/>
  <c r="J286" i="1"/>
  <c r="K290" i="1"/>
  <c r="J290" i="1"/>
  <c r="J288" i="1"/>
  <c r="K98" i="2"/>
  <c r="J100" i="2"/>
  <c r="K100" i="2"/>
  <c r="J102" i="2"/>
  <c r="K102" i="2"/>
  <c r="J104" i="2"/>
  <c r="K104" i="2"/>
  <c r="J99" i="2"/>
  <c r="K99" i="2"/>
  <c r="J101" i="2"/>
  <c r="K101" i="2"/>
  <c r="J103" i="2"/>
  <c r="K103" i="2"/>
  <c r="J85" i="2"/>
  <c r="K85" i="2"/>
  <c r="J87" i="2"/>
  <c r="K87" i="2"/>
  <c r="J89" i="2"/>
  <c r="K89" i="2"/>
  <c r="J91" i="2"/>
  <c r="K91" i="2"/>
  <c r="J86" i="2"/>
  <c r="K86" i="2"/>
  <c r="J88" i="2"/>
  <c r="K88" i="2"/>
  <c r="J90" i="2"/>
  <c r="K90" i="2"/>
  <c r="J73" i="2"/>
  <c r="K73" i="2"/>
  <c r="J75" i="2"/>
  <c r="K75" i="2"/>
  <c r="J77" i="2"/>
  <c r="J74" i="2"/>
  <c r="K74" i="2"/>
  <c r="J76" i="2"/>
  <c r="K76" i="2"/>
  <c r="J78" i="2"/>
  <c r="K78" i="2"/>
  <c r="J62" i="2"/>
  <c r="K62" i="2"/>
  <c r="J64" i="2"/>
  <c r="K64" i="2"/>
  <c r="J66" i="2"/>
  <c r="K66" i="2"/>
  <c r="J63" i="2"/>
  <c r="K63" i="2"/>
  <c r="J65" i="2"/>
  <c r="K65" i="2"/>
  <c r="J48" i="2"/>
  <c r="K48" i="2"/>
  <c r="J50" i="2"/>
  <c r="K50" i="2"/>
  <c r="J52" i="2"/>
  <c r="K52" i="2"/>
  <c r="J49" i="2"/>
  <c r="K49" i="2"/>
  <c r="J51" i="2"/>
  <c r="K51" i="2"/>
  <c r="J39" i="2"/>
  <c r="K39" i="2"/>
  <c r="J41" i="2"/>
  <c r="K41" i="2"/>
  <c r="J40" i="2"/>
  <c r="K40" i="2"/>
  <c r="J30" i="2"/>
  <c r="K30" i="2"/>
  <c r="J32" i="2"/>
  <c r="K32" i="2"/>
  <c r="J29" i="2"/>
  <c r="K29" i="2"/>
  <c r="J31" i="2"/>
  <c r="K31" i="2"/>
  <c r="J20" i="2"/>
  <c r="K20" i="2"/>
  <c r="J22" i="2"/>
  <c r="K22" i="2"/>
  <c r="J19" i="2"/>
  <c r="K19" i="2"/>
  <c r="J21" i="2"/>
  <c r="K21" i="2"/>
  <c r="J8" i="2"/>
  <c r="K8" i="2"/>
  <c r="J12" i="2"/>
  <c r="K12" i="2"/>
  <c r="J11" i="2"/>
  <c r="K11" i="2"/>
  <c r="K9" i="2"/>
  <c r="K10" i="2"/>
  <c r="K7" i="2"/>
  <c r="J277" i="1"/>
  <c r="K278" i="1"/>
  <c r="J279" i="1"/>
  <c r="K280" i="1"/>
  <c r="J281" i="1"/>
  <c r="K282" i="1"/>
  <c r="J283" i="1"/>
  <c r="K284" i="1"/>
  <c r="J285" i="1"/>
  <c r="J287" i="1"/>
  <c r="J289" i="1"/>
  <c r="K237" i="1"/>
  <c r="K238" i="1"/>
  <c r="K239" i="1"/>
  <c r="K248" i="1"/>
  <c r="K249" i="1"/>
  <c r="J218" i="1"/>
  <c r="J220" i="1"/>
  <c r="J222" i="1"/>
  <c r="J228" i="1"/>
  <c r="J230" i="1"/>
  <c r="J217" i="1"/>
  <c r="J219" i="1"/>
  <c r="J221" i="1"/>
  <c r="J223" i="1"/>
  <c r="J225" i="1"/>
  <c r="J229" i="1"/>
  <c r="J194" i="1"/>
  <c r="K194" i="1"/>
  <c r="J196" i="1"/>
  <c r="K196" i="1"/>
  <c r="J198" i="1"/>
  <c r="K198" i="1"/>
  <c r="J200" i="1"/>
  <c r="K200" i="1"/>
  <c r="J202" i="1"/>
  <c r="K202" i="1"/>
  <c r="J204" i="1"/>
  <c r="K204" i="1"/>
  <c r="J206" i="1"/>
  <c r="K206" i="1"/>
  <c r="J208" i="1"/>
  <c r="K208" i="1"/>
  <c r="J210" i="1"/>
  <c r="K210" i="1"/>
  <c r="J193" i="1"/>
  <c r="K193" i="1"/>
  <c r="J195" i="1"/>
  <c r="K195" i="1"/>
  <c r="J197" i="1"/>
  <c r="K197" i="1"/>
  <c r="J199" i="1"/>
  <c r="K199" i="1"/>
  <c r="J201" i="1"/>
  <c r="K201" i="1"/>
  <c r="J203" i="1"/>
  <c r="K203" i="1"/>
  <c r="J205" i="1"/>
  <c r="K205" i="1"/>
  <c r="J207" i="1"/>
  <c r="K207" i="1"/>
  <c r="J209" i="1"/>
  <c r="K209" i="1"/>
  <c r="J182" i="1"/>
  <c r="K182" i="1"/>
  <c r="J184" i="1"/>
  <c r="K184" i="1"/>
  <c r="J186" i="1"/>
  <c r="K186" i="1"/>
  <c r="J181" i="1"/>
  <c r="K181" i="1"/>
  <c r="J183" i="1"/>
  <c r="K183" i="1"/>
  <c r="J185" i="1"/>
  <c r="K185" i="1"/>
  <c r="K178" i="1"/>
  <c r="K179" i="1"/>
  <c r="K180" i="1"/>
  <c r="J167" i="1"/>
  <c r="K167" i="1"/>
  <c r="J169" i="1"/>
  <c r="K169" i="1"/>
  <c r="J171" i="1"/>
  <c r="K171" i="1"/>
  <c r="J166" i="1"/>
  <c r="K166" i="1"/>
  <c r="J168" i="1"/>
  <c r="K168" i="1"/>
  <c r="J170" i="1"/>
  <c r="K170" i="1"/>
  <c r="J153" i="1"/>
  <c r="K153" i="1"/>
  <c r="J155" i="1"/>
  <c r="K155" i="1"/>
  <c r="J157" i="1"/>
  <c r="K157" i="1"/>
  <c r="J159" i="1"/>
  <c r="K159" i="1"/>
  <c r="J152" i="1"/>
  <c r="K152" i="1"/>
  <c r="J154" i="1"/>
  <c r="K154" i="1"/>
  <c r="J156" i="1"/>
  <c r="K156" i="1"/>
  <c r="J158" i="1"/>
  <c r="K158" i="1"/>
  <c r="K130" i="1"/>
  <c r="K131" i="1"/>
  <c r="K132" i="1"/>
  <c r="K133" i="1"/>
  <c r="K134" i="1"/>
  <c r="K135" i="1"/>
  <c r="K136" i="1"/>
  <c r="K137" i="1"/>
  <c r="K138" i="1"/>
  <c r="K139" i="1"/>
  <c r="K140" i="1"/>
  <c r="K141" i="1"/>
  <c r="K142" i="1"/>
  <c r="K143" i="1"/>
  <c r="K144" i="1"/>
  <c r="K145" i="1"/>
  <c r="K146" i="1"/>
  <c r="K147" i="1"/>
  <c r="K148" i="1"/>
  <c r="K149" i="1"/>
  <c r="K150" i="1"/>
  <c r="K151" i="1"/>
  <c r="K9" i="1"/>
  <c r="K15" i="1"/>
  <c r="K17" i="1"/>
  <c r="K19" i="1"/>
  <c r="K8" i="1"/>
  <c r="K12" i="1"/>
  <c r="K14" i="1"/>
  <c r="K16" i="1"/>
  <c r="K18" i="1"/>
  <c r="J122" i="1"/>
  <c r="K122" i="1"/>
  <c r="J123" i="1"/>
  <c r="K123" i="1"/>
  <c r="K108" i="1"/>
  <c r="K109" i="1"/>
  <c r="K111" i="1"/>
  <c r="K112" i="1"/>
  <c r="K113" i="1"/>
  <c r="K114" i="1"/>
  <c r="K117" i="1"/>
  <c r="K118" i="1"/>
  <c r="K119" i="1"/>
  <c r="K120" i="1"/>
  <c r="K121" i="1"/>
  <c r="J87" i="1"/>
  <c r="K87" i="1"/>
  <c r="J89" i="1"/>
  <c r="K89" i="1"/>
  <c r="K91" i="1"/>
  <c r="J91" i="1"/>
  <c r="J93" i="1"/>
  <c r="K93" i="1"/>
  <c r="J95" i="1"/>
  <c r="J97" i="1"/>
  <c r="K99" i="1"/>
  <c r="J99" i="1"/>
  <c r="J101" i="1"/>
  <c r="K101" i="1"/>
  <c r="J88" i="1"/>
  <c r="K88" i="1"/>
  <c r="J90" i="1"/>
  <c r="K90" i="1"/>
  <c r="K92" i="1"/>
  <c r="J92" i="1"/>
  <c r="J94" i="1"/>
  <c r="J96" i="1"/>
  <c r="J98" i="1"/>
  <c r="J100" i="1"/>
  <c r="K100" i="1"/>
  <c r="J74" i="1"/>
  <c r="K74" i="1"/>
  <c r="J76" i="1"/>
  <c r="J78" i="1"/>
  <c r="K78" i="1"/>
  <c r="J80" i="1"/>
  <c r="J75" i="1"/>
  <c r="K75" i="1"/>
  <c r="J77" i="1"/>
  <c r="K77" i="1"/>
  <c r="J79" i="1"/>
  <c r="K79" i="1"/>
  <c r="K68" i="1"/>
  <c r="K69" i="1"/>
  <c r="K70" i="1"/>
  <c r="K71" i="1"/>
  <c r="K72" i="1"/>
  <c r="K73" i="1"/>
  <c r="J56" i="1"/>
  <c r="K56" i="1"/>
  <c r="J58" i="1"/>
  <c r="K58" i="1"/>
  <c r="J60" i="1"/>
  <c r="K60" i="1"/>
  <c r="J57" i="1"/>
  <c r="K57" i="1"/>
  <c r="J59" i="1"/>
  <c r="K59" i="1"/>
  <c r="J61" i="1"/>
  <c r="K61" i="1"/>
  <c r="K50" i="1"/>
  <c r="K51" i="1"/>
  <c r="K52" i="1"/>
  <c r="K53" i="1"/>
  <c r="K54" i="1"/>
  <c r="K55" i="1"/>
  <c r="J20" i="1"/>
  <c r="J24" i="1"/>
  <c r="J10" i="1"/>
  <c r="J13" i="1"/>
  <c r="J21" i="1"/>
  <c r="J23" i="1"/>
  <c r="J25" i="1"/>
  <c r="J27" i="1"/>
  <c r="J29" i="1"/>
  <c r="J31" i="1"/>
  <c r="J33" i="1"/>
  <c r="J35" i="1"/>
  <c r="J37" i="1"/>
  <c r="J39" i="1"/>
  <c r="J41" i="1"/>
  <c r="J43" i="1"/>
  <c r="J11" i="1"/>
  <c r="J22" i="1"/>
  <c r="J26" i="1"/>
  <c r="J28" i="1"/>
  <c r="J30" i="1"/>
  <c r="J32" i="1"/>
  <c r="J34" i="1"/>
  <c r="J36" i="1"/>
  <c r="J38" i="1"/>
  <c r="J40" i="1"/>
  <c r="J42" i="1"/>
  <c r="H45" i="7"/>
  <c r="F45" i="7"/>
  <c r="E45" i="7"/>
  <c r="J237" i="1" l="1"/>
  <c r="I251" i="1"/>
  <c r="F72" i="7"/>
  <c r="H381" i="3"/>
  <c r="F381" i="3"/>
  <c r="F448" i="3" s="1"/>
  <c r="C10" i="8" s="1"/>
  <c r="C51" i="8" s="1"/>
  <c r="E381" i="3"/>
  <c r="C14" i="8" l="1"/>
  <c r="C55" i="8" s="1"/>
  <c r="H291" i="1"/>
  <c r="F291" i="1"/>
  <c r="E291" i="1"/>
  <c r="D330" i="3"/>
  <c r="K330" i="3" s="1"/>
  <c r="D301" i="3"/>
  <c r="K301" i="3" s="1"/>
  <c r="E300" i="3"/>
  <c r="G300" i="3" s="1"/>
  <c r="I300" i="3" s="1"/>
  <c r="J300" i="3" s="1"/>
  <c r="G141" i="3"/>
  <c r="I141" i="3" s="1"/>
  <c r="J141" i="3" l="1"/>
  <c r="K141" i="3"/>
  <c r="F226" i="2" l="1"/>
  <c r="F270" i="2" s="1"/>
  <c r="C9" i="8" s="1"/>
  <c r="C50" i="8" s="1"/>
  <c r="H226" i="2"/>
  <c r="E226" i="2"/>
  <c r="K291" i="1" l="1"/>
  <c r="G45" i="7" l="1"/>
  <c r="K45" i="7"/>
  <c r="K11" i="6" l="1"/>
  <c r="K118" i="4"/>
  <c r="J118" i="4"/>
  <c r="I118" i="4"/>
  <c r="K81" i="4"/>
  <c r="K91" i="4"/>
  <c r="K28" i="4"/>
  <c r="K162" i="2"/>
  <c r="K131" i="2"/>
  <c r="K123" i="2"/>
  <c r="K56" i="2"/>
  <c r="K42" i="2"/>
  <c r="K33" i="2"/>
  <c r="K23" i="2"/>
  <c r="K13" i="2"/>
  <c r="K182" i="3" l="1"/>
  <c r="K105" i="2"/>
  <c r="K115" i="2"/>
  <c r="K92" i="2"/>
  <c r="K67" i="2"/>
  <c r="K44" i="3"/>
  <c r="K26" i="3"/>
  <c r="I335" i="3"/>
  <c r="K226" i="2"/>
  <c r="K187" i="1" l="1"/>
  <c r="K62" i="1"/>
  <c r="J7" i="1"/>
  <c r="I45" i="7"/>
  <c r="F118" i="4"/>
  <c r="F161" i="4" s="1"/>
  <c r="E118" i="4"/>
  <c r="K160" i="1" l="1"/>
  <c r="G381" i="3"/>
  <c r="K172" i="1"/>
  <c r="K211" i="1"/>
  <c r="G291" i="1"/>
  <c r="H118" i="4"/>
  <c r="J45" i="7"/>
  <c r="G118" i="4"/>
  <c r="C11" i="8" l="1"/>
  <c r="C52" i="8" s="1"/>
  <c r="I381" i="3"/>
  <c r="K381" i="3"/>
  <c r="G226" i="2"/>
  <c r="J381" i="3"/>
  <c r="I291" i="1"/>
  <c r="J291" i="1"/>
  <c r="J226" i="2" l="1"/>
  <c r="I226" i="2"/>
  <c r="F271" i="1"/>
  <c r="E271" i="1"/>
  <c r="K270" i="1"/>
  <c r="D269" i="1"/>
  <c r="K269" i="1" s="1"/>
  <c r="D268" i="1"/>
  <c r="K268" i="1" s="1"/>
  <c r="D267" i="1"/>
  <c r="K267" i="1" s="1"/>
  <c r="D266" i="1"/>
  <c r="K266" i="1" s="1"/>
  <c r="D265" i="1"/>
  <c r="K265" i="1" s="1"/>
  <c r="D264" i="1"/>
  <c r="K264" i="1" s="1"/>
  <c r="D263" i="1"/>
  <c r="K263" i="1" s="1"/>
  <c r="D262" i="1"/>
  <c r="K262" i="1" s="1"/>
  <c r="D261" i="1"/>
  <c r="K261" i="1" s="1"/>
  <c r="D260" i="1"/>
  <c r="K260" i="1" s="1"/>
  <c r="D259" i="1"/>
  <c r="K259" i="1" s="1"/>
  <c r="D258" i="1"/>
  <c r="K258" i="1" s="1"/>
  <c r="D257" i="1"/>
  <c r="K257" i="1" s="1"/>
  <c r="D250" i="1"/>
  <c r="K250" i="1" s="1"/>
  <c r="D247" i="1"/>
  <c r="K247" i="1" s="1"/>
  <c r="D246" i="1"/>
  <c r="K246" i="1" s="1"/>
  <c r="D245" i="1"/>
  <c r="K245" i="1" s="1"/>
  <c r="D244" i="1"/>
  <c r="K244" i="1" s="1"/>
  <c r="D242" i="1"/>
  <c r="K242" i="1" s="1"/>
  <c r="D240" i="1"/>
  <c r="K240" i="1" s="1"/>
  <c r="K224" i="1"/>
  <c r="G77" i="3"/>
  <c r="I77" i="3" s="1"/>
  <c r="G41" i="6"/>
  <c r="I41" i="6" s="1"/>
  <c r="J41" i="6" s="1"/>
  <c r="E52" i="3"/>
  <c r="G52" i="3" s="1"/>
  <c r="I52" i="3" s="1"/>
  <c r="G95" i="3"/>
  <c r="I95" i="3" s="1"/>
  <c r="G110" i="1"/>
  <c r="I110" i="1" s="1"/>
  <c r="E23" i="7"/>
  <c r="E72" i="7" s="1"/>
  <c r="B14" i="8" s="1"/>
  <c r="E335" i="3"/>
  <c r="E310" i="3"/>
  <c r="E44" i="3"/>
  <c r="E33" i="2"/>
  <c r="C59" i="6"/>
  <c r="J59" i="6" s="1"/>
  <c r="C58" i="6"/>
  <c r="J58" i="6" s="1"/>
  <c r="K54" i="6"/>
  <c r="K53" i="6"/>
  <c r="K52" i="6"/>
  <c r="E46" i="6"/>
  <c r="D45" i="6"/>
  <c r="K45" i="6" s="1"/>
  <c r="D44" i="6"/>
  <c r="K44" i="6" s="1"/>
  <c r="D43" i="6"/>
  <c r="K43" i="6" s="1"/>
  <c r="D42" i="6"/>
  <c r="K42" i="6" s="1"/>
  <c r="D41" i="6"/>
  <c r="E35" i="6"/>
  <c r="D34" i="6"/>
  <c r="K34" i="6" s="1"/>
  <c r="E11" i="6"/>
  <c r="D12" i="5"/>
  <c r="E99" i="4"/>
  <c r="G99" i="4"/>
  <c r="E91" i="4"/>
  <c r="E81" i="4"/>
  <c r="I81" i="4"/>
  <c r="E73" i="4"/>
  <c r="H73" i="4"/>
  <c r="G73" i="4"/>
  <c r="D72" i="4"/>
  <c r="E66" i="4"/>
  <c r="D63" i="4"/>
  <c r="K63" i="4" s="1"/>
  <c r="D61" i="4"/>
  <c r="K61" i="4" s="1"/>
  <c r="E55" i="4"/>
  <c r="J55" i="4"/>
  <c r="D53" i="4"/>
  <c r="K53" i="4" s="1"/>
  <c r="D52" i="4"/>
  <c r="K52" i="4" s="1"/>
  <c r="D51" i="4"/>
  <c r="K51" i="4" s="1"/>
  <c r="E45" i="4"/>
  <c r="D42" i="4"/>
  <c r="K42" i="4" s="1"/>
  <c r="D38" i="4"/>
  <c r="J28" i="4"/>
  <c r="K328" i="3"/>
  <c r="C328" i="3"/>
  <c r="J328" i="3" s="1"/>
  <c r="K327" i="3"/>
  <c r="C327" i="3"/>
  <c r="J327" i="3" s="1"/>
  <c r="K326" i="3"/>
  <c r="C326" i="3"/>
  <c r="J326" i="3" s="1"/>
  <c r="K325" i="3"/>
  <c r="C325" i="3"/>
  <c r="J325" i="3" s="1"/>
  <c r="K324" i="3"/>
  <c r="C324" i="3"/>
  <c r="J324" i="3" s="1"/>
  <c r="K323" i="3"/>
  <c r="C323" i="3"/>
  <c r="J323" i="3" s="1"/>
  <c r="K322" i="3"/>
  <c r="C322" i="3"/>
  <c r="J322" i="3" s="1"/>
  <c r="D321" i="3"/>
  <c r="K321" i="3" s="1"/>
  <c r="C321" i="3"/>
  <c r="J321" i="3" s="1"/>
  <c r="D320" i="3"/>
  <c r="K320" i="3" s="1"/>
  <c r="C320" i="3"/>
  <c r="J320" i="3" s="1"/>
  <c r="D319" i="3"/>
  <c r="K319" i="3" s="1"/>
  <c r="C319" i="3"/>
  <c r="J319" i="3" s="1"/>
  <c r="D318" i="3"/>
  <c r="K318" i="3" s="1"/>
  <c r="C318" i="3"/>
  <c r="J318" i="3" s="1"/>
  <c r="D317" i="3"/>
  <c r="K317" i="3" s="1"/>
  <c r="D316" i="3"/>
  <c r="K316" i="3" s="1"/>
  <c r="C316" i="3"/>
  <c r="J316" i="3" s="1"/>
  <c r="C307" i="3"/>
  <c r="J307" i="3" s="1"/>
  <c r="B307" i="3"/>
  <c r="C306" i="3"/>
  <c r="J306" i="3" s="1"/>
  <c r="B306" i="3"/>
  <c r="C305" i="3"/>
  <c r="J305" i="3" s="1"/>
  <c r="C304" i="3"/>
  <c r="J304" i="3" s="1"/>
  <c r="C303" i="3"/>
  <c r="J303" i="3" s="1"/>
  <c r="C302" i="3"/>
  <c r="J302" i="3" s="1"/>
  <c r="D300" i="3"/>
  <c r="K300" i="3" s="1"/>
  <c r="E291" i="3"/>
  <c r="D287" i="3"/>
  <c r="K287" i="3" s="1"/>
  <c r="D286" i="3"/>
  <c r="K286" i="3" s="1"/>
  <c r="D285" i="3"/>
  <c r="K285" i="3" s="1"/>
  <c r="D268" i="3"/>
  <c r="K268" i="3" s="1"/>
  <c r="E252" i="3"/>
  <c r="D251" i="3"/>
  <c r="K251" i="3" s="1"/>
  <c r="D250" i="3"/>
  <c r="K250" i="3" s="1"/>
  <c r="D249" i="3"/>
  <c r="K249" i="3" s="1"/>
  <c r="D248" i="3"/>
  <c r="K248" i="3" s="1"/>
  <c r="D247" i="3"/>
  <c r="K247" i="3" s="1"/>
  <c r="D246" i="3"/>
  <c r="K246" i="3" s="1"/>
  <c r="D245" i="3"/>
  <c r="K245" i="3" s="1"/>
  <c r="D244" i="3"/>
  <c r="K244" i="3" s="1"/>
  <c r="D243" i="3"/>
  <c r="K243" i="3" s="1"/>
  <c r="D241" i="3"/>
  <c r="K241" i="3" s="1"/>
  <c r="D240" i="3"/>
  <c r="K240" i="3" s="1"/>
  <c r="D239" i="3"/>
  <c r="K239" i="3" s="1"/>
  <c r="D238" i="3"/>
  <c r="K238" i="3" s="1"/>
  <c r="D237" i="3"/>
  <c r="K237" i="3" s="1"/>
  <c r="D236" i="3"/>
  <c r="K236" i="3" s="1"/>
  <c r="D235" i="3"/>
  <c r="K235" i="3" s="1"/>
  <c r="D234" i="3"/>
  <c r="K234" i="3" s="1"/>
  <c r="D233" i="3"/>
  <c r="K233" i="3" s="1"/>
  <c r="D232" i="3"/>
  <c r="K232" i="3" s="1"/>
  <c r="D231" i="3"/>
  <c r="K231" i="3" s="1"/>
  <c r="D230" i="3"/>
  <c r="K230" i="3" s="1"/>
  <c r="E224" i="3"/>
  <c r="J224" i="3"/>
  <c r="D221" i="3"/>
  <c r="K221" i="3" s="1"/>
  <c r="D220" i="3"/>
  <c r="E182" i="3"/>
  <c r="D120" i="3"/>
  <c r="K120" i="3" s="1"/>
  <c r="E26" i="3"/>
  <c r="B204" i="2"/>
  <c r="E196" i="2"/>
  <c r="C195" i="2"/>
  <c r="J195" i="2" s="1"/>
  <c r="C194" i="2"/>
  <c r="J194" i="2" s="1"/>
  <c r="K193" i="2"/>
  <c r="C193" i="2"/>
  <c r="J193" i="2" s="1"/>
  <c r="K192" i="2"/>
  <c r="C192" i="2"/>
  <c r="J192" i="2" s="1"/>
  <c r="K191" i="2"/>
  <c r="C191" i="2"/>
  <c r="J191" i="2" s="1"/>
  <c r="K190" i="2"/>
  <c r="K189" i="2"/>
  <c r="K182" i="2"/>
  <c r="C182" i="2"/>
  <c r="J182" i="2" s="1"/>
  <c r="K181" i="2"/>
  <c r="K180" i="2"/>
  <c r="K179" i="2"/>
  <c r="J179" i="2"/>
  <c r="K178" i="2"/>
  <c r="J178" i="2"/>
  <c r="K177" i="2"/>
  <c r="J177" i="2"/>
  <c r="K176" i="2"/>
  <c r="J176" i="2"/>
  <c r="K175" i="2"/>
  <c r="J175" i="2"/>
  <c r="K174" i="2"/>
  <c r="J174" i="2"/>
  <c r="K173" i="2"/>
  <c r="J173" i="2"/>
  <c r="K172" i="2"/>
  <c r="J172" i="2"/>
  <c r="K171" i="2"/>
  <c r="J171" i="2"/>
  <c r="K170" i="2"/>
  <c r="K169" i="2"/>
  <c r="K168" i="2"/>
  <c r="E162" i="2"/>
  <c r="J162" i="2"/>
  <c r="E152" i="2"/>
  <c r="D148" i="2"/>
  <c r="K148" i="2" s="1"/>
  <c r="E141" i="2"/>
  <c r="J141" i="2"/>
  <c r="D139" i="2"/>
  <c r="K139" i="2" s="1"/>
  <c r="E131" i="2"/>
  <c r="E123" i="2"/>
  <c r="E115" i="2"/>
  <c r="J115" i="2"/>
  <c r="E105" i="2"/>
  <c r="E92" i="2"/>
  <c r="E79" i="2"/>
  <c r="D77" i="2"/>
  <c r="K77" i="2" s="1"/>
  <c r="E67" i="2"/>
  <c r="E56" i="2"/>
  <c r="E42" i="2"/>
  <c r="J42" i="2"/>
  <c r="E23" i="2"/>
  <c r="E13" i="2"/>
  <c r="E251" i="1"/>
  <c r="C247" i="1"/>
  <c r="J247" i="1" s="1"/>
  <c r="D243" i="1"/>
  <c r="K243" i="1" s="1"/>
  <c r="C242" i="1"/>
  <c r="J242" i="1" s="1"/>
  <c r="D241" i="1"/>
  <c r="K241" i="1" s="1"/>
  <c r="C241" i="1"/>
  <c r="J241" i="1" s="1"/>
  <c r="K230" i="1"/>
  <c r="K229" i="1"/>
  <c r="K228" i="1"/>
  <c r="K227" i="1"/>
  <c r="J227" i="1"/>
  <c r="K225" i="1"/>
  <c r="J224" i="1"/>
  <c r="K223" i="1"/>
  <c r="K222" i="1"/>
  <c r="K221" i="1"/>
  <c r="K220" i="1"/>
  <c r="K219" i="1"/>
  <c r="K218" i="1"/>
  <c r="K217" i="1"/>
  <c r="E211" i="1"/>
  <c r="E187" i="1"/>
  <c r="J172" i="1"/>
  <c r="E172" i="1"/>
  <c r="E160" i="1"/>
  <c r="K115" i="1"/>
  <c r="E102" i="1"/>
  <c r="D98" i="1"/>
  <c r="K98" i="1" s="1"/>
  <c r="D97" i="1"/>
  <c r="K97" i="1" s="1"/>
  <c r="D96" i="1"/>
  <c r="K96" i="1" s="1"/>
  <c r="D95" i="1"/>
  <c r="K95" i="1" s="1"/>
  <c r="D94" i="1"/>
  <c r="E81" i="1"/>
  <c r="D80" i="1"/>
  <c r="K80" i="1" s="1"/>
  <c r="D76" i="1"/>
  <c r="J62" i="1"/>
  <c r="E62" i="1"/>
  <c r="J44" i="1"/>
  <c r="E44" i="1"/>
  <c r="F5" i="1"/>
  <c r="D22" i="1"/>
  <c r="D14" i="8" l="1"/>
  <c r="D55" i="8" s="1"/>
  <c r="B55" i="8"/>
  <c r="E161" i="4"/>
  <c r="F327" i="1"/>
  <c r="C8" i="8" s="1"/>
  <c r="C49" i="8" s="1"/>
  <c r="C35" i="8"/>
  <c r="E71" i="6"/>
  <c r="B13" i="8" s="1"/>
  <c r="B54" i="8" s="1"/>
  <c r="K12" i="5"/>
  <c r="K36" i="5" s="1"/>
  <c r="N37" i="5" s="1"/>
  <c r="K41" i="6"/>
  <c r="K46" i="6" s="1"/>
  <c r="J68" i="6"/>
  <c r="K68" i="6"/>
  <c r="B11" i="8"/>
  <c r="F71" i="6"/>
  <c r="D35" i="6"/>
  <c r="K72" i="4"/>
  <c r="K73" i="4" s="1"/>
  <c r="K38" i="4"/>
  <c r="K45" i="4" s="1"/>
  <c r="J52" i="3"/>
  <c r="J66" i="3" s="1"/>
  <c r="K52" i="3"/>
  <c r="K66" i="3" s="1"/>
  <c r="K77" i="3"/>
  <c r="K88" i="3" s="1"/>
  <c r="J77" i="3"/>
  <c r="J88" i="3" s="1"/>
  <c r="K220" i="3"/>
  <c r="K224" i="3" s="1"/>
  <c r="J95" i="3"/>
  <c r="J121" i="3" s="1"/>
  <c r="K95" i="3"/>
  <c r="K121" i="3" s="1"/>
  <c r="G207" i="2"/>
  <c r="E211" i="2"/>
  <c r="E270" i="2" s="1"/>
  <c r="B9" i="8" s="1"/>
  <c r="E231" i="1"/>
  <c r="G226" i="1"/>
  <c r="I226" i="1" s="1"/>
  <c r="J226" i="1" s="1"/>
  <c r="K76" i="1"/>
  <c r="K81" i="1" s="1"/>
  <c r="K22" i="1"/>
  <c r="K44" i="1" s="1"/>
  <c r="K94" i="1"/>
  <c r="K102" i="1" s="1"/>
  <c r="J110" i="1"/>
  <c r="J124" i="1" s="1"/>
  <c r="K110" i="1"/>
  <c r="J123" i="2"/>
  <c r="K152" i="2"/>
  <c r="K196" i="2"/>
  <c r="J291" i="3"/>
  <c r="G55" i="4"/>
  <c r="J13" i="2"/>
  <c r="J67" i="2"/>
  <c r="K79" i="2"/>
  <c r="J92" i="2"/>
  <c r="J152" i="2"/>
  <c r="J182" i="3"/>
  <c r="K252" i="3"/>
  <c r="K291" i="3"/>
  <c r="K66" i="4"/>
  <c r="G131" i="2"/>
  <c r="J131" i="2"/>
  <c r="J33" i="2"/>
  <c r="K310" i="3"/>
  <c r="K335" i="3"/>
  <c r="J45" i="4"/>
  <c r="K55" i="4"/>
  <c r="J23" i="2"/>
  <c r="J56" i="2"/>
  <c r="J79" i="2"/>
  <c r="J105" i="2"/>
  <c r="K141" i="2"/>
  <c r="J26" i="3"/>
  <c r="J252" i="3"/>
  <c r="J310" i="3"/>
  <c r="J73" i="4"/>
  <c r="J91" i="4"/>
  <c r="I91" i="4"/>
  <c r="E66" i="3"/>
  <c r="E88" i="3"/>
  <c r="J66" i="4"/>
  <c r="J81" i="4"/>
  <c r="J11" i="6"/>
  <c r="J46" i="6"/>
  <c r="J102" i="1"/>
  <c r="K116" i="1"/>
  <c r="E124" i="1"/>
  <c r="J81" i="1"/>
  <c r="J160" i="1"/>
  <c r="J187" i="1"/>
  <c r="J211" i="1"/>
  <c r="I44" i="3"/>
  <c r="J44" i="3"/>
  <c r="K35" i="6"/>
  <c r="J35" i="6"/>
  <c r="K271" i="1"/>
  <c r="I23" i="7"/>
  <c r="K183" i="2"/>
  <c r="J335" i="3"/>
  <c r="G271" i="1"/>
  <c r="G252" i="3"/>
  <c r="E121" i="3"/>
  <c r="G88" i="3"/>
  <c r="G46" i="6"/>
  <c r="I66" i="4"/>
  <c r="G26" i="3"/>
  <c r="G182" i="3"/>
  <c r="G224" i="3"/>
  <c r="G66" i="4"/>
  <c r="G13" i="2"/>
  <c r="H131" i="2"/>
  <c r="H11" i="6"/>
  <c r="I11" i="6"/>
  <c r="H81" i="4"/>
  <c r="G81" i="4"/>
  <c r="G11" i="6"/>
  <c r="G28" i="4"/>
  <c r="H99" i="4"/>
  <c r="G23" i="7"/>
  <c r="G72" i="7" s="1"/>
  <c r="H46" i="6"/>
  <c r="G66" i="3"/>
  <c r="G91" i="4"/>
  <c r="G35" i="6"/>
  <c r="I35" i="6"/>
  <c r="I28" i="4"/>
  <c r="G335" i="3"/>
  <c r="G310" i="3"/>
  <c r="G44" i="3"/>
  <c r="G67" i="2"/>
  <c r="I67" i="2"/>
  <c r="G115" i="2"/>
  <c r="H123" i="2"/>
  <c r="G152" i="2"/>
  <c r="G56" i="2"/>
  <c r="H79" i="2"/>
  <c r="H92" i="2"/>
  <c r="G141" i="2"/>
  <c r="G162" i="2"/>
  <c r="G79" i="2"/>
  <c r="G33" i="2"/>
  <c r="I33" i="2"/>
  <c r="H67" i="2"/>
  <c r="G123" i="2"/>
  <c r="I162" i="2"/>
  <c r="G23" i="2"/>
  <c r="H115" i="2"/>
  <c r="G211" i="1"/>
  <c r="G172" i="1"/>
  <c r="I99" i="4"/>
  <c r="I45" i="4"/>
  <c r="G45" i="4"/>
  <c r="I92" i="2"/>
  <c r="G92" i="2"/>
  <c r="G291" i="3"/>
  <c r="I13" i="2"/>
  <c r="H42" i="2"/>
  <c r="G42" i="2"/>
  <c r="I56" i="2"/>
  <c r="I23" i="2"/>
  <c r="G44" i="1"/>
  <c r="G62" i="1"/>
  <c r="G102" i="1"/>
  <c r="G160" i="1"/>
  <c r="I172" i="1"/>
  <c r="G81" i="1"/>
  <c r="G187" i="1"/>
  <c r="K124" i="1" l="1"/>
  <c r="D11" i="8"/>
  <c r="D52" i="8" s="1"/>
  <c r="B52" i="8"/>
  <c r="D9" i="8"/>
  <c r="D50" i="8" s="1"/>
  <c r="B50" i="8"/>
  <c r="E448" i="3"/>
  <c r="B10" i="8" s="1"/>
  <c r="J161" i="4"/>
  <c r="G161" i="4"/>
  <c r="E327" i="1"/>
  <c r="B8" i="8" s="1"/>
  <c r="K448" i="3"/>
  <c r="K161" i="4"/>
  <c r="N162" i="4" s="1"/>
  <c r="J448" i="3"/>
  <c r="C13" i="8"/>
  <c r="C32" i="8"/>
  <c r="C30" i="8"/>
  <c r="H12" i="8"/>
  <c r="O12" i="8" s="1"/>
  <c r="I72" i="7"/>
  <c r="G71" i="6"/>
  <c r="N12" i="8"/>
  <c r="I207" i="2"/>
  <c r="M207" i="2" s="1"/>
  <c r="G211" i="2"/>
  <c r="G270" i="2" s="1"/>
  <c r="J183" i="2"/>
  <c r="J196" i="2"/>
  <c r="K226" i="1"/>
  <c r="K231" i="1" s="1"/>
  <c r="I73" i="4"/>
  <c r="J23" i="7"/>
  <c r="K23" i="7"/>
  <c r="J251" i="1"/>
  <c r="G231" i="1"/>
  <c r="J231" i="1"/>
  <c r="K251" i="1"/>
  <c r="J271" i="1"/>
  <c r="H271" i="1"/>
  <c r="H66" i="3"/>
  <c r="I88" i="3"/>
  <c r="G121" i="3"/>
  <c r="G448" i="3" s="1"/>
  <c r="I26" i="3"/>
  <c r="H121" i="3"/>
  <c r="I224" i="3"/>
  <c r="H335" i="3"/>
  <c r="H291" i="3"/>
  <c r="I121" i="3"/>
  <c r="H310" i="3"/>
  <c r="I182" i="3"/>
  <c r="H44" i="3"/>
  <c r="I66" i="3"/>
  <c r="I252" i="3"/>
  <c r="H26" i="3"/>
  <c r="H231" i="1"/>
  <c r="H182" i="3"/>
  <c r="H141" i="2"/>
  <c r="H88" i="3"/>
  <c r="H91" i="4"/>
  <c r="H152" i="2"/>
  <c r="I124" i="1"/>
  <c r="I291" i="3"/>
  <c r="H23" i="7"/>
  <c r="H35" i="6"/>
  <c r="H71" i="6" s="1"/>
  <c r="E13" i="8" s="1"/>
  <c r="E54" i="8" s="1"/>
  <c r="I46" i="6"/>
  <c r="I55" i="4"/>
  <c r="I161" i="4" s="1"/>
  <c r="I310" i="3"/>
  <c r="G124" i="1"/>
  <c r="G327" i="1" s="1"/>
  <c r="I79" i="2"/>
  <c r="H224" i="3"/>
  <c r="H66" i="4"/>
  <c r="H161" i="4" s="1"/>
  <c r="H252" i="3"/>
  <c r="I105" i="2"/>
  <c r="I196" i="2"/>
  <c r="H23" i="2"/>
  <c r="I42" i="2"/>
  <c r="I183" i="2"/>
  <c r="H183" i="2"/>
  <c r="H56" i="2"/>
  <c r="H162" i="2"/>
  <c r="I187" i="1"/>
  <c r="H102" i="1"/>
  <c r="H160" i="1"/>
  <c r="H124" i="1"/>
  <c r="I81" i="1"/>
  <c r="H62" i="1"/>
  <c r="H44" i="1"/>
  <c r="I115" i="2"/>
  <c r="H33" i="2"/>
  <c r="H13" i="2"/>
  <c r="I160" i="1"/>
  <c r="I44" i="1"/>
  <c r="H187" i="1"/>
  <c r="H172" i="1"/>
  <c r="I102" i="1"/>
  <c r="H81" i="1"/>
  <c r="I62" i="1"/>
  <c r="D8" i="8" l="1"/>
  <c r="D49" i="8" s="1"/>
  <c r="B49" i="8"/>
  <c r="D10" i="8"/>
  <c r="D51" i="8" s="1"/>
  <c r="B51" i="8"/>
  <c r="C16" i="8"/>
  <c r="C57" i="8" s="1"/>
  <c r="C54" i="8"/>
  <c r="H270" i="2"/>
  <c r="E9" i="8" s="1"/>
  <c r="E50" i="8" s="1"/>
  <c r="H448" i="3"/>
  <c r="I448" i="3"/>
  <c r="F10" i="8" s="1"/>
  <c r="F51" i="8" s="1"/>
  <c r="L73" i="7"/>
  <c r="F14" i="8"/>
  <c r="F55" i="8" s="1"/>
  <c r="B16" i="8"/>
  <c r="B57" i="8" s="1"/>
  <c r="C29" i="8"/>
  <c r="H327" i="1"/>
  <c r="D13" i="8"/>
  <c r="J327" i="1"/>
  <c r="G8" i="8" s="1"/>
  <c r="G49" i="8" s="1"/>
  <c r="K327" i="1"/>
  <c r="M162" i="4"/>
  <c r="G11" i="8"/>
  <c r="G52" i="8" s="1"/>
  <c r="N449" i="3"/>
  <c r="G10" i="8"/>
  <c r="G51" i="8" s="1"/>
  <c r="C34" i="8"/>
  <c r="H72" i="7"/>
  <c r="K72" i="7"/>
  <c r="N73" i="7" s="1"/>
  <c r="J72" i="7"/>
  <c r="H11" i="8"/>
  <c r="O11" i="8" s="1"/>
  <c r="H10" i="8"/>
  <c r="O449" i="3"/>
  <c r="M12" i="8"/>
  <c r="I71" i="6"/>
  <c r="F13" i="8" s="1"/>
  <c r="F54" i="8" s="1"/>
  <c r="K71" i="6"/>
  <c r="J71" i="6"/>
  <c r="G13" i="8" s="1"/>
  <c r="G54" i="8" s="1"/>
  <c r="I211" i="2"/>
  <c r="K207" i="2"/>
  <c r="K211" i="2" s="1"/>
  <c r="K270" i="2" s="1"/>
  <c r="J207" i="2"/>
  <c r="J211" i="2" s="1"/>
  <c r="J270" i="2" s="1"/>
  <c r="I231" i="1"/>
  <c r="I327" i="1" s="1"/>
  <c r="I123" i="2"/>
  <c r="D16" i="8" l="1"/>
  <c r="D57" i="8" s="1"/>
  <c r="D54" i="8"/>
  <c r="M73" i="7"/>
  <c r="G14" i="8"/>
  <c r="G55" i="8" s="1"/>
  <c r="E14" i="8"/>
  <c r="E55" i="8" s="1"/>
  <c r="E11" i="8"/>
  <c r="E52" i="8" s="1"/>
  <c r="L162" i="4"/>
  <c r="F11" i="8"/>
  <c r="F52" i="8" s="1"/>
  <c r="N328" i="1"/>
  <c r="F8" i="8"/>
  <c r="F49" i="8" s="1"/>
  <c r="E8" i="8"/>
  <c r="E49" i="8" s="1"/>
  <c r="E10" i="8"/>
  <c r="E51" i="8" s="1"/>
  <c r="C31" i="8"/>
  <c r="N11" i="8"/>
  <c r="M14" i="8"/>
  <c r="H14" i="8"/>
  <c r="O14" i="8" s="1"/>
  <c r="O10" i="8"/>
  <c r="M72" i="6"/>
  <c r="H13" i="8"/>
  <c r="O13" i="8" s="1"/>
  <c r="N72" i="6"/>
  <c r="L72" i="6"/>
  <c r="M449" i="3"/>
  <c r="H8" i="8"/>
  <c r="P328" i="1"/>
  <c r="O328" i="1"/>
  <c r="N10" i="8"/>
  <c r="G9" i="8"/>
  <c r="G50" i="8" s="1"/>
  <c r="I131" i="2"/>
  <c r="G16" i="8" l="1"/>
  <c r="G57" i="8" s="1"/>
  <c r="E16" i="8"/>
  <c r="E57" i="8" s="1"/>
  <c r="M11" i="8"/>
  <c r="C36" i="8"/>
  <c r="N14" i="8"/>
  <c r="M13" i="8"/>
  <c r="N13" i="8"/>
  <c r="M10" i="8"/>
  <c r="O8" i="8"/>
  <c r="N8" i="8"/>
  <c r="N271" i="2"/>
  <c r="H9" i="8"/>
  <c r="O9" i="8" s="1"/>
  <c r="O271" i="2"/>
  <c r="M8" i="8"/>
  <c r="I141" i="2"/>
  <c r="N9" i="8" l="1"/>
  <c r="H16" i="8"/>
  <c r="I152" i="2"/>
  <c r="I270" i="2" s="1"/>
  <c r="N16" i="8" l="1"/>
  <c r="O16" i="8"/>
  <c r="M271" i="2" l="1"/>
  <c r="F9" i="8"/>
  <c r="F16" i="8" l="1"/>
  <c r="F57" i="8" s="1"/>
  <c r="F50" i="8"/>
  <c r="M9" i="8"/>
  <c r="M16" i="8" l="1"/>
</calcChain>
</file>

<file path=xl/comments1.xml><?xml version="1.0" encoding="utf-8"?>
<comments xmlns="http://schemas.openxmlformats.org/spreadsheetml/2006/main">
  <authors>
    <author>Author</author>
  </authors>
  <commentList>
    <comment ref="H32" authorId="0" shapeId="0">
      <text>
        <r>
          <rPr>
            <b/>
            <sz val="9"/>
            <color indexed="81"/>
            <rFont val="Tahoma"/>
            <family val="2"/>
          </rPr>
          <t xml:space="preserve">repacking
pameran 2017
</t>
        </r>
      </text>
    </comment>
    <comment ref="H51" authorId="0" shapeId="0">
      <text>
        <r>
          <rPr>
            <b/>
            <sz val="9"/>
            <color indexed="81"/>
            <rFont val="Tahoma"/>
            <family val="2"/>
          </rPr>
          <t>maret repacking pameran 2017 p adnan</t>
        </r>
      </text>
    </comment>
    <comment ref="H59" authorId="0" shapeId="0">
      <text>
        <r>
          <rPr>
            <b/>
            <sz val="9"/>
            <color indexed="81"/>
            <rFont val="Tahoma"/>
            <family val="2"/>
          </rPr>
          <t>maret repacking pameran 2017 p adnan</t>
        </r>
      </text>
    </comment>
    <comment ref="H68" authorId="0" shapeId="0">
      <text>
        <r>
          <rPr>
            <b/>
            <sz val="9"/>
            <color indexed="81"/>
            <rFont val="Tahoma"/>
            <family val="2"/>
          </rPr>
          <t>maret repacking pameran 2017 p adnan</t>
        </r>
      </text>
    </comment>
    <comment ref="H70" authorId="0" shapeId="0">
      <text>
        <r>
          <rPr>
            <b/>
            <sz val="9"/>
            <color indexed="81"/>
            <rFont val="Tahoma"/>
            <family val="2"/>
          </rPr>
          <t>maret prod 600
maret repacking pameran 2017 p adnan 16 274</t>
        </r>
      </text>
    </comment>
    <comment ref="H73" authorId="0" shapeId="0">
      <text>
        <r>
          <rPr>
            <sz val="9"/>
            <color indexed="81"/>
            <rFont val="Tahoma"/>
            <family val="2"/>
          </rPr>
          <t xml:space="preserve">maret repacking pameran 2017 p adnan
</t>
        </r>
      </text>
    </comment>
    <comment ref="H87" authorId="0" shapeId="0">
      <text>
        <r>
          <rPr>
            <b/>
            <sz val="9"/>
            <color indexed="81"/>
            <rFont val="Tahoma"/>
            <family val="2"/>
          </rPr>
          <t>maret repacking pameran 2017 p adnan</t>
        </r>
      </text>
    </comment>
    <comment ref="H89" authorId="0" shapeId="0">
      <text>
        <r>
          <rPr>
            <b/>
            <sz val="9"/>
            <color indexed="81"/>
            <rFont val="Tahoma"/>
            <family val="2"/>
          </rPr>
          <t>maret repacking pameran 2017 p adnan</t>
        </r>
      </text>
    </comment>
    <comment ref="H97" authorId="0" shapeId="0">
      <text>
        <r>
          <rPr>
            <b/>
            <sz val="9"/>
            <color indexed="81"/>
            <rFont val="Tahoma"/>
            <family val="2"/>
          </rPr>
          <t>maret repacking pameran 2017 p adnan</t>
        </r>
      </text>
    </comment>
    <comment ref="H98" authorId="0" shapeId="0">
      <text>
        <r>
          <rPr>
            <b/>
            <sz val="9"/>
            <color indexed="81"/>
            <rFont val="Tahoma"/>
            <family val="2"/>
          </rPr>
          <t>maret repacking pameran 2017 p adnan</t>
        </r>
      </text>
    </comment>
    <comment ref="H108" authorId="0" shapeId="0">
      <text>
        <r>
          <rPr>
            <b/>
            <sz val="9"/>
            <color indexed="81"/>
            <rFont val="Tahoma"/>
            <family val="2"/>
          </rPr>
          <t>prod maret 50
maret repacking pameran 2017 p adnan218</t>
        </r>
      </text>
    </comment>
    <comment ref="H110" authorId="0" shapeId="0">
      <text>
        <r>
          <rPr>
            <b/>
            <sz val="9"/>
            <color indexed="81"/>
            <rFont val="Tahoma"/>
            <family val="2"/>
          </rPr>
          <t>maret repacking pameran 2017 p adnan</t>
        </r>
      </text>
    </comment>
    <comment ref="H115" authorId="0" shapeId="0">
      <text>
        <r>
          <rPr>
            <b/>
            <sz val="9"/>
            <color indexed="81"/>
            <rFont val="Tahoma"/>
            <family val="2"/>
          </rPr>
          <t xml:space="preserve">maret repacking pameran 2017 p adnan
</t>
        </r>
      </text>
    </comment>
    <comment ref="H122" authorId="0" shapeId="0">
      <text>
        <r>
          <rPr>
            <b/>
            <sz val="9"/>
            <color indexed="81"/>
            <rFont val="Tahoma"/>
            <family val="2"/>
          </rPr>
          <t xml:space="preserve">maret repacking pameran 2017 p adnan
</t>
        </r>
      </text>
    </comment>
    <comment ref="H123" authorId="0" shapeId="0">
      <text>
        <r>
          <rPr>
            <b/>
            <sz val="9"/>
            <color indexed="81"/>
            <rFont val="Tahoma"/>
            <family val="2"/>
          </rPr>
          <t xml:space="preserve">maret repacking pameran 2017 p adnan
</t>
        </r>
      </text>
    </comment>
    <comment ref="H140" authorId="0" shapeId="0">
      <text>
        <r>
          <rPr>
            <b/>
            <sz val="9"/>
            <color indexed="81"/>
            <rFont val="Tahoma"/>
            <family val="2"/>
          </rPr>
          <t xml:space="preserve">maret repacking pameran 2017 p adnan
</t>
        </r>
      </text>
    </comment>
    <comment ref="H166" authorId="0" shapeId="0">
      <text>
        <r>
          <rPr>
            <b/>
            <sz val="9"/>
            <color indexed="81"/>
            <rFont val="Tahoma"/>
            <family val="2"/>
          </rPr>
          <t xml:space="preserve">maret repacking pameran 2017 p adnan
</t>
        </r>
      </text>
    </comment>
    <comment ref="H167" authorId="0" shapeId="0">
      <text>
        <r>
          <rPr>
            <b/>
            <sz val="9"/>
            <color indexed="81"/>
            <rFont val="Tahoma"/>
            <family val="2"/>
          </rPr>
          <t xml:space="preserve">maret repacking pameran 2017 p adnan
</t>
        </r>
      </text>
    </comment>
    <comment ref="H168" authorId="0" shapeId="0">
      <text>
        <r>
          <rPr>
            <b/>
            <sz val="9"/>
            <color indexed="81"/>
            <rFont val="Tahoma"/>
            <family val="2"/>
          </rPr>
          <t xml:space="preserve">maret repacking pameran 2017 p adnan
</t>
        </r>
      </text>
    </comment>
    <comment ref="H169" authorId="0" shapeId="0">
      <text>
        <r>
          <rPr>
            <b/>
            <sz val="9"/>
            <color indexed="81"/>
            <rFont val="Tahoma"/>
            <family val="2"/>
          </rPr>
          <t xml:space="preserve">maret repacking pameran 2017 p adnan
</t>
        </r>
      </text>
    </comment>
    <comment ref="H170" authorId="0" shapeId="0">
      <text>
        <r>
          <rPr>
            <b/>
            <sz val="9"/>
            <color indexed="81"/>
            <rFont val="Tahoma"/>
            <family val="2"/>
          </rPr>
          <t xml:space="preserve">maret repacking pameran 2017 p adnan
</t>
        </r>
      </text>
    </comment>
    <comment ref="H171" authorId="0" shapeId="0">
      <text>
        <r>
          <rPr>
            <b/>
            <sz val="9"/>
            <color indexed="81"/>
            <rFont val="Tahoma"/>
            <family val="2"/>
          </rPr>
          <t xml:space="preserve">maret repacking pameran 2017 p adnan
</t>
        </r>
      </text>
    </comment>
    <comment ref="H178" authorId="0" shapeId="0">
      <text>
        <r>
          <rPr>
            <b/>
            <sz val="9"/>
            <color indexed="81"/>
            <rFont val="Tahoma"/>
            <family val="2"/>
          </rPr>
          <t xml:space="preserve">maret repacking pameran 2017 p adnan
</t>
        </r>
      </text>
    </comment>
    <comment ref="H179" authorId="0" shapeId="0">
      <text>
        <r>
          <rPr>
            <b/>
            <sz val="9"/>
            <color indexed="81"/>
            <rFont val="Tahoma"/>
            <family val="2"/>
          </rPr>
          <t xml:space="preserve">maret repacking pameran 2017 p adnan
</t>
        </r>
      </text>
    </comment>
    <comment ref="H180" authorId="0" shapeId="0">
      <text>
        <r>
          <rPr>
            <b/>
            <sz val="9"/>
            <color indexed="81"/>
            <rFont val="Tahoma"/>
            <family val="2"/>
          </rPr>
          <t xml:space="preserve">maret repacking pameran 2017 p adnan
</t>
        </r>
      </text>
    </comment>
    <comment ref="H182" authorId="0" shapeId="0">
      <text>
        <r>
          <rPr>
            <b/>
            <sz val="9"/>
            <color indexed="81"/>
            <rFont val="Tahoma"/>
            <family val="2"/>
          </rPr>
          <t xml:space="preserve">maret repacking pameran 2017 p adnan
</t>
        </r>
      </text>
    </comment>
    <comment ref="H184" authorId="0" shapeId="0">
      <text>
        <r>
          <rPr>
            <b/>
            <sz val="9"/>
            <color indexed="81"/>
            <rFont val="Tahoma"/>
            <family val="2"/>
          </rPr>
          <t xml:space="preserve">maret repacking pameran 2017 p adnan
</t>
        </r>
      </text>
    </comment>
    <comment ref="H185" authorId="0" shapeId="0">
      <text>
        <r>
          <rPr>
            <b/>
            <sz val="9"/>
            <color indexed="81"/>
            <rFont val="Tahoma"/>
            <family val="2"/>
          </rPr>
          <t xml:space="preserve">maret repacking pameran 2017 p adnan
</t>
        </r>
      </text>
    </comment>
    <comment ref="H186" authorId="0" shapeId="0">
      <text>
        <r>
          <rPr>
            <b/>
            <sz val="9"/>
            <color indexed="81"/>
            <rFont val="Tahoma"/>
            <family val="2"/>
          </rPr>
          <t xml:space="preserve">maret repacking pameran 2017 p adnan
</t>
        </r>
      </text>
    </comment>
    <comment ref="M193" authorId="0" shapeId="0">
      <text>
        <r>
          <rPr>
            <b/>
            <sz val="9"/>
            <color indexed="81"/>
            <rFont val="Tahoma"/>
            <family val="2"/>
          </rPr>
          <t>des gb kelinci 1500 x2760 dan rp 3,000 x 2760</t>
        </r>
        <r>
          <rPr>
            <sz val="9"/>
            <color indexed="81"/>
            <rFont val="Tahoma"/>
            <family val="2"/>
          </rPr>
          <t xml:space="preserve">
</t>
        </r>
      </text>
    </comment>
    <comment ref="F197" authorId="0" shapeId="0">
      <text>
        <r>
          <rPr>
            <b/>
            <sz val="8"/>
            <color indexed="81"/>
            <rFont val="Tahoma"/>
            <family val="2"/>
          </rPr>
          <t>di isi pada saat pemeriksaan KAP akhir Desember barang nya ada, tapi sy tidak melihat brg dms krn pada saat yg sama sedang meriksa brg yg lainnya</t>
        </r>
        <r>
          <rPr>
            <sz val="9"/>
            <color indexed="81"/>
            <rFont val="Tahoma"/>
            <family val="2"/>
          </rPr>
          <t xml:space="preserve">
</t>
        </r>
      </text>
    </comment>
    <comment ref="H221" authorId="0" shapeId="0">
      <text>
        <r>
          <rPr>
            <b/>
            <sz val="9"/>
            <color indexed="81"/>
            <rFont val="Tahoma"/>
            <family val="2"/>
          </rPr>
          <t>sept 74.400</t>
        </r>
      </text>
    </comment>
    <comment ref="F223" authorId="0" shapeId="0">
      <text>
        <r>
          <rPr>
            <b/>
            <sz val="9"/>
            <color indexed="81"/>
            <rFont val="Tahoma"/>
            <family val="2"/>
          </rPr>
          <t xml:space="preserve">18-7-2016
di g15format sblm nya ga ada, (kain#3)
di g2c pun ga ada.
Di g2c usw akan di entri di kain 24 prop.
Format di 2017 akan dirubah total disesuaikan dengan jenis bfl yang pernah tebit
</t>
        </r>
        <r>
          <rPr>
            <sz val="9"/>
            <color indexed="81"/>
            <rFont val="Tahoma"/>
            <family val="2"/>
          </rPr>
          <t xml:space="preserve">
kain #3 18-07-2016 utk wno
dari bna dus 127
bangunan ibadah 18 juli 10.000 kpg = 2.000 set = jku dus 148</t>
        </r>
      </text>
    </comment>
    <comment ref="C224" authorId="0" shapeId="0">
      <text>
        <r>
          <rPr>
            <b/>
            <sz val="9"/>
            <color indexed="81"/>
            <rFont val="Tahoma"/>
            <family val="2"/>
          </rPr>
          <t>sebelumnya rp 10.000 (harga 1set), sedangkan angka bilangan adalah hitungan keping. Jadi dirubah di akhir desember menjadi bsu rp 2.500 menyesuaikan hitungan angka perkalian angka bilangan keping</t>
        </r>
      </text>
    </comment>
    <comment ref="H237" authorId="0" shapeId="0">
      <text>
        <r>
          <rPr>
            <b/>
            <sz val="9"/>
            <color indexed="81"/>
            <rFont val="Tahoma"/>
            <family val="2"/>
          </rPr>
          <t xml:space="preserve">koreksi salah kaidah pencatatan .. Total keping cocok 108,672 keping seharusnya 108,672 kpg : 3 karena coupurenya beda2 28-12-2016
koreksi 72,448
</t>
        </r>
        <r>
          <rPr>
            <sz val="9"/>
            <color indexed="81"/>
            <rFont val="Tahoma"/>
            <family val="2"/>
          </rPr>
          <t xml:space="preserve">
sama dengan pencatatat dan fisik di per 1 hitungan nya keping</t>
        </r>
      </text>
    </comment>
    <comment ref="C240" authorId="0" shapeId="0">
      <text>
        <r>
          <rPr>
            <b/>
            <sz val="9"/>
            <color indexed="81"/>
            <rFont val="Tahoma"/>
            <family val="2"/>
          </rPr>
          <t>tadinya rp 5.000 (harga 1 set). Sedangkan angka penghitungannya adalah bilangan keping, jadi disesuaikan di akhir desember 2015 menjadi rp 2.500 sesuai dengan harga per keping</t>
        </r>
      </text>
    </comment>
    <comment ref="H240" authorId="0" shapeId="0">
      <text>
        <r>
          <rPr>
            <b/>
            <sz val="9"/>
            <color indexed="81"/>
            <rFont val="Tahoma"/>
            <family val="2"/>
          </rPr>
          <t>nov pengalihan 3980</t>
        </r>
        <r>
          <rPr>
            <sz val="9"/>
            <color indexed="81"/>
            <rFont val="Tahoma"/>
            <family val="2"/>
          </rPr>
          <t xml:space="preserve">
feb 17 pengalihan 10.000</t>
        </r>
      </text>
    </comment>
    <comment ref="H241" authorId="0" shapeId="0">
      <text>
        <r>
          <rPr>
            <b/>
            <sz val="9"/>
            <color indexed="81"/>
            <rFont val="Tahoma"/>
            <charset val="1"/>
          </rPr>
          <t>26 juni 2017
repacking pameran dunia 12.000</t>
        </r>
      </text>
    </comment>
    <comment ref="H242" authorId="0" shapeId="0">
      <text>
        <r>
          <rPr>
            <b/>
            <sz val="9"/>
            <color indexed="81"/>
            <rFont val="Tahoma"/>
            <family val="2"/>
          </rPr>
          <t>di isi 188.000 krn bsu perkalian rp 30.000 adalah Set. Sedangkan angka bilangan adalah hitungan keping, maka angka bilangan disesuaikan dengan bilngan SET (18.800 set)</t>
        </r>
      </text>
    </comment>
    <comment ref="C244" authorId="0" shapeId="0">
      <text>
        <r>
          <rPr>
            <b/>
            <sz val="9"/>
            <color indexed="81"/>
            <rFont val="Tahoma"/>
            <family val="2"/>
          </rPr>
          <t>tadinya rp 7.500 (harga 1 set). Sedangkan angka penghitungannya adalah bilangan keping, jadi disesuaikan di akhir desember 2015 menjadi rp 2.500 sesuai dengan harga per keping</t>
        </r>
      </text>
    </comment>
    <comment ref="F250" authorId="0" shapeId="0">
      <text>
        <r>
          <rPr>
            <b/>
            <sz val="9"/>
            <color indexed="81"/>
            <rFont val="Tahoma"/>
            <family val="2"/>
          </rPr>
          <t>juni retouran 1200
ret sep 200</t>
        </r>
        <r>
          <rPr>
            <sz val="9"/>
            <color indexed="81"/>
            <rFont val="Tahoma"/>
            <family val="2"/>
          </rPr>
          <t xml:space="preserve">
</t>
        </r>
      </text>
    </comment>
    <comment ref="M258" authorId="0" shapeId="0">
      <text>
        <r>
          <rPr>
            <b/>
            <sz val="9"/>
            <color indexed="81"/>
            <rFont val="Tahoma"/>
            <family val="2"/>
          </rPr>
          <t xml:space="preserve">des shio kuda 3200 set =
9600 keping
</t>
        </r>
        <r>
          <rPr>
            <sz val="9"/>
            <color indexed="81"/>
            <rFont val="Tahoma"/>
            <family val="2"/>
          </rPr>
          <t xml:space="preserve">
</t>
        </r>
      </text>
    </comment>
    <comment ref="H270" authorId="0" shapeId="0">
      <text>
        <r>
          <rPr>
            <b/>
            <sz val="9"/>
            <color indexed="81"/>
            <rFont val="Tahoma"/>
            <family val="2"/>
          </rPr>
          <t>7500 pengalihan def</t>
        </r>
        <r>
          <rPr>
            <sz val="9"/>
            <color indexed="81"/>
            <rFont val="Tahoma"/>
            <family val="2"/>
          </rPr>
          <t xml:space="preserve">
</t>
        </r>
      </text>
    </comment>
    <comment ref="P300" authorId="0" shapeId="0">
      <text>
        <r>
          <rPr>
            <b/>
            <sz val="9"/>
            <color indexed="81"/>
            <rFont val="Tahoma"/>
            <family val="2"/>
          </rPr>
          <t>kifa shp</t>
        </r>
        <r>
          <rPr>
            <sz val="9"/>
            <color indexed="81"/>
            <rFont val="Tahoma"/>
            <family val="2"/>
          </rPr>
          <t xml:space="preserve">
</t>
        </r>
      </text>
    </comment>
    <comment ref="C301" authorId="0" shapeId="0">
      <text>
        <r>
          <rPr>
            <b/>
            <sz val="9"/>
            <color indexed="81"/>
            <rFont val="Tahoma"/>
            <family val="2"/>
          </rPr>
          <t>1 set =6 kpg
1 fs = 4 set = 24 kpg</t>
        </r>
        <r>
          <rPr>
            <sz val="9"/>
            <color indexed="81"/>
            <rFont val="Tahoma"/>
            <family val="2"/>
          </rPr>
          <t xml:space="preserve">
</t>
        </r>
      </text>
    </comment>
    <comment ref="F301" authorId="0" shapeId="0">
      <text>
        <r>
          <rPr>
            <b/>
            <sz val="9"/>
            <color indexed="81"/>
            <rFont val="Tahoma"/>
            <family val="2"/>
          </rPr>
          <t xml:space="preserve">jan dialihkan dari def ke filateli utk kfj
4.000 set + 4000
</t>
        </r>
      </text>
    </comment>
    <comment ref="H301" authorId="0" shapeId="0">
      <text>
        <r>
          <rPr>
            <b/>
            <sz val="9"/>
            <color indexed="81"/>
            <rFont val="Tahoma"/>
            <family val="2"/>
          </rPr>
          <t xml:space="preserve">139.720 pengalihan def
</t>
        </r>
      </text>
    </comment>
    <comment ref="F310" authorId="0" shapeId="0">
      <text>
        <r>
          <rPr>
            <b/>
            <sz val="9"/>
            <color indexed="81"/>
            <rFont val="Tahoma"/>
            <family val="2"/>
          </rPr>
          <t>50.000 LBR X 8 SET</t>
        </r>
        <r>
          <rPr>
            <sz val="9"/>
            <color indexed="81"/>
            <rFont val="Tahoma"/>
            <family val="2"/>
          </rPr>
          <t xml:space="preserve">
</t>
        </r>
      </text>
    </comment>
    <comment ref="F311" authorId="0" shapeId="0">
      <text>
        <r>
          <rPr>
            <b/>
            <sz val="9"/>
            <color indexed="81"/>
            <rFont val="Tahoma"/>
            <family val="2"/>
          </rPr>
          <t xml:space="preserve">30.000 lbr
</t>
        </r>
        <r>
          <rPr>
            <sz val="9"/>
            <color indexed="81"/>
            <rFont val="Tahoma"/>
            <family val="2"/>
          </rPr>
          <t xml:space="preserve">
</t>
        </r>
      </text>
    </comment>
    <comment ref="F312" authorId="0" shapeId="0">
      <text>
        <r>
          <rPr>
            <b/>
            <sz val="9"/>
            <color indexed="81"/>
            <rFont val="Tahoma"/>
            <family val="2"/>
          </rPr>
          <t xml:space="preserve">990,000
10,000 tanpa perforasi (500 lbr)
</t>
        </r>
        <r>
          <rPr>
            <sz val="9"/>
            <color indexed="81"/>
            <rFont val="Tahoma"/>
            <family val="2"/>
          </rPr>
          <t xml:space="preserve">
</t>
        </r>
      </text>
    </comment>
    <comment ref="F313" authorId="0" shapeId="0">
      <text>
        <r>
          <rPr>
            <b/>
            <sz val="9"/>
            <color indexed="81"/>
            <rFont val="Tahoma"/>
            <family val="2"/>
          </rPr>
          <t>jun 10.000 lbr 
1 fs 8 set
8 x 10.000 = 80.000</t>
        </r>
      </text>
    </comment>
    <comment ref="F314" authorId="0" shapeId="0">
      <text>
        <r>
          <rPr>
            <b/>
            <sz val="9"/>
            <color indexed="81"/>
            <rFont val="Tahoma"/>
            <family val="2"/>
          </rPr>
          <t>juni 2017
29.500 lbr x 10 = 295.000 set
imperf 500 lbr = 5.000 set
 1fs = 10 set
1set 2 kpg @rp 4.000</t>
        </r>
        <r>
          <rPr>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H8" authorId="0" shapeId="0">
      <text>
        <r>
          <rPr>
            <b/>
            <sz val="9"/>
            <color indexed="81"/>
            <rFont val="Tahoma"/>
            <family val="2"/>
          </rPr>
          <t xml:space="preserve">maret repacking pameran 2017 p adnan
</t>
        </r>
      </text>
    </comment>
    <comment ref="H9" authorId="0" shapeId="0">
      <text>
        <r>
          <rPr>
            <b/>
            <sz val="9"/>
            <color indexed="81"/>
            <rFont val="Tahoma"/>
            <family val="2"/>
          </rPr>
          <t xml:space="preserve">maret repacking pameran 2017 p adnan
</t>
        </r>
      </text>
    </comment>
    <comment ref="H11" authorId="0" shapeId="0">
      <text>
        <r>
          <rPr>
            <b/>
            <sz val="9"/>
            <color indexed="81"/>
            <rFont val="Tahoma"/>
            <family val="2"/>
          </rPr>
          <t xml:space="preserve">maret repacking pameran 2017 p adnan
</t>
        </r>
      </text>
    </comment>
    <comment ref="C12" authorId="0" shapeId="0">
      <text>
        <r>
          <rPr>
            <b/>
            <sz val="9"/>
            <color indexed="81"/>
            <rFont val="Tahoma"/>
            <family val="2"/>
          </rPr>
          <t>tadinya rp 48.000. namun 1 set 6 gambar x rp 6.000 = 36.000. dicek ulang barang nya ada 200+170 buah per masing masing gambar</t>
        </r>
      </text>
    </comment>
    <comment ref="H12" authorId="0" shapeId="0">
      <text>
        <r>
          <rPr>
            <b/>
            <sz val="9"/>
            <color indexed="81"/>
            <rFont val="Tahoma"/>
            <family val="2"/>
          </rPr>
          <t xml:space="preserve">maret repacking pameran 2017 p adnan
</t>
        </r>
      </text>
    </comment>
    <comment ref="H19" authorId="0" shapeId="0">
      <text>
        <r>
          <rPr>
            <b/>
            <sz val="9"/>
            <color indexed="81"/>
            <rFont val="Tahoma"/>
            <family val="2"/>
          </rPr>
          <t xml:space="preserve">maret repacking pameran 2017 p adnan
</t>
        </r>
      </text>
    </comment>
    <comment ref="H20" authorId="0" shapeId="0">
      <text>
        <r>
          <rPr>
            <b/>
            <sz val="9"/>
            <color indexed="81"/>
            <rFont val="Tahoma"/>
            <family val="2"/>
          </rPr>
          <t xml:space="preserve">maret repacking pameran 2017 p adnan
</t>
        </r>
      </text>
    </comment>
    <comment ref="H21" authorId="0" shapeId="0">
      <text>
        <r>
          <rPr>
            <b/>
            <sz val="9"/>
            <color indexed="81"/>
            <rFont val="Tahoma"/>
            <family val="2"/>
          </rPr>
          <t xml:space="preserve">maret repacking pameran 2017 p adnan
</t>
        </r>
      </text>
    </comment>
    <comment ref="H22" authorId="0" shapeId="0">
      <text>
        <r>
          <rPr>
            <b/>
            <sz val="9"/>
            <color indexed="81"/>
            <rFont val="Tahoma"/>
            <family val="2"/>
          </rPr>
          <t xml:space="preserve">hitungan KAP 7297 bukan 7299. selisih kurang 2. pada saat yg bersamaan sy sedang menge cek barang yg lain. Disesuaikan oleh pa tito di akhir desember
</t>
        </r>
        <r>
          <rPr>
            <sz val="9"/>
            <color indexed="81"/>
            <rFont val="Tahoma"/>
            <family val="2"/>
          </rPr>
          <t xml:space="preserve">
maret repacking pameran 2017 p adnan</t>
        </r>
      </text>
    </comment>
    <comment ref="H29" authorId="0" shapeId="0">
      <text>
        <r>
          <rPr>
            <b/>
            <sz val="9"/>
            <color indexed="81"/>
            <rFont val="Tahoma"/>
            <family val="2"/>
          </rPr>
          <t>hitungan KAP 1.159 bukan 1.529. selisih kurang 370. pada saat yg bersamaan sy sedang menge cek barang yg lain. Disesuaikan oleh pa tito di akhir desember
masuk ke kelompok SS CR 2005
maret repacking pameran 2017 p adnan</t>
        </r>
        <r>
          <rPr>
            <sz val="9"/>
            <color indexed="81"/>
            <rFont val="Tahoma"/>
            <family val="2"/>
          </rPr>
          <t xml:space="preserve">
</t>
        </r>
      </text>
    </comment>
    <comment ref="H31" authorId="0" shapeId="0">
      <text>
        <r>
          <rPr>
            <b/>
            <sz val="9"/>
            <color indexed="81"/>
            <rFont val="Tahoma"/>
            <family val="2"/>
          </rPr>
          <t xml:space="preserve">maret repacking pameran 2017 p adnan
</t>
        </r>
      </text>
    </comment>
    <comment ref="H32" authorId="0" shapeId="0">
      <text>
        <r>
          <rPr>
            <b/>
            <sz val="9"/>
            <color indexed="81"/>
            <rFont val="Tahoma"/>
            <family val="2"/>
          </rPr>
          <t xml:space="preserve">maret repacking pameran 2017 p adnan
</t>
        </r>
      </text>
    </comment>
    <comment ref="F39" authorId="0" shapeId="0">
      <text>
        <r>
          <rPr>
            <b/>
            <sz val="9"/>
            <color indexed="81"/>
            <rFont val="Tahoma"/>
            <family val="2"/>
          </rPr>
          <t>hitungan KAP 645 bukan 275. selisih kurang 370. pada saat yg bersamaan sy sedang menge cek barang yg lain. Disesuaikan oleh pa tito di akhir desember
mengurangi kelompok SS CR 2004</t>
        </r>
        <r>
          <rPr>
            <sz val="9"/>
            <color indexed="81"/>
            <rFont val="Tahoma"/>
            <family val="2"/>
          </rPr>
          <t xml:space="preserve">
</t>
        </r>
      </text>
    </comment>
    <comment ref="H39" authorId="0" shapeId="0">
      <text>
        <r>
          <rPr>
            <b/>
            <sz val="9"/>
            <color indexed="81"/>
            <rFont val="Tahoma"/>
            <family val="2"/>
          </rPr>
          <t xml:space="preserve">maret repacking pameran 2017 p adnan
</t>
        </r>
      </text>
    </comment>
    <comment ref="H40" authorId="0" shapeId="0">
      <text>
        <r>
          <rPr>
            <b/>
            <sz val="9"/>
            <color indexed="81"/>
            <rFont val="Tahoma"/>
            <family val="2"/>
          </rPr>
          <t xml:space="preserve">maret repacking pameran 2017 p adnan
</t>
        </r>
      </text>
    </comment>
    <comment ref="H41" authorId="0" shapeId="0">
      <text>
        <r>
          <rPr>
            <b/>
            <sz val="9"/>
            <color indexed="81"/>
            <rFont val="Tahoma"/>
            <family val="2"/>
          </rPr>
          <t xml:space="preserve">maret repacking pameran 2017 p adnan
</t>
        </r>
      </text>
    </comment>
    <comment ref="H49" authorId="0" shapeId="0">
      <text>
        <r>
          <rPr>
            <b/>
            <sz val="9"/>
            <color indexed="81"/>
            <rFont val="Tahoma"/>
            <family val="2"/>
          </rPr>
          <t xml:space="preserve">maret repacking pameran 2017 p adnan
</t>
        </r>
      </text>
    </comment>
    <comment ref="H50" authorId="0" shapeId="0">
      <text>
        <r>
          <rPr>
            <b/>
            <sz val="9"/>
            <color indexed="81"/>
            <rFont val="Tahoma"/>
            <family val="2"/>
          </rPr>
          <t xml:space="preserve">maret repacking pameran 2017 p adnan
</t>
        </r>
      </text>
    </comment>
    <comment ref="H51" authorId="0" shapeId="0">
      <text>
        <r>
          <rPr>
            <b/>
            <sz val="9"/>
            <color indexed="81"/>
            <rFont val="Tahoma"/>
            <family val="2"/>
          </rPr>
          <t xml:space="preserve">maret repacking pameran 2017 p adnan
</t>
        </r>
      </text>
    </comment>
    <comment ref="H52" authorId="0" shapeId="0">
      <text>
        <r>
          <rPr>
            <b/>
            <sz val="9"/>
            <color indexed="81"/>
            <rFont val="Tahoma"/>
            <family val="2"/>
          </rPr>
          <t xml:space="preserve">maret repacking pameran 2017 p adnan
</t>
        </r>
      </text>
    </comment>
    <comment ref="H62" authorId="0" shapeId="0">
      <text>
        <r>
          <rPr>
            <b/>
            <sz val="9"/>
            <color indexed="81"/>
            <rFont val="Tahoma"/>
            <family val="2"/>
          </rPr>
          <t>26-4-2017 = 5,000 rpacking pameran 2017 ginanjar</t>
        </r>
      </text>
    </comment>
    <comment ref="H63" authorId="0" shapeId="0">
      <text>
        <r>
          <rPr>
            <b/>
            <sz val="9"/>
            <color indexed="81"/>
            <rFont val="Tahoma"/>
            <family val="2"/>
          </rPr>
          <t xml:space="preserve">maret repacking pameran 2017 p adnan
</t>
        </r>
      </text>
    </comment>
    <comment ref="H64" authorId="0" shapeId="0">
      <text>
        <r>
          <rPr>
            <b/>
            <sz val="9"/>
            <color indexed="81"/>
            <rFont val="Tahoma"/>
            <family val="2"/>
          </rPr>
          <t xml:space="preserve">maret repacking pameran 2017 p adnan
</t>
        </r>
      </text>
    </comment>
    <comment ref="H65" authorId="0" shapeId="0">
      <text>
        <r>
          <rPr>
            <b/>
            <sz val="9"/>
            <color indexed="81"/>
            <rFont val="Tahoma"/>
            <family val="2"/>
          </rPr>
          <t xml:space="preserve">maret repacking pameran 2017 p adnan
</t>
        </r>
      </text>
    </comment>
    <comment ref="H66" authorId="0" shapeId="0">
      <text>
        <r>
          <rPr>
            <b/>
            <sz val="9"/>
            <color indexed="81"/>
            <rFont val="Tahoma"/>
            <family val="2"/>
          </rPr>
          <t xml:space="preserve">maret repacking pameran 2017 p adnan
</t>
        </r>
      </text>
    </comment>
    <comment ref="H73" authorId="0" shapeId="0">
      <text>
        <r>
          <rPr>
            <b/>
            <sz val="9"/>
            <color indexed="81"/>
            <rFont val="Tahoma"/>
            <family val="2"/>
          </rPr>
          <t>26-4-2017 = 5,000 rpacking pameran 2017 ginanjar</t>
        </r>
      </text>
    </comment>
    <comment ref="H75" authorId="0" shapeId="0">
      <text>
        <r>
          <rPr>
            <b/>
            <sz val="9"/>
            <color indexed="81"/>
            <rFont val="Tahoma"/>
            <family val="2"/>
          </rPr>
          <t xml:space="preserve">maret repacking pameran 2017 p adnan
</t>
        </r>
      </text>
    </comment>
    <comment ref="H76" authorId="0" shapeId="0">
      <text>
        <r>
          <rPr>
            <b/>
            <sz val="9"/>
            <color indexed="81"/>
            <rFont val="Tahoma"/>
            <family val="2"/>
          </rPr>
          <t xml:space="preserve">maret repacking pameran 2017 p adnan
</t>
        </r>
      </text>
    </comment>
    <comment ref="H77" authorId="0" shapeId="0">
      <text>
        <r>
          <rPr>
            <b/>
            <sz val="9"/>
            <color indexed="81"/>
            <rFont val="Tahoma"/>
            <family val="2"/>
          </rPr>
          <t xml:space="preserve">maret repacking pameran 2017 p adnan
</t>
        </r>
      </text>
    </comment>
    <comment ref="H78" authorId="0" shapeId="0">
      <text>
        <r>
          <rPr>
            <b/>
            <sz val="9"/>
            <color indexed="81"/>
            <rFont val="Tahoma"/>
            <family val="2"/>
          </rPr>
          <t xml:space="preserve">maret repacking pameran 2017 p adnan
</t>
        </r>
      </text>
    </comment>
    <comment ref="H86" authorId="0" shapeId="0">
      <text>
        <r>
          <rPr>
            <b/>
            <sz val="9"/>
            <color indexed="81"/>
            <rFont val="Tahoma"/>
            <family val="2"/>
          </rPr>
          <t>nov pengalihan def</t>
        </r>
      </text>
    </comment>
    <comment ref="H87" authorId="0" shapeId="0">
      <text>
        <r>
          <rPr>
            <b/>
            <sz val="9"/>
            <color indexed="81"/>
            <rFont val="Tahoma"/>
            <family val="2"/>
          </rPr>
          <t>nov pengalihan def</t>
        </r>
      </text>
    </comment>
    <comment ref="H88" authorId="0" shapeId="0">
      <text>
        <r>
          <rPr>
            <b/>
            <sz val="9"/>
            <color indexed="81"/>
            <rFont val="Tahoma"/>
            <family val="2"/>
          </rPr>
          <t>maret repacking pameran 2017 p adnan</t>
        </r>
        <r>
          <rPr>
            <sz val="9"/>
            <color indexed="81"/>
            <rFont val="Tahoma"/>
            <family val="2"/>
          </rPr>
          <t xml:space="preserve">
</t>
        </r>
      </text>
    </comment>
    <comment ref="H89" authorId="0" shapeId="0">
      <text>
        <r>
          <rPr>
            <b/>
            <sz val="9"/>
            <color indexed="81"/>
            <rFont val="Tahoma"/>
            <family val="2"/>
          </rPr>
          <t xml:space="preserve">maret repacking pameran 2017 p adnan
</t>
        </r>
      </text>
    </comment>
    <comment ref="H90" authorId="0" shapeId="0">
      <text>
        <r>
          <rPr>
            <b/>
            <sz val="9"/>
            <color indexed="81"/>
            <rFont val="Tahoma"/>
            <family val="2"/>
          </rPr>
          <t xml:space="preserve">maret repacking pameran 2017 p adnan
</t>
        </r>
      </text>
    </comment>
    <comment ref="H91" authorId="0" shapeId="0">
      <text>
        <r>
          <rPr>
            <b/>
            <sz val="9"/>
            <color indexed="81"/>
            <rFont val="Tahoma"/>
            <family val="2"/>
          </rPr>
          <t xml:space="preserve">maret repacking pameran 2017 p adnan
</t>
        </r>
      </text>
    </comment>
    <comment ref="H98" authorId="0" shapeId="0">
      <text>
        <r>
          <rPr>
            <b/>
            <sz val="9"/>
            <color indexed="81"/>
            <rFont val="Tahoma"/>
            <family val="2"/>
          </rPr>
          <t xml:space="preserve">maret repacking pameran 2017 p adnan
</t>
        </r>
      </text>
    </comment>
    <comment ref="H99" authorId="0" shapeId="0">
      <text>
        <r>
          <rPr>
            <b/>
            <sz val="9"/>
            <color indexed="81"/>
            <rFont val="Tahoma"/>
            <family val="2"/>
          </rPr>
          <t xml:space="preserve">maret repacking pameran 2017 p adnan
</t>
        </r>
      </text>
    </comment>
    <comment ref="H100" authorId="0" shapeId="0">
      <text>
        <r>
          <rPr>
            <b/>
            <sz val="9"/>
            <color indexed="81"/>
            <rFont val="Tahoma"/>
            <family val="2"/>
          </rPr>
          <t xml:space="preserve">maret repacking pameran 2017 p adnan
</t>
        </r>
      </text>
    </comment>
    <comment ref="H102" authorId="0" shapeId="0">
      <text>
        <r>
          <rPr>
            <b/>
            <sz val="9"/>
            <color indexed="81"/>
            <rFont val="Tahoma"/>
            <family val="2"/>
          </rPr>
          <t xml:space="preserve">maret repacking pameran 2017 p adnan
</t>
        </r>
      </text>
    </comment>
    <comment ref="H103" authorId="0" shapeId="0">
      <text>
        <r>
          <rPr>
            <b/>
            <sz val="9"/>
            <color indexed="81"/>
            <rFont val="Tahoma"/>
            <family val="2"/>
          </rPr>
          <t xml:space="preserve">maret repacking pameran 2017 p adnan
</t>
        </r>
      </text>
    </comment>
    <comment ref="H104" authorId="0" shapeId="0">
      <text>
        <r>
          <rPr>
            <b/>
            <sz val="9"/>
            <color indexed="81"/>
            <rFont val="Tahoma"/>
            <family val="2"/>
          </rPr>
          <t xml:space="preserve">maret repacking pameran 2017 p adnan
</t>
        </r>
      </text>
    </comment>
    <comment ref="H112" authorId="0" shapeId="0">
      <text>
        <r>
          <rPr>
            <b/>
            <sz val="9"/>
            <color indexed="81"/>
            <rFont val="Tahoma"/>
            <family val="2"/>
          </rPr>
          <t xml:space="preserve">maret repacking pameran 2017 p adnan
</t>
        </r>
      </text>
    </comment>
    <comment ref="H113" authorId="0" shapeId="0">
      <text>
        <r>
          <rPr>
            <b/>
            <sz val="9"/>
            <color indexed="81"/>
            <rFont val="Tahoma"/>
            <family val="2"/>
          </rPr>
          <t xml:space="preserve">maret repacking pameran 2017 p adnan
</t>
        </r>
      </text>
    </comment>
    <comment ref="H114" authorId="0" shapeId="0">
      <text>
        <r>
          <rPr>
            <b/>
            <sz val="9"/>
            <color indexed="81"/>
            <rFont val="Tahoma"/>
            <family val="2"/>
          </rPr>
          <t xml:space="preserve">maret repacking pameran 2017 p adnan
</t>
        </r>
      </text>
    </comment>
    <comment ref="H121" authorId="0" shapeId="0">
      <text>
        <r>
          <rPr>
            <b/>
            <sz val="9"/>
            <color indexed="81"/>
            <rFont val="Tahoma"/>
            <family val="2"/>
          </rPr>
          <t xml:space="preserve">maret repacking pameran 2017 p adnan
</t>
        </r>
      </text>
    </comment>
    <comment ref="H122" authorId="0" shapeId="0">
      <text>
        <r>
          <rPr>
            <b/>
            <sz val="9"/>
            <color indexed="81"/>
            <rFont val="Tahoma"/>
            <family val="2"/>
          </rPr>
          <t xml:space="preserve">maret repacking pameran 2017 p adnan
</t>
        </r>
      </text>
    </comment>
    <comment ref="H129" authorId="0" shapeId="0">
      <text>
        <r>
          <rPr>
            <b/>
            <sz val="9"/>
            <color indexed="81"/>
            <rFont val="Tahoma"/>
            <family val="2"/>
          </rPr>
          <t xml:space="preserve">maret repacking pameran 2017 p adnan
</t>
        </r>
      </text>
    </comment>
    <comment ref="H130" authorId="0" shapeId="0">
      <text>
        <r>
          <rPr>
            <b/>
            <sz val="9"/>
            <color indexed="81"/>
            <rFont val="Tahoma"/>
            <family val="2"/>
          </rPr>
          <t xml:space="preserve">maret repacking pameran 2017 p adnan
</t>
        </r>
      </text>
    </comment>
    <comment ref="H137" authorId="0" shapeId="0">
      <text>
        <r>
          <rPr>
            <b/>
            <sz val="9"/>
            <color indexed="81"/>
            <rFont val="Tahoma"/>
            <family val="2"/>
          </rPr>
          <t xml:space="preserve">maret repacking pameran 2017 p adnan
</t>
        </r>
      </text>
    </comment>
    <comment ref="H138" authorId="0" shapeId="0">
      <text>
        <r>
          <rPr>
            <b/>
            <sz val="9"/>
            <color indexed="81"/>
            <rFont val="Tahoma"/>
            <family val="2"/>
          </rPr>
          <t xml:space="preserve">maret repacking pameran 2017 p adnan
</t>
        </r>
      </text>
    </comment>
    <comment ref="H139" authorId="0" shapeId="0">
      <text>
        <r>
          <rPr>
            <b/>
            <sz val="9"/>
            <color indexed="81"/>
            <rFont val="Tahoma"/>
            <family val="2"/>
          </rPr>
          <t xml:space="preserve">maret repacking pameran 2017 p adnan
</t>
        </r>
      </text>
    </comment>
    <comment ref="H140" authorId="0" shapeId="0">
      <text>
        <r>
          <rPr>
            <b/>
            <sz val="9"/>
            <color indexed="81"/>
            <rFont val="Tahoma"/>
            <family val="2"/>
          </rPr>
          <t>repacking 14 juni 2017. pameran dunia
1000</t>
        </r>
      </text>
    </comment>
    <comment ref="H147" authorId="0" shapeId="0">
      <text>
        <r>
          <rPr>
            <b/>
            <sz val="9"/>
            <color indexed="81"/>
            <rFont val="Tahoma"/>
            <family val="2"/>
          </rPr>
          <t xml:space="preserve">maret repacking pameran 2017 p adnan
</t>
        </r>
      </text>
    </comment>
    <comment ref="H148" authorId="0" shapeId="0">
      <text>
        <r>
          <rPr>
            <b/>
            <sz val="9"/>
            <color indexed="81"/>
            <rFont val="Tahoma"/>
            <family val="2"/>
          </rPr>
          <t xml:space="preserve">maret repacking pameran 2017 p adnan
</t>
        </r>
      </text>
    </comment>
    <comment ref="H150" authorId="0" shapeId="0">
      <text>
        <r>
          <rPr>
            <b/>
            <sz val="9"/>
            <color indexed="81"/>
            <rFont val="Tahoma"/>
            <family val="2"/>
          </rPr>
          <t xml:space="preserve">maret repacking pameran 2017 p adnan
</t>
        </r>
      </text>
    </comment>
    <comment ref="H151" authorId="0" shapeId="0">
      <text>
        <r>
          <rPr>
            <b/>
            <sz val="9"/>
            <color indexed="81"/>
            <rFont val="Tahoma"/>
            <family val="2"/>
          </rPr>
          <t xml:space="preserve">maret repacking pameran 2017 p adnan
</t>
        </r>
      </text>
    </comment>
    <comment ref="H158" authorId="0" shapeId="0">
      <text>
        <r>
          <rPr>
            <b/>
            <sz val="9"/>
            <color indexed="81"/>
            <rFont val="Tahoma"/>
            <charset val="1"/>
          </rPr>
          <t>26 juni 2017
repacking pameran dunia 500</t>
        </r>
      </text>
    </comment>
    <comment ref="H159" authorId="0" shapeId="0">
      <text>
        <r>
          <rPr>
            <b/>
            <sz val="9"/>
            <color indexed="81"/>
            <rFont val="Tahoma"/>
            <family val="2"/>
          </rPr>
          <t xml:space="preserve">maret repacking pameran 2017 p adnan
</t>
        </r>
      </text>
    </comment>
    <comment ref="H160" authorId="0" shapeId="0">
      <text>
        <r>
          <rPr>
            <b/>
            <sz val="9"/>
            <color indexed="81"/>
            <rFont val="Tahoma"/>
            <family val="2"/>
          </rPr>
          <t xml:space="preserve">maret repacking pameran 2017 p adnan
</t>
        </r>
      </text>
    </comment>
    <comment ref="H168" authorId="0" shapeId="0">
      <text>
        <r>
          <rPr>
            <b/>
            <sz val="9"/>
            <color indexed="81"/>
            <rFont val="Tahoma"/>
            <family val="2"/>
          </rPr>
          <t xml:space="preserve">maret repacking pameran 2017 p adnan
</t>
        </r>
      </text>
    </comment>
    <comment ref="H169" authorId="0" shapeId="0">
      <text>
        <r>
          <rPr>
            <b/>
            <sz val="9"/>
            <color indexed="81"/>
            <rFont val="Tahoma"/>
            <family val="2"/>
          </rPr>
          <t xml:space="preserve">maret repacking pameran 2017 p adnan
</t>
        </r>
      </text>
    </comment>
    <comment ref="H170" authorId="0" shapeId="0">
      <text>
        <r>
          <rPr>
            <b/>
            <sz val="9"/>
            <color indexed="81"/>
            <rFont val="Tahoma"/>
            <family val="2"/>
          </rPr>
          <t xml:space="preserve">maret repacking pameran 2017 p adnan
</t>
        </r>
      </text>
    </comment>
    <comment ref="H171" authorId="0" shapeId="0">
      <text>
        <r>
          <rPr>
            <b/>
            <sz val="9"/>
            <color indexed="81"/>
            <rFont val="Tahoma"/>
            <family val="2"/>
          </rPr>
          <t xml:space="preserve">maret repacking pameran 2017 p adnan
</t>
        </r>
      </text>
    </comment>
    <comment ref="H172" authorId="0" shapeId="0">
      <text>
        <r>
          <rPr>
            <b/>
            <sz val="9"/>
            <color indexed="81"/>
            <rFont val="Tahoma"/>
            <family val="2"/>
          </rPr>
          <t xml:space="preserve">maret repacking pameran 2017 p adnan
</t>
        </r>
      </text>
    </comment>
    <comment ref="H173" authorId="0" shapeId="0">
      <text>
        <r>
          <rPr>
            <b/>
            <sz val="9"/>
            <color indexed="81"/>
            <rFont val="Tahoma"/>
            <family val="2"/>
          </rPr>
          <t xml:space="preserve">maret repacking pameran 2017 p adnan
</t>
        </r>
      </text>
    </comment>
    <comment ref="H174" authorId="0" shapeId="0">
      <text>
        <r>
          <rPr>
            <b/>
            <sz val="9"/>
            <color indexed="81"/>
            <rFont val="Tahoma"/>
            <family val="2"/>
          </rPr>
          <t xml:space="preserve">maret repacking pameran 2017 p adnan
</t>
        </r>
      </text>
    </comment>
    <comment ref="H175" authorId="0" shapeId="0">
      <text>
        <r>
          <rPr>
            <b/>
            <sz val="9"/>
            <color indexed="81"/>
            <rFont val="Tahoma"/>
            <family val="2"/>
          </rPr>
          <t xml:space="preserve">maret repacking pameran 2017 p adnan
</t>
        </r>
      </text>
    </comment>
    <comment ref="H176" authorId="0" shapeId="0">
      <text>
        <r>
          <rPr>
            <b/>
            <sz val="9"/>
            <color indexed="81"/>
            <rFont val="Tahoma"/>
            <family val="2"/>
          </rPr>
          <t xml:space="preserve">maret repacking pameran 2017 p adnan
</t>
        </r>
      </text>
    </comment>
    <comment ref="H177" authorId="0" shapeId="0">
      <text>
        <r>
          <rPr>
            <b/>
            <sz val="9"/>
            <color indexed="81"/>
            <rFont val="Tahoma"/>
            <family val="2"/>
          </rPr>
          <t xml:space="preserve">maret repacking pameran 2017 p adnan
</t>
        </r>
      </text>
    </comment>
    <comment ref="F178" authorId="0" shapeId="0">
      <text>
        <r>
          <rPr>
            <b/>
            <sz val="9"/>
            <color indexed="81"/>
            <rFont val="Tahoma"/>
            <family val="2"/>
          </rPr>
          <t>saldo awalnya harga 2.500 seharusnya rp 10.000.
oki ditambah 7.500 (tambahan keping baru biar harganya 10.000</t>
        </r>
        <r>
          <rPr>
            <sz val="9"/>
            <color indexed="81"/>
            <rFont val="Tahoma"/>
            <family val="2"/>
          </rPr>
          <t xml:space="preserve">
</t>
        </r>
      </text>
    </comment>
    <comment ref="M178" authorId="0" shapeId="0">
      <text>
        <r>
          <rPr>
            <b/>
            <sz val="9"/>
            <color indexed="81"/>
            <rFont val="Tahoma"/>
            <family val="2"/>
          </rPr>
          <t>HITUNGAN NYA KEPING</t>
        </r>
      </text>
    </comment>
    <comment ref="H179" authorId="0" shapeId="0">
      <text>
        <r>
          <rPr>
            <b/>
            <sz val="9"/>
            <color indexed="81"/>
            <rFont val="Tahoma"/>
            <family val="2"/>
          </rPr>
          <t xml:space="preserve">maret repacking pameran 2017 p adnan
</t>
        </r>
      </text>
    </comment>
    <comment ref="H180" authorId="0" shapeId="0">
      <text>
        <r>
          <rPr>
            <b/>
            <sz val="9"/>
            <color indexed="81"/>
            <rFont val="Tahoma"/>
            <family val="2"/>
          </rPr>
          <t xml:space="preserve">maret repacking pameran 2017 p adnan
</t>
        </r>
      </text>
    </comment>
    <comment ref="H182" authorId="0" shapeId="0">
      <text>
        <r>
          <rPr>
            <b/>
            <sz val="9"/>
            <color indexed="81"/>
            <rFont val="Tahoma"/>
            <family val="2"/>
          </rPr>
          <t>31 mei 2017 persiapan pameran 2017</t>
        </r>
        <r>
          <rPr>
            <sz val="9"/>
            <color indexed="81"/>
            <rFont val="Tahoma"/>
            <family val="2"/>
          </rPr>
          <t xml:space="preserve">
</t>
        </r>
      </text>
    </comment>
    <comment ref="H189" authorId="0" shapeId="0">
      <text>
        <r>
          <rPr>
            <b/>
            <sz val="9"/>
            <color indexed="81"/>
            <rFont val="Tahoma"/>
            <family val="2"/>
          </rPr>
          <t>persiapan pameran 2017</t>
        </r>
        <r>
          <rPr>
            <sz val="9"/>
            <color indexed="81"/>
            <rFont val="Tahoma"/>
            <family val="2"/>
          </rPr>
          <t xml:space="preserve">
</t>
        </r>
      </text>
    </comment>
    <comment ref="H190" authorId="0" shapeId="0">
      <text>
        <r>
          <rPr>
            <b/>
            <sz val="9"/>
            <color indexed="81"/>
            <rFont val="Tahoma"/>
            <charset val="1"/>
          </rPr>
          <t>26 juni 2017
repacking pameran dunia 5.000</t>
        </r>
      </text>
    </comment>
    <comment ref="H191" authorId="0" shapeId="0">
      <text>
        <r>
          <rPr>
            <b/>
            <sz val="9"/>
            <color indexed="81"/>
            <rFont val="Tahoma"/>
            <family val="2"/>
          </rPr>
          <t>repacking 14 juni 2017. pameran dunia
5.000 lbr</t>
        </r>
        <r>
          <rPr>
            <sz val="9"/>
            <color indexed="81"/>
            <rFont val="Tahoma"/>
            <family val="2"/>
          </rPr>
          <t xml:space="preserve">
</t>
        </r>
      </text>
    </comment>
    <comment ref="H192" authorId="0" shapeId="0">
      <text>
        <r>
          <rPr>
            <b/>
            <sz val="9"/>
            <color indexed="81"/>
            <rFont val="Tahoma"/>
            <family val="2"/>
          </rPr>
          <t>repacking 14 juni 2017. pameran dunia
1000</t>
        </r>
        <r>
          <rPr>
            <sz val="9"/>
            <color indexed="81"/>
            <rFont val="Tahoma"/>
            <family val="2"/>
          </rPr>
          <t xml:space="preserve">
</t>
        </r>
      </text>
    </comment>
    <comment ref="H193" authorId="0" shapeId="0">
      <text>
        <r>
          <rPr>
            <b/>
            <sz val="9"/>
            <color indexed="81"/>
            <rFont val="Tahoma"/>
            <family val="2"/>
          </rPr>
          <t>repacking 14 juni 2017. pameran dunia
500</t>
        </r>
        <r>
          <rPr>
            <sz val="9"/>
            <color indexed="81"/>
            <rFont val="Tahoma"/>
            <family val="2"/>
          </rPr>
          <t xml:space="preserve">
</t>
        </r>
      </text>
    </comment>
    <comment ref="H194" authorId="0" shapeId="0">
      <text>
        <r>
          <rPr>
            <b/>
            <sz val="9"/>
            <color indexed="81"/>
            <rFont val="Tahoma"/>
            <family val="2"/>
          </rPr>
          <t>repacking 14 juni 2017. pameran dunia
1000</t>
        </r>
      </text>
    </comment>
    <comment ref="F195" authorId="0" shapeId="0">
      <text>
        <r>
          <rPr>
            <b/>
            <sz val="9"/>
            <color indexed="81"/>
            <rFont val="Tahoma"/>
            <family val="2"/>
          </rPr>
          <t>juni retouran 100</t>
        </r>
        <r>
          <rPr>
            <sz val="9"/>
            <color indexed="81"/>
            <rFont val="Tahoma"/>
            <family val="2"/>
          </rPr>
          <t xml:space="preserve">
</t>
        </r>
      </text>
    </comment>
    <comment ref="H195" authorId="0" shapeId="0">
      <text>
        <r>
          <rPr>
            <b/>
            <sz val="9"/>
            <color indexed="81"/>
            <rFont val="Tahoma"/>
            <family val="2"/>
          </rPr>
          <t>repacking 14 juni 2017. pameran dunia
1000</t>
        </r>
      </text>
    </comment>
    <comment ref="H204" authorId="0" shapeId="0">
      <text>
        <r>
          <rPr>
            <b/>
            <sz val="9"/>
            <color indexed="81"/>
            <rFont val="Tahoma"/>
            <family val="2"/>
          </rPr>
          <t>persiapan pameran 2017</t>
        </r>
        <r>
          <rPr>
            <sz val="9"/>
            <color indexed="81"/>
            <rFont val="Tahoma"/>
            <family val="2"/>
          </rPr>
          <t xml:space="preserve">
</t>
        </r>
      </text>
    </comment>
    <comment ref="H205" authorId="0" shapeId="0">
      <text>
        <r>
          <rPr>
            <b/>
            <sz val="9"/>
            <color indexed="81"/>
            <rFont val="Tahoma"/>
            <family val="2"/>
          </rPr>
          <t>persiapan pameran 2017</t>
        </r>
        <r>
          <rPr>
            <sz val="9"/>
            <color indexed="81"/>
            <rFont val="Tahoma"/>
            <family val="2"/>
          </rPr>
          <t xml:space="preserve">
</t>
        </r>
      </text>
    </comment>
    <comment ref="H206" authorId="0" shapeId="0">
      <text>
        <r>
          <rPr>
            <b/>
            <sz val="9"/>
            <color indexed="81"/>
            <rFont val="Tahoma"/>
            <family val="2"/>
          </rPr>
          <t xml:space="preserve">maret repacking pameran 2017 p adnan
</t>
        </r>
      </text>
    </comment>
    <comment ref="H209" authorId="0" shapeId="0">
      <text>
        <r>
          <rPr>
            <b/>
            <sz val="9"/>
            <color indexed="81"/>
            <rFont val="Tahoma"/>
            <family val="2"/>
          </rPr>
          <t>persiapan pameran 2017</t>
        </r>
      </text>
    </comment>
    <comment ref="H210" authorId="0" shapeId="0">
      <text>
        <r>
          <rPr>
            <b/>
            <sz val="9"/>
            <color indexed="81"/>
            <rFont val="Tahoma"/>
            <family val="2"/>
          </rPr>
          <t xml:space="preserve">persiapan pameran 2017
</t>
        </r>
      </text>
    </comment>
    <comment ref="H217" authorId="0" shapeId="0">
      <text>
        <r>
          <rPr>
            <b/>
            <sz val="9"/>
            <color indexed="81"/>
            <rFont val="Tahoma"/>
            <family val="2"/>
          </rPr>
          <t>31 mei 2017 persiapan pameran 2017</t>
        </r>
        <r>
          <rPr>
            <sz val="9"/>
            <color indexed="81"/>
            <rFont val="Tahoma"/>
            <family val="2"/>
          </rPr>
          <t xml:space="preserve">
</t>
        </r>
      </text>
    </comment>
    <comment ref="H218" authorId="0" shapeId="0">
      <text>
        <r>
          <rPr>
            <b/>
            <sz val="9"/>
            <color indexed="81"/>
            <rFont val="Tahoma"/>
            <family val="2"/>
          </rPr>
          <t>repacking 14 juni 2017. pameran dunia
5000</t>
        </r>
        <r>
          <rPr>
            <sz val="9"/>
            <color indexed="81"/>
            <rFont val="Tahoma"/>
            <family val="2"/>
          </rPr>
          <t xml:space="preserve">
</t>
        </r>
      </text>
    </comment>
    <comment ref="H219" authorId="0" shapeId="0">
      <text>
        <r>
          <rPr>
            <b/>
            <sz val="9"/>
            <color indexed="81"/>
            <rFont val="Tahoma"/>
            <family val="2"/>
          </rPr>
          <t>26-4-2017 = 5,000 rpacking pameran 2017 ginanjar</t>
        </r>
      </text>
    </comment>
    <comment ref="H220" authorId="0" shapeId="0">
      <text>
        <r>
          <rPr>
            <b/>
            <sz val="9"/>
            <color indexed="81"/>
            <rFont val="Tahoma"/>
            <family val="2"/>
          </rPr>
          <t>persiapan pameran 2017</t>
        </r>
      </text>
    </comment>
    <comment ref="H222" authorId="0" shapeId="0">
      <text>
        <r>
          <rPr>
            <b/>
            <sz val="9"/>
            <color indexed="81"/>
            <rFont val="Tahoma"/>
            <family val="2"/>
          </rPr>
          <t>31 mei 2017 persiapan pameran 2017</t>
        </r>
        <r>
          <rPr>
            <sz val="9"/>
            <color indexed="81"/>
            <rFont val="Tahoma"/>
            <family val="2"/>
          </rPr>
          <t xml:space="preserve">
</t>
        </r>
      </text>
    </comment>
    <comment ref="H223" authorId="0" shapeId="0">
      <text>
        <r>
          <rPr>
            <b/>
            <sz val="9"/>
            <color indexed="81"/>
            <rFont val="Tahoma"/>
            <family val="2"/>
          </rPr>
          <t>31 mei 2017 persiapan pameran 2017</t>
        </r>
      </text>
    </comment>
    <comment ref="H224" authorId="0" shapeId="0">
      <text>
        <r>
          <rPr>
            <b/>
            <sz val="9"/>
            <color indexed="81"/>
            <rFont val="Tahoma"/>
            <family val="2"/>
          </rPr>
          <t>31 mei 2017 persiapan pameran 2017</t>
        </r>
      </text>
    </comment>
    <comment ref="H225" authorId="0" shapeId="0">
      <text>
        <r>
          <rPr>
            <b/>
            <sz val="9"/>
            <color indexed="81"/>
            <rFont val="Tahoma"/>
            <family val="2"/>
          </rPr>
          <t xml:space="preserve">persiapan pameran 2017 = 3,000
</t>
        </r>
        <r>
          <rPr>
            <sz val="9"/>
            <color indexed="81"/>
            <rFont val="Tahoma"/>
            <family val="2"/>
          </rPr>
          <t xml:space="preserve">
</t>
        </r>
      </text>
    </comment>
    <comment ref="H232" authorId="0" shapeId="0">
      <text>
        <r>
          <rPr>
            <b/>
            <sz val="9"/>
            <color indexed="81"/>
            <rFont val="Tahoma"/>
            <family val="2"/>
          </rPr>
          <t>nov pengalihan def 4.000</t>
        </r>
        <r>
          <rPr>
            <sz val="9"/>
            <color indexed="81"/>
            <rFont val="Tahoma"/>
            <family val="2"/>
          </rPr>
          <t xml:space="preserve">
</t>
        </r>
        <r>
          <rPr>
            <b/>
            <sz val="9"/>
            <color indexed="81"/>
            <rFont val="Tahoma"/>
            <family val="2"/>
          </rPr>
          <t>31 mei 2017 persiapan pameran 2017 =2,000</t>
        </r>
      </text>
    </comment>
    <comment ref="H235" authorId="0" shapeId="0">
      <text>
        <r>
          <rPr>
            <b/>
            <sz val="9"/>
            <color indexed="81"/>
            <rFont val="Tahoma"/>
            <family val="2"/>
          </rPr>
          <t xml:space="preserve">maret repacking pameran 2017 p adnan
</t>
        </r>
        <r>
          <rPr>
            <sz val="9"/>
            <color indexed="81"/>
            <rFont val="Tahoma"/>
            <family val="2"/>
          </rPr>
          <t xml:space="preserve">
</t>
        </r>
      </text>
    </comment>
    <comment ref="H236" authorId="0" shapeId="0">
      <text>
        <r>
          <rPr>
            <b/>
            <sz val="9"/>
            <color indexed="81"/>
            <rFont val="Tahoma"/>
            <family val="2"/>
          </rPr>
          <t xml:space="preserve">maret repacking pameran 2017 p adnan
</t>
        </r>
        <r>
          <rPr>
            <sz val="9"/>
            <color indexed="81"/>
            <rFont val="Tahoma"/>
            <family val="2"/>
          </rPr>
          <t xml:space="preserve">
</t>
        </r>
      </text>
    </comment>
    <comment ref="H237" authorId="0" shapeId="0">
      <text>
        <r>
          <rPr>
            <b/>
            <sz val="9"/>
            <color indexed="81"/>
            <rFont val="Tahoma"/>
            <family val="2"/>
          </rPr>
          <t>repacking 14 juni 2017. pameran dunia
2.500</t>
        </r>
        <r>
          <rPr>
            <sz val="9"/>
            <color indexed="81"/>
            <rFont val="Tahoma"/>
            <family val="2"/>
          </rPr>
          <t xml:space="preserve">
</t>
        </r>
      </text>
    </comment>
    <comment ref="S237" authorId="0" shapeId="0">
      <text>
        <r>
          <rPr>
            <b/>
            <sz val="9"/>
            <color indexed="81"/>
            <rFont val="Tahoma"/>
            <family val="2"/>
          </rPr>
          <t>diserahkan oleh sis ke kifa</t>
        </r>
        <r>
          <rPr>
            <sz val="9"/>
            <color indexed="81"/>
            <rFont val="Tahoma"/>
            <family val="2"/>
          </rPr>
          <t xml:space="preserve">
750 = 3.000 set</t>
        </r>
      </text>
    </comment>
    <comment ref="T237" authorId="0" shapeId="0">
      <text>
        <r>
          <rPr>
            <b/>
            <sz val="9"/>
            <color indexed="81"/>
            <rFont val="Tahoma"/>
            <family val="2"/>
          </rPr>
          <t>oleh baki utk kemsn 
600</t>
        </r>
        <r>
          <rPr>
            <sz val="9"/>
            <color indexed="81"/>
            <rFont val="Tahoma"/>
            <family val="2"/>
          </rPr>
          <t xml:space="preserve">
</t>
        </r>
      </text>
    </comment>
    <comment ref="U237" authorId="0" shapeId="0">
      <text>
        <r>
          <rPr>
            <b/>
            <sz val="9"/>
            <color indexed="81"/>
            <rFont val="Tahoma"/>
            <family val="2"/>
          </rPr>
          <t xml:space="preserve">sis pertukaran
</t>
        </r>
        <r>
          <rPr>
            <sz val="9"/>
            <color indexed="81"/>
            <rFont val="Tahoma"/>
            <family val="2"/>
          </rPr>
          <t xml:space="preserve">
</t>
        </r>
      </text>
    </comment>
    <comment ref="V237" authorId="0" shapeId="0">
      <text>
        <r>
          <rPr>
            <b/>
            <sz val="9"/>
            <color indexed="81"/>
            <rFont val="Tahoma"/>
            <family val="2"/>
          </rPr>
          <t>souvenir direksi</t>
        </r>
        <r>
          <rPr>
            <sz val="9"/>
            <color indexed="81"/>
            <rFont val="Tahoma"/>
            <family val="2"/>
          </rPr>
          <t xml:space="preserve">
</t>
        </r>
      </text>
    </comment>
    <comment ref="F238" authorId="0" shapeId="0">
      <text>
        <r>
          <rPr>
            <b/>
            <sz val="9"/>
            <color indexed="81"/>
            <rFont val="Tahoma"/>
            <family val="2"/>
          </rPr>
          <t>JUNI 500</t>
        </r>
        <r>
          <rPr>
            <sz val="9"/>
            <color indexed="81"/>
            <rFont val="Tahoma"/>
            <family val="2"/>
          </rPr>
          <t xml:space="preserve">
</t>
        </r>
      </text>
    </comment>
    <comment ref="P238" authorId="0" shapeId="0">
      <text>
        <r>
          <rPr>
            <b/>
            <sz val="9"/>
            <color indexed="81"/>
            <rFont val="Tahoma"/>
            <family val="2"/>
          </rPr>
          <t>SIS BLN AGTS DPTGN SEPT 500+5</t>
        </r>
        <r>
          <rPr>
            <sz val="9"/>
            <color indexed="81"/>
            <rFont val="Tahoma"/>
            <family val="2"/>
          </rPr>
          <t xml:space="preserve">
</t>
        </r>
      </text>
    </comment>
    <comment ref="P240" authorId="0" shapeId="0">
      <text>
        <r>
          <rPr>
            <sz val="9"/>
            <color indexed="81"/>
            <rFont val="Tahoma"/>
            <family val="2"/>
          </rPr>
          <t xml:space="preserve">ke produksi
</t>
        </r>
      </text>
    </comment>
    <comment ref="Q240" authorId="0" shapeId="0">
      <text>
        <r>
          <rPr>
            <b/>
            <sz val="9"/>
            <color indexed="81"/>
            <rFont val="Tahoma"/>
            <family val="2"/>
          </rPr>
          <t>kifa shp</t>
        </r>
        <r>
          <rPr>
            <sz val="9"/>
            <color indexed="81"/>
            <rFont val="Tahoma"/>
            <family val="2"/>
          </rPr>
          <t xml:space="preserve">
</t>
        </r>
      </text>
    </comment>
    <comment ref="P241" authorId="0" shapeId="0">
      <text>
        <r>
          <rPr>
            <sz val="9"/>
            <color indexed="81"/>
            <rFont val="Tahoma"/>
            <family val="2"/>
          </rPr>
          <t xml:space="preserve">ke produksi
</t>
        </r>
      </text>
    </comment>
    <comment ref="H242" authorId="0" shapeId="0">
      <text>
        <r>
          <rPr>
            <b/>
            <sz val="9"/>
            <color indexed="81"/>
            <rFont val="Tahoma"/>
            <family val="2"/>
          </rPr>
          <t xml:space="preserve">persiapan pameran 2017 =4,000
</t>
        </r>
        <r>
          <rPr>
            <sz val="9"/>
            <color indexed="81"/>
            <rFont val="Tahoma"/>
            <family val="2"/>
          </rPr>
          <t xml:space="preserve">
</t>
        </r>
      </text>
    </comment>
    <comment ref="P242" authorId="0" shapeId="0">
      <text>
        <r>
          <rPr>
            <sz val="9"/>
            <color indexed="81"/>
            <rFont val="Tahoma"/>
            <family val="2"/>
          </rPr>
          <t xml:space="preserve">ke produksi
</t>
        </r>
      </text>
    </comment>
    <comment ref="F243" authorId="0" shapeId="0">
      <text>
        <r>
          <rPr>
            <b/>
            <sz val="9"/>
            <color indexed="81"/>
            <rFont val="Tahoma"/>
            <family val="2"/>
          </rPr>
          <t xml:space="preserve">OKT 2,000+13,000
</t>
        </r>
        <r>
          <rPr>
            <sz val="9"/>
            <color indexed="81"/>
            <rFont val="Tahoma"/>
            <family val="2"/>
          </rPr>
          <t xml:space="preserve">
</t>
        </r>
      </text>
    </comment>
    <comment ref="H243" authorId="0" shapeId="0">
      <text>
        <r>
          <rPr>
            <b/>
            <sz val="9"/>
            <color indexed="81"/>
            <rFont val="Tahoma"/>
            <family val="2"/>
          </rPr>
          <t>produksi des 2000
transaksi okt
31 mei 2017
persiapan pameran 2017 = 1,000</t>
        </r>
      </text>
    </comment>
    <comment ref="F244" authorId="0" shapeId="0">
      <text>
        <r>
          <rPr>
            <b/>
            <sz val="9"/>
            <color indexed="81"/>
            <rFont val="Tahoma"/>
            <family val="2"/>
          </rPr>
          <t xml:space="preserve">nov 100,000
</t>
        </r>
        <r>
          <rPr>
            <sz val="9"/>
            <color indexed="81"/>
            <rFont val="Tahoma"/>
            <family val="2"/>
          </rPr>
          <t xml:space="preserve">
</t>
        </r>
      </text>
    </comment>
    <comment ref="F245" authorId="0" shapeId="0">
      <text>
        <r>
          <rPr>
            <b/>
            <sz val="9"/>
            <color indexed="81"/>
            <rFont val="Tahoma"/>
            <family val="2"/>
          </rPr>
          <t xml:space="preserve">nov 30,000
</t>
        </r>
      </text>
    </comment>
    <comment ref="H245" authorId="0" shapeId="0">
      <text>
        <r>
          <rPr>
            <sz val="9"/>
            <color indexed="81"/>
            <rFont val="Tahoma"/>
            <family val="2"/>
          </rPr>
          <t>31 mei 2017 persiapan pameran 2017 = 500</t>
        </r>
        <r>
          <rPr>
            <sz val="9"/>
            <color indexed="81"/>
            <rFont val="Tahoma"/>
            <family val="2"/>
          </rPr>
          <t xml:space="preserve">
</t>
        </r>
      </text>
    </comment>
    <comment ref="Q246" authorId="0" shapeId="0">
      <text>
        <r>
          <rPr>
            <b/>
            <sz val="9"/>
            <color indexed="81"/>
            <rFont val="Tahoma"/>
            <family val="2"/>
          </rPr>
          <t>1.000 utk SP</t>
        </r>
        <r>
          <rPr>
            <sz val="9"/>
            <color indexed="81"/>
            <rFont val="Tahoma"/>
            <family val="2"/>
          </rPr>
          <t xml:space="preserve">
</t>
        </r>
      </text>
    </comment>
    <comment ref="F247" authorId="0" shapeId="0">
      <text>
        <r>
          <rPr>
            <sz val="9"/>
            <color indexed="81"/>
            <rFont val="Tahoma"/>
            <family val="2"/>
          </rPr>
          <t xml:space="preserve">dr produksi 888
</t>
        </r>
      </text>
    </comment>
    <comment ref="F255" authorId="0" shapeId="0">
      <text>
        <r>
          <rPr>
            <b/>
            <sz val="9"/>
            <color indexed="81"/>
            <rFont val="Tahoma"/>
            <family val="2"/>
          </rPr>
          <t>jan 40.000</t>
        </r>
      </text>
    </comment>
    <comment ref="F256" authorId="0" shapeId="0">
      <text>
        <r>
          <rPr>
            <b/>
            <sz val="9"/>
            <color indexed="81"/>
            <rFont val="Tahoma"/>
            <family val="2"/>
          </rPr>
          <t>jan 24.000</t>
        </r>
      </text>
    </comment>
    <comment ref="H256" authorId="0" shapeId="0">
      <text>
        <r>
          <rPr>
            <b/>
            <sz val="9"/>
            <color indexed="81"/>
            <rFont val="Tahoma"/>
            <family val="2"/>
          </rPr>
          <t xml:space="preserve">maret repacking pameran 2017 p adnan
</t>
        </r>
        <r>
          <rPr>
            <sz val="9"/>
            <color indexed="81"/>
            <rFont val="Tahoma"/>
            <family val="2"/>
          </rPr>
          <t xml:space="preserve">
</t>
        </r>
      </text>
    </comment>
    <comment ref="Q257" authorId="0" shapeId="0">
      <text>
        <r>
          <rPr>
            <b/>
            <sz val="9"/>
            <color indexed="81"/>
            <rFont val="Tahoma"/>
            <family val="2"/>
          </rPr>
          <t>2 mei 2,000
di cetak tindih ke kiffa</t>
        </r>
        <r>
          <rPr>
            <sz val="9"/>
            <color indexed="81"/>
            <rFont val="Tahoma"/>
            <family val="2"/>
          </rPr>
          <t xml:space="preserve">
</t>
        </r>
      </text>
    </comment>
    <comment ref="H258" authorId="0" shapeId="0">
      <text>
        <r>
          <rPr>
            <b/>
            <sz val="9"/>
            <color indexed="81"/>
            <rFont val="Tahoma"/>
            <family val="2"/>
          </rPr>
          <t>31 mei 2017 persiapan pameran 2017</t>
        </r>
        <r>
          <rPr>
            <sz val="9"/>
            <color indexed="81"/>
            <rFont val="Tahoma"/>
            <family val="2"/>
          </rPr>
          <t xml:space="preserve">
</t>
        </r>
      </text>
    </comment>
    <comment ref="F259" authorId="0" shapeId="0">
      <text>
        <r>
          <rPr>
            <b/>
            <sz val="9"/>
            <color indexed="81"/>
            <rFont val="Tahoma"/>
            <family val="2"/>
          </rPr>
          <t>mei 2017 = CT 1.000</t>
        </r>
        <r>
          <rPr>
            <sz val="9"/>
            <color indexed="81"/>
            <rFont val="Tahoma"/>
            <family val="2"/>
          </rPr>
          <t xml:space="preserve">
</t>
        </r>
      </text>
    </comment>
    <comment ref="F260" authorId="0" shapeId="0">
      <text>
        <r>
          <rPr>
            <sz val="9"/>
            <color indexed="81"/>
            <rFont val="Tahoma"/>
            <family val="2"/>
          </rPr>
          <t xml:space="preserve">mei 10000
</t>
        </r>
      </text>
    </comment>
    <comment ref="F262" authorId="0" shapeId="0">
      <text>
        <r>
          <rPr>
            <b/>
            <sz val="9"/>
            <color indexed="81"/>
            <rFont val="Tahoma"/>
            <family val="2"/>
          </rPr>
          <t xml:space="preserve">indent, sengaja diisi tgl 31 mei krn utk pengisian SAP 31 mei 2017 = 3.000
meskipun barang blm diterima
</t>
        </r>
      </text>
    </comment>
    <comment ref="F263" authorId="0" shapeId="0">
      <text>
        <r>
          <rPr>
            <b/>
            <sz val="9"/>
            <color indexed="81"/>
            <rFont val="Tahoma"/>
            <family val="2"/>
          </rPr>
          <t>jun 2017 = 2.000
dr produksi</t>
        </r>
      </text>
    </comment>
    <comment ref="F264" authorId="0" shapeId="0">
      <text>
        <r>
          <rPr>
            <b/>
            <sz val="9"/>
            <color indexed="81"/>
            <rFont val="Tahoma"/>
            <family val="2"/>
          </rPr>
          <t>juni 17
14.500 dan
500 imperf</t>
        </r>
        <r>
          <rPr>
            <sz val="9"/>
            <color indexed="81"/>
            <rFont val="Tahoma"/>
            <family val="2"/>
          </rPr>
          <t xml:space="preserve">
</t>
        </r>
      </text>
    </comment>
  </commentList>
</comments>
</file>

<file path=xl/comments3.xml><?xml version="1.0" encoding="utf-8"?>
<comments xmlns="http://schemas.openxmlformats.org/spreadsheetml/2006/main">
  <authors>
    <author>Author</author>
  </authors>
  <commentList>
    <comment ref="F34" authorId="0" shapeId="0">
      <text>
        <r>
          <rPr>
            <b/>
            <sz val="9"/>
            <color indexed="81"/>
            <rFont val="Tahoma"/>
            <family val="2"/>
          </rPr>
          <t>ditambah 10 di akhir desember 2015</t>
        </r>
        <r>
          <rPr>
            <sz val="9"/>
            <color indexed="81"/>
            <rFont val="Tahoma"/>
            <family val="2"/>
          </rPr>
          <t xml:space="preserve">
</t>
        </r>
      </text>
    </comment>
    <comment ref="H35" authorId="0" shapeId="0">
      <text>
        <r>
          <rPr>
            <b/>
            <sz val="9"/>
            <color indexed="81"/>
            <rFont val="Tahoma"/>
            <family val="2"/>
          </rPr>
          <t xml:space="preserve">juni 
prod </t>
        </r>
        <r>
          <rPr>
            <sz val="9"/>
            <color indexed="81"/>
            <rFont val="Tahoma"/>
            <family val="2"/>
          </rPr>
          <t xml:space="preserve">
</t>
        </r>
      </text>
    </comment>
    <comment ref="H73" authorId="0" shapeId="0">
      <text>
        <r>
          <rPr>
            <b/>
            <sz val="9"/>
            <color indexed="81"/>
            <rFont val="Tahoma"/>
            <family val="2"/>
          </rPr>
          <t xml:space="preserve">14 feb 17 ke prod p adnan
</t>
        </r>
        <r>
          <rPr>
            <sz val="9"/>
            <color indexed="81"/>
            <rFont val="Tahoma"/>
            <family val="2"/>
          </rPr>
          <t xml:space="preserve">
</t>
        </r>
      </text>
    </comment>
    <comment ref="H74" authorId="0" shapeId="0">
      <text>
        <r>
          <rPr>
            <b/>
            <sz val="9"/>
            <color indexed="81"/>
            <rFont val="Tahoma"/>
            <family val="2"/>
          </rPr>
          <t xml:space="preserve">14 feb 17 ke prod p adnan
</t>
        </r>
        <r>
          <rPr>
            <sz val="9"/>
            <color indexed="81"/>
            <rFont val="Tahoma"/>
            <family val="2"/>
          </rPr>
          <t xml:space="preserve">
</t>
        </r>
      </text>
    </comment>
    <comment ref="H80" authorId="0" shapeId="0">
      <text>
        <r>
          <rPr>
            <b/>
            <sz val="9"/>
            <color indexed="81"/>
            <rFont val="Tahoma"/>
            <family val="2"/>
          </rPr>
          <t xml:space="preserve">14 feb 17 ke prod p adnan
</t>
        </r>
        <r>
          <rPr>
            <sz val="9"/>
            <color indexed="81"/>
            <rFont val="Tahoma"/>
            <family val="2"/>
          </rPr>
          <t xml:space="preserve">
</t>
        </r>
      </text>
    </comment>
    <comment ref="H82" authorId="0" shapeId="0">
      <text>
        <r>
          <rPr>
            <b/>
            <sz val="9"/>
            <color indexed="81"/>
            <rFont val="Tahoma"/>
            <family val="2"/>
          </rPr>
          <t xml:space="preserve">14 feb 17 ke prod p adnan
</t>
        </r>
        <r>
          <rPr>
            <sz val="9"/>
            <color indexed="81"/>
            <rFont val="Tahoma"/>
            <family val="2"/>
          </rPr>
          <t xml:space="preserve">
</t>
        </r>
      </text>
    </comment>
    <comment ref="H84" authorId="0" shapeId="0">
      <text>
        <r>
          <rPr>
            <b/>
            <sz val="9"/>
            <color indexed="81"/>
            <rFont val="Tahoma"/>
            <family val="2"/>
          </rPr>
          <t xml:space="preserve">14 feb 17 ke prod p adnan
</t>
        </r>
        <r>
          <rPr>
            <sz val="9"/>
            <color indexed="81"/>
            <rFont val="Tahoma"/>
            <family val="2"/>
          </rPr>
          <t xml:space="preserve">
</t>
        </r>
      </text>
    </comment>
    <comment ref="H86" authorId="0" shapeId="0">
      <text>
        <r>
          <rPr>
            <b/>
            <sz val="9"/>
            <color indexed="81"/>
            <rFont val="Tahoma"/>
            <family val="2"/>
          </rPr>
          <t xml:space="preserve">14 feb 17 ke prod p adnan
</t>
        </r>
        <r>
          <rPr>
            <sz val="9"/>
            <color indexed="81"/>
            <rFont val="Tahoma"/>
            <family val="2"/>
          </rPr>
          <t xml:space="preserve">
</t>
        </r>
      </text>
    </comment>
    <comment ref="H100" authorId="0" shapeId="0">
      <text>
        <r>
          <rPr>
            <b/>
            <sz val="9"/>
            <color indexed="81"/>
            <rFont val="Tahoma"/>
            <family val="2"/>
          </rPr>
          <t xml:space="preserve">14 feb 17 ke prod p adnan
</t>
        </r>
        <r>
          <rPr>
            <sz val="9"/>
            <color indexed="81"/>
            <rFont val="Tahoma"/>
            <family val="2"/>
          </rPr>
          <t xml:space="preserve">
</t>
        </r>
      </text>
    </comment>
    <comment ref="H101" authorId="0" shapeId="0">
      <text>
        <r>
          <rPr>
            <b/>
            <sz val="9"/>
            <color indexed="81"/>
            <rFont val="Tahoma"/>
            <family val="2"/>
          </rPr>
          <t xml:space="preserve">14 feb 17 ke prod p adnan
</t>
        </r>
        <r>
          <rPr>
            <sz val="9"/>
            <color indexed="81"/>
            <rFont val="Tahoma"/>
            <family val="2"/>
          </rPr>
          <t xml:space="preserve">
</t>
        </r>
      </text>
    </comment>
    <comment ref="H109" authorId="0" shapeId="0">
      <text>
        <r>
          <rPr>
            <b/>
            <sz val="9"/>
            <color indexed="81"/>
            <rFont val="Tahoma"/>
            <family val="2"/>
          </rPr>
          <t xml:space="preserve">14 feb 17 ke prod p adnan
</t>
        </r>
        <r>
          <rPr>
            <sz val="9"/>
            <color indexed="81"/>
            <rFont val="Tahoma"/>
            <family val="2"/>
          </rPr>
          <t xml:space="preserve">
</t>
        </r>
      </text>
    </comment>
    <comment ref="H111" authorId="0" shapeId="0">
      <text>
        <r>
          <rPr>
            <b/>
            <sz val="9"/>
            <color indexed="81"/>
            <rFont val="Tahoma"/>
            <family val="2"/>
          </rPr>
          <t xml:space="preserve">14 feb 17 ke prod p adnan
</t>
        </r>
        <r>
          <rPr>
            <sz val="9"/>
            <color indexed="81"/>
            <rFont val="Tahoma"/>
            <family val="2"/>
          </rPr>
          <t xml:space="preserve">
</t>
        </r>
      </text>
    </comment>
    <comment ref="H112" authorId="0" shapeId="0">
      <text>
        <r>
          <rPr>
            <b/>
            <sz val="9"/>
            <color indexed="81"/>
            <rFont val="Tahoma"/>
            <family val="2"/>
          </rPr>
          <t xml:space="preserve">14 feb 17 ke prod p adnan
</t>
        </r>
        <r>
          <rPr>
            <sz val="9"/>
            <color indexed="81"/>
            <rFont val="Tahoma"/>
            <family val="2"/>
          </rPr>
          <t xml:space="preserve">
</t>
        </r>
      </text>
    </comment>
    <comment ref="H127" authorId="0" shapeId="0">
      <text>
        <r>
          <rPr>
            <b/>
            <sz val="9"/>
            <color indexed="81"/>
            <rFont val="Tahoma"/>
            <family val="2"/>
          </rPr>
          <t xml:space="preserve">14 feb 17 ke prod p adnan
</t>
        </r>
        <r>
          <rPr>
            <sz val="9"/>
            <color indexed="81"/>
            <rFont val="Tahoma"/>
            <family val="2"/>
          </rPr>
          <t xml:space="preserve">
</t>
        </r>
      </text>
    </comment>
    <comment ref="H128" authorId="0" shapeId="0">
      <text>
        <r>
          <rPr>
            <b/>
            <sz val="9"/>
            <color indexed="81"/>
            <rFont val="Tahoma"/>
            <family val="2"/>
          </rPr>
          <t xml:space="preserve">14 feb 17 ke prod p adnan
</t>
        </r>
        <r>
          <rPr>
            <sz val="9"/>
            <color indexed="81"/>
            <rFont val="Tahoma"/>
            <family val="2"/>
          </rPr>
          <t xml:space="preserve">
</t>
        </r>
      </text>
    </comment>
    <comment ref="H131" authorId="0" shapeId="0">
      <text>
        <r>
          <rPr>
            <b/>
            <sz val="9"/>
            <color indexed="81"/>
            <rFont val="Tahoma"/>
            <family val="2"/>
          </rPr>
          <t xml:space="preserve">14 feb 17 ke prod p adnan
</t>
        </r>
        <r>
          <rPr>
            <sz val="9"/>
            <color indexed="81"/>
            <rFont val="Tahoma"/>
            <family val="2"/>
          </rPr>
          <t xml:space="preserve">
</t>
        </r>
      </text>
    </comment>
    <comment ref="H133" authorId="0" shapeId="0">
      <text>
        <r>
          <rPr>
            <b/>
            <sz val="9"/>
            <color indexed="81"/>
            <rFont val="Tahoma"/>
            <family val="2"/>
          </rPr>
          <t xml:space="preserve">14 feb 17 ke prod p adnan
</t>
        </r>
        <r>
          <rPr>
            <sz val="9"/>
            <color indexed="81"/>
            <rFont val="Tahoma"/>
            <family val="2"/>
          </rPr>
          <t xml:space="preserve">
</t>
        </r>
      </text>
    </comment>
    <comment ref="H134" authorId="0" shapeId="0">
      <text>
        <r>
          <rPr>
            <b/>
            <sz val="9"/>
            <color indexed="81"/>
            <rFont val="Tahoma"/>
            <family val="2"/>
          </rPr>
          <t>produksi 1 bln des transaksi bln agust</t>
        </r>
        <r>
          <rPr>
            <sz val="9"/>
            <color indexed="81"/>
            <rFont val="Tahoma"/>
            <family val="2"/>
          </rPr>
          <t xml:space="preserve">
</t>
        </r>
      </text>
    </comment>
    <comment ref="F139" authorId="0" shapeId="0">
      <text>
        <r>
          <rPr>
            <b/>
            <sz val="9"/>
            <color indexed="81"/>
            <rFont val="Tahoma"/>
            <family val="2"/>
          </rPr>
          <t>dari retouran 22</t>
        </r>
        <r>
          <rPr>
            <sz val="9"/>
            <color indexed="81"/>
            <rFont val="Tahoma"/>
            <family val="2"/>
          </rPr>
          <t xml:space="preserve">
</t>
        </r>
      </text>
    </comment>
    <comment ref="H140" authorId="0" shapeId="0">
      <text>
        <r>
          <rPr>
            <b/>
            <sz val="9"/>
            <color indexed="81"/>
            <rFont val="Tahoma"/>
            <family val="2"/>
          </rPr>
          <t xml:space="preserve">14 feb 17 ke prod p adnan
</t>
        </r>
        <r>
          <rPr>
            <sz val="9"/>
            <color indexed="81"/>
            <rFont val="Tahoma"/>
            <family val="2"/>
          </rPr>
          <t xml:space="preserve">
</t>
        </r>
      </text>
    </comment>
    <comment ref="F143" authorId="0" shapeId="0">
      <text>
        <r>
          <rPr>
            <b/>
            <sz val="9"/>
            <color indexed="81"/>
            <rFont val="Tahoma"/>
            <family val="2"/>
          </rPr>
          <t>dari retouran 22</t>
        </r>
        <r>
          <rPr>
            <sz val="9"/>
            <color indexed="81"/>
            <rFont val="Tahoma"/>
            <family val="2"/>
          </rPr>
          <t xml:space="preserve">
</t>
        </r>
      </text>
    </comment>
    <comment ref="H148" authorId="0" shapeId="0">
      <text>
        <r>
          <rPr>
            <b/>
            <sz val="9"/>
            <color indexed="81"/>
            <rFont val="Tahoma"/>
            <family val="2"/>
          </rPr>
          <t xml:space="preserve">14 feb 17 ke prod p adnan
</t>
        </r>
        <r>
          <rPr>
            <sz val="9"/>
            <color indexed="81"/>
            <rFont val="Tahoma"/>
            <family val="2"/>
          </rPr>
          <t xml:space="preserve">
</t>
        </r>
      </text>
    </comment>
    <comment ref="H160" authorId="0" shapeId="0">
      <text>
        <r>
          <rPr>
            <b/>
            <sz val="9"/>
            <color indexed="81"/>
            <rFont val="Tahoma"/>
            <family val="2"/>
          </rPr>
          <t xml:space="preserve">14 feb 17 ke prod p adnan
</t>
        </r>
        <r>
          <rPr>
            <sz val="9"/>
            <color indexed="81"/>
            <rFont val="Tahoma"/>
            <family val="2"/>
          </rPr>
          <t xml:space="preserve">
</t>
        </r>
      </text>
    </comment>
    <comment ref="H181" authorId="0" shapeId="0">
      <text>
        <r>
          <rPr>
            <b/>
            <sz val="9"/>
            <color indexed="81"/>
            <rFont val="Tahoma"/>
            <family val="2"/>
          </rPr>
          <t xml:space="preserve">14 feb 17 ke prod p adnan
</t>
        </r>
        <r>
          <rPr>
            <sz val="9"/>
            <color indexed="81"/>
            <rFont val="Tahoma"/>
            <family val="2"/>
          </rPr>
          <t xml:space="preserve">
</t>
        </r>
      </text>
    </comment>
    <comment ref="H194" authorId="0" shapeId="0">
      <text>
        <r>
          <rPr>
            <b/>
            <sz val="9"/>
            <color indexed="81"/>
            <rFont val="Tahoma"/>
            <family val="2"/>
          </rPr>
          <t xml:space="preserve">14 feb 17 ke prod p adnan
</t>
        </r>
        <r>
          <rPr>
            <sz val="9"/>
            <color indexed="81"/>
            <rFont val="Tahoma"/>
            <family val="2"/>
          </rPr>
          <t xml:space="preserve">
</t>
        </r>
      </text>
    </comment>
    <comment ref="H202" authorId="0" shapeId="0">
      <text>
        <r>
          <rPr>
            <b/>
            <sz val="9"/>
            <color indexed="81"/>
            <rFont val="Tahoma"/>
            <family val="2"/>
          </rPr>
          <t xml:space="preserve">14 feb 17 ke prod p adnan
</t>
        </r>
        <r>
          <rPr>
            <sz val="9"/>
            <color indexed="81"/>
            <rFont val="Tahoma"/>
            <family val="2"/>
          </rPr>
          <t xml:space="preserve">
</t>
        </r>
      </text>
    </comment>
    <comment ref="H240" authorId="0" shapeId="0">
      <text>
        <r>
          <rPr>
            <b/>
            <sz val="9"/>
            <color indexed="81"/>
            <rFont val="Tahoma"/>
            <family val="2"/>
          </rPr>
          <t xml:space="preserve">14 feb 17 ke prod p adnan
</t>
        </r>
        <r>
          <rPr>
            <sz val="9"/>
            <color indexed="81"/>
            <rFont val="Tahoma"/>
            <family val="2"/>
          </rPr>
          <t xml:space="preserve">
</t>
        </r>
      </text>
    </comment>
    <comment ref="H242" authorId="0" shapeId="0">
      <text>
        <r>
          <rPr>
            <b/>
            <sz val="9"/>
            <color indexed="81"/>
            <rFont val="Tahoma"/>
            <family val="2"/>
          </rPr>
          <t xml:space="preserve">14 feb 17 ke prod p adnan
</t>
        </r>
        <r>
          <rPr>
            <sz val="9"/>
            <color indexed="81"/>
            <rFont val="Tahoma"/>
            <family val="2"/>
          </rPr>
          <t xml:space="preserve">
</t>
        </r>
      </text>
    </comment>
    <comment ref="H243" authorId="0" shapeId="0">
      <text>
        <r>
          <rPr>
            <b/>
            <sz val="9"/>
            <color indexed="81"/>
            <rFont val="Tahoma"/>
            <family val="2"/>
          </rPr>
          <t xml:space="preserve">14 feb 17 ke prod p adnan
</t>
        </r>
        <r>
          <rPr>
            <sz val="9"/>
            <color indexed="81"/>
            <rFont val="Tahoma"/>
            <family val="2"/>
          </rPr>
          <t xml:space="preserve">
</t>
        </r>
      </text>
    </comment>
    <comment ref="H269" authorId="0" shapeId="0">
      <text>
        <r>
          <rPr>
            <b/>
            <sz val="9"/>
            <color indexed="81"/>
            <rFont val="Tahoma"/>
            <family val="2"/>
          </rPr>
          <t xml:space="preserve">14 feb 17 ke prod p adnan
</t>
        </r>
        <r>
          <rPr>
            <sz val="9"/>
            <color indexed="81"/>
            <rFont val="Tahoma"/>
            <family val="2"/>
          </rPr>
          <t xml:space="preserve">
</t>
        </r>
      </text>
    </comment>
    <comment ref="H326" authorId="0" shapeId="0">
      <text>
        <r>
          <rPr>
            <b/>
            <sz val="9"/>
            <color indexed="81"/>
            <rFont val="Tahoma"/>
            <family val="2"/>
          </rPr>
          <t xml:space="preserve">okt = catatan p tito 12 des 15 = 100 ke subang
</t>
        </r>
      </text>
    </comment>
    <comment ref="N388" authorId="0" shapeId="0">
      <text>
        <r>
          <rPr>
            <b/>
            <sz val="9"/>
            <color indexed="81"/>
            <rFont val="Tahoma"/>
            <family val="2"/>
          </rPr>
          <t xml:space="preserve">juni : </t>
        </r>
        <r>
          <rPr>
            <sz val="9"/>
            <color indexed="81"/>
            <rFont val="Tahoma"/>
            <family val="2"/>
          </rPr>
          <t xml:space="preserve">400 ke kfj blm dibuatkan g 14, akan dibuatkan di juni tapi dptgn hanya 200 di gd pst, krn yg 200 sudah dptgn di bln feb 16
</t>
        </r>
      </text>
    </comment>
    <comment ref="F389" authorId="0" shapeId="0">
      <text>
        <r>
          <rPr>
            <b/>
            <sz val="9"/>
            <color indexed="81"/>
            <rFont val="Tahoma"/>
            <family val="2"/>
          </rPr>
          <t>dikembalikan lagi 5 dr pa adnan ga jadi</t>
        </r>
      </text>
    </comment>
    <comment ref="N389" authorId="0" shapeId="0">
      <text>
        <r>
          <rPr>
            <b/>
            <sz val="9"/>
            <color indexed="81"/>
            <rFont val="Tahoma"/>
            <family val="2"/>
          </rPr>
          <t xml:space="preserve">juni : </t>
        </r>
        <r>
          <rPr>
            <sz val="9"/>
            <color indexed="81"/>
            <rFont val="Tahoma"/>
            <family val="2"/>
          </rPr>
          <t xml:space="preserve"> 200 ke kfj blm dibuatkan g 14, akan dibuatkan di juni tapi TIDAK dptgn di gd pst, krn yg 200 sudah dptgn di bln feb 16</t>
        </r>
      </text>
    </comment>
    <comment ref="N390" authorId="0" shapeId="0">
      <text>
        <r>
          <rPr>
            <b/>
            <sz val="9"/>
            <color indexed="81"/>
            <rFont val="Tahoma"/>
            <family val="2"/>
          </rPr>
          <t>pa adnan 13 april utk kominfo</t>
        </r>
        <r>
          <rPr>
            <sz val="9"/>
            <color indexed="81"/>
            <rFont val="Tahoma"/>
            <family val="2"/>
          </rPr>
          <t xml:space="preserve">
</t>
        </r>
      </text>
    </comment>
    <comment ref="R402" authorId="0" shapeId="0">
      <text>
        <r>
          <rPr>
            <b/>
            <sz val="9"/>
            <color indexed="81"/>
            <rFont val="Tahoma"/>
            <family val="2"/>
          </rPr>
          <t xml:space="preserve">sis pertukaran
</t>
        </r>
        <r>
          <rPr>
            <sz val="9"/>
            <color indexed="81"/>
            <rFont val="Tahoma"/>
            <family val="2"/>
          </rPr>
          <t xml:space="preserve">
</t>
        </r>
      </text>
    </comment>
    <comment ref="F404" authorId="0" shapeId="0">
      <text>
        <r>
          <rPr>
            <b/>
            <sz val="9"/>
            <color indexed="81"/>
            <rFont val="Tahoma"/>
            <family val="2"/>
          </rPr>
          <t xml:space="preserve">juni 1000
</t>
        </r>
        <r>
          <rPr>
            <sz val="9"/>
            <color indexed="81"/>
            <rFont val="Tahoma"/>
            <family val="2"/>
          </rPr>
          <t xml:space="preserve">
</t>
        </r>
      </text>
    </comment>
    <comment ref="F405" authorId="0" shapeId="0">
      <text>
        <r>
          <rPr>
            <b/>
            <sz val="9"/>
            <color indexed="81"/>
            <rFont val="Tahoma"/>
            <family val="2"/>
          </rPr>
          <t>juni 800</t>
        </r>
        <r>
          <rPr>
            <sz val="9"/>
            <color indexed="81"/>
            <rFont val="Tahoma"/>
            <family val="2"/>
          </rPr>
          <t xml:space="preserve">
</t>
        </r>
      </text>
    </comment>
    <comment ref="F406" authorId="0" shapeId="0">
      <text>
        <r>
          <rPr>
            <b/>
            <sz val="9"/>
            <color indexed="81"/>
            <rFont val="Tahoma"/>
            <family val="2"/>
          </rPr>
          <t xml:space="preserve">agst 300
</t>
        </r>
        <r>
          <rPr>
            <sz val="9"/>
            <color indexed="81"/>
            <rFont val="Tahoma"/>
            <family val="2"/>
          </rPr>
          <t xml:space="preserve">
</t>
        </r>
      </text>
    </comment>
    <comment ref="F407" authorId="0" shapeId="0">
      <text>
        <r>
          <rPr>
            <b/>
            <sz val="9"/>
            <color indexed="81"/>
            <rFont val="Tahoma"/>
            <family val="2"/>
          </rPr>
          <t>agust 3000</t>
        </r>
        <r>
          <rPr>
            <sz val="9"/>
            <color indexed="81"/>
            <rFont val="Tahoma"/>
            <family val="2"/>
          </rPr>
          <t xml:space="preserve">
</t>
        </r>
      </text>
    </comment>
    <comment ref="Q407" authorId="0" shapeId="0">
      <text>
        <r>
          <rPr>
            <sz val="9"/>
            <color indexed="81"/>
            <rFont val="Tahoma"/>
            <family val="2"/>
          </rPr>
          <t xml:space="preserve">ke produksi
</t>
        </r>
      </text>
    </comment>
    <comment ref="F408" authorId="0" shapeId="0">
      <text>
        <r>
          <rPr>
            <b/>
            <sz val="9"/>
            <color indexed="81"/>
            <rFont val="Tahoma"/>
            <family val="2"/>
          </rPr>
          <t>agust 3000</t>
        </r>
        <r>
          <rPr>
            <sz val="9"/>
            <color indexed="81"/>
            <rFont val="Tahoma"/>
            <family val="2"/>
          </rPr>
          <t xml:space="preserve">
</t>
        </r>
      </text>
    </comment>
    <comment ref="Q408" authorId="0" shapeId="0">
      <text>
        <r>
          <rPr>
            <sz val="9"/>
            <color indexed="81"/>
            <rFont val="Tahoma"/>
            <family val="2"/>
          </rPr>
          <t xml:space="preserve">ke produksi
</t>
        </r>
      </text>
    </comment>
    <comment ref="R408" authorId="0" shapeId="0">
      <text>
        <r>
          <rPr>
            <sz val="9"/>
            <color indexed="81"/>
            <rFont val="Tahoma"/>
            <family val="2"/>
          </rPr>
          <t xml:space="preserve">utk contoh dibuku ditulis poscard , bln agst diptgn sep
</t>
        </r>
      </text>
    </comment>
    <comment ref="Q409" authorId="0" shapeId="0">
      <text>
        <r>
          <rPr>
            <sz val="9"/>
            <color indexed="81"/>
            <rFont val="Tahoma"/>
            <family val="2"/>
          </rPr>
          <t xml:space="preserve">ke produksi
</t>
        </r>
      </text>
    </comment>
    <comment ref="Q410" authorId="0" shapeId="0">
      <text>
        <r>
          <rPr>
            <sz val="9"/>
            <color indexed="81"/>
            <rFont val="Tahoma"/>
            <family val="2"/>
          </rPr>
          <t xml:space="preserve">ke produksi
</t>
        </r>
      </text>
    </comment>
    <comment ref="F416" authorId="0" shapeId="0">
      <text>
        <r>
          <rPr>
            <b/>
            <sz val="9"/>
            <color indexed="81"/>
            <rFont val="Tahoma"/>
            <family val="2"/>
          </rPr>
          <t>NOV 3000</t>
        </r>
        <r>
          <rPr>
            <sz val="9"/>
            <color indexed="81"/>
            <rFont val="Tahoma"/>
            <family val="2"/>
          </rPr>
          <t xml:space="preserve">
</t>
        </r>
      </text>
    </comment>
    <comment ref="F417" authorId="0" shapeId="0">
      <text>
        <r>
          <rPr>
            <b/>
            <sz val="9"/>
            <color indexed="81"/>
            <rFont val="Tahoma"/>
            <family val="2"/>
          </rPr>
          <t>NOV 1000</t>
        </r>
        <r>
          <rPr>
            <sz val="9"/>
            <color indexed="81"/>
            <rFont val="Tahoma"/>
            <family val="2"/>
          </rPr>
          <t xml:space="preserve">
</t>
        </r>
      </text>
    </comment>
    <comment ref="F418" authorId="0" shapeId="0">
      <text>
        <r>
          <rPr>
            <b/>
            <sz val="9"/>
            <color indexed="81"/>
            <rFont val="Tahoma"/>
            <family val="2"/>
          </rPr>
          <t>nov 1000 dptgnk des</t>
        </r>
        <r>
          <rPr>
            <sz val="9"/>
            <color indexed="81"/>
            <rFont val="Tahoma"/>
            <family val="2"/>
          </rPr>
          <t xml:space="preserve">
</t>
        </r>
      </text>
    </comment>
    <comment ref="F430" authorId="0" shapeId="0">
      <text>
        <r>
          <rPr>
            <b/>
            <sz val="9"/>
            <color indexed="81"/>
            <rFont val="Tahoma"/>
            <family val="2"/>
          </rPr>
          <t xml:space="preserve">500 terakhir blm ada g14 nya cek fisik brg
</t>
        </r>
        <r>
          <rPr>
            <sz val="9"/>
            <color indexed="81"/>
            <rFont val="Tahoma"/>
            <family val="2"/>
          </rPr>
          <t xml:space="preserve">
</t>
        </r>
      </text>
    </comment>
    <comment ref="F431" authorId="0" shapeId="0">
      <text>
        <r>
          <rPr>
            <b/>
            <sz val="9"/>
            <color indexed="81"/>
            <rFont val="Tahoma"/>
            <family val="2"/>
          </rPr>
          <t xml:space="preserve">jun 3.000
</t>
        </r>
        <r>
          <rPr>
            <sz val="9"/>
            <color indexed="81"/>
            <rFont val="Tahoma"/>
            <family val="2"/>
          </rPr>
          <t xml:space="preserve">
</t>
        </r>
      </text>
    </comment>
    <comment ref="F432" authorId="0" shapeId="0">
      <text>
        <r>
          <rPr>
            <b/>
            <sz val="9"/>
            <color indexed="81"/>
            <rFont val="Tahoma"/>
            <family val="2"/>
          </rPr>
          <t xml:space="preserve">jun 3.000
</t>
        </r>
        <r>
          <rPr>
            <sz val="9"/>
            <color indexed="81"/>
            <rFont val="Tahoma"/>
            <family val="2"/>
          </rPr>
          <t xml:space="preserve">
</t>
        </r>
      </text>
    </comment>
    <comment ref="F433" authorId="0" shapeId="0">
      <text>
        <r>
          <rPr>
            <b/>
            <sz val="9"/>
            <color indexed="81"/>
            <rFont val="Tahoma"/>
            <family val="2"/>
          </rPr>
          <t xml:space="preserve">jun 3.000
</t>
        </r>
        <r>
          <rPr>
            <sz val="9"/>
            <color indexed="81"/>
            <rFont val="Tahoma"/>
            <family val="2"/>
          </rPr>
          <t xml:space="preserve">
</t>
        </r>
      </text>
    </comment>
  </commentList>
</comments>
</file>

<file path=xl/comments4.xml><?xml version="1.0" encoding="utf-8"?>
<comments xmlns="http://schemas.openxmlformats.org/spreadsheetml/2006/main">
  <authors>
    <author>Author</author>
  </authors>
  <commentList>
    <comment ref="F8" authorId="0" shapeId="0">
      <text>
        <r>
          <rPr>
            <b/>
            <sz val="9"/>
            <color indexed="81"/>
            <rFont val="Tahoma"/>
            <family val="2"/>
          </rPr>
          <t xml:space="preserve">nov dr produksi 100
</t>
        </r>
        <r>
          <rPr>
            <sz val="9"/>
            <color indexed="81"/>
            <rFont val="Tahoma"/>
            <family val="2"/>
          </rPr>
          <t xml:space="preserve">
</t>
        </r>
      </text>
    </comment>
    <comment ref="H8" authorId="0" shapeId="0">
      <text>
        <r>
          <rPr>
            <b/>
            <sz val="9"/>
            <color indexed="81"/>
            <rFont val="Tahoma"/>
            <family val="2"/>
          </rPr>
          <t>juni oleh produksi
adnan,sis,heri
hampir semua kemasan di bulan juni.
Comment hanya di ketik satu mewakili keseluruhan</t>
        </r>
      </text>
    </comment>
    <comment ref="F34" authorId="0" shapeId="0">
      <text>
        <r>
          <rPr>
            <b/>
            <sz val="9"/>
            <color indexed="81"/>
            <rFont val="Tahoma"/>
            <family val="2"/>
          </rPr>
          <t xml:space="preserve">mei retouran 98
juni 99
nov dr prod 30
</t>
        </r>
      </text>
    </comment>
    <comment ref="F61" authorId="0" shapeId="0">
      <text>
        <r>
          <rPr>
            <b/>
            <sz val="9"/>
            <color indexed="81"/>
            <rFont val="Tahoma"/>
            <family val="2"/>
          </rPr>
          <t>mei retouran 97</t>
        </r>
      </text>
    </comment>
    <comment ref="H116" authorId="0" shapeId="0">
      <text>
        <r>
          <rPr>
            <sz val="9"/>
            <color indexed="81"/>
            <rFont val="Tahoma"/>
            <family val="2"/>
          </rPr>
          <t xml:space="preserve">produksi
</t>
        </r>
      </text>
    </comment>
    <comment ref="F132" authorId="0" shapeId="0">
      <text>
        <r>
          <rPr>
            <b/>
            <sz val="9"/>
            <color indexed="81"/>
            <rFont val="Tahoma"/>
            <family val="2"/>
          </rPr>
          <t>juni 3.000</t>
        </r>
      </text>
    </comment>
    <comment ref="N132" authorId="0" shapeId="0">
      <text>
        <r>
          <rPr>
            <b/>
            <sz val="9"/>
            <color indexed="81"/>
            <rFont val="Tahoma"/>
            <family val="2"/>
          </rPr>
          <t>sis utk contoh, barengan 1 fs pmi utk pa adnan , jg diambil p sis</t>
        </r>
        <r>
          <rPr>
            <sz val="9"/>
            <color indexed="81"/>
            <rFont val="Tahoma"/>
            <family val="2"/>
          </rPr>
          <t xml:space="preserve">
</t>
        </r>
      </text>
    </comment>
    <comment ref="F133" authorId="0" shapeId="0">
      <text>
        <r>
          <rPr>
            <b/>
            <sz val="9"/>
            <color indexed="81"/>
            <rFont val="Tahoma"/>
            <family val="2"/>
          </rPr>
          <t>juni 450</t>
        </r>
        <r>
          <rPr>
            <sz val="9"/>
            <color indexed="81"/>
            <rFont val="Tahoma"/>
            <family val="2"/>
          </rPr>
          <t xml:space="preserve">
</t>
        </r>
      </text>
    </comment>
    <comment ref="F134" authorId="0" shapeId="0">
      <text>
        <r>
          <rPr>
            <b/>
            <sz val="9"/>
            <color indexed="81"/>
            <rFont val="Tahoma"/>
            <family val="2"/>
          </rPr>
          <t>juli 100</t>
        </r>
        <r>
          <rPr>
            <sz val="9"/>
            <color indexed="81"/>
            <rFont val="Tahoma"/>
            <family val="2"/>
          </rPr>
          <t xml:space="preserve">
</t>
        </r>
      </text>
    </comment>
    <comment ref="F136" authorId="0" shapeId="0">
      <text>
        <r>
          <rPr>
            <b/>
            <sz val="9"/>
            <color indexed="81"/>
            <rFont val="Tahoma"/>
            <family val="2"/>
          </rPr>
          <t>NOV 1500</t>
        </r>
        <r>
          <rPr>
            <sz val="9"/>
            <color indexed="81"/>
            <rFont val="Tahoma"/>
            <family val="2"/>
          </rPr>
          <t xml:space="preserve">
</t>
        </r>
      </text>
    </comment>
    <comment ref="F144" authorId="0" shapeId="0">
      <text>
        <r>
          <rPr>
            <b/>
            <sz val="9"/>
            <color indexed="81"/>
            <rFont val="Tahoma"/>
            <family val="2"/>
          </rPr>
          <t xml:space="preserve">april 4.000
</t>
        </r>
        <r>
          <rPr>
            <sz val="9"/>
            <color indexed="81"/>
            <rFont val="Tahoma"/>
            <family val="2"/>
          </rPr>
          <t xml:space="preserve">
</t>
        </r>
      </text>
    </comment>
  </commentList>
</comments>
</file>

<file path=xl/comments5.xml><?xml version="1.0" encoding="utf-8"?>
<comments xmlns="http://schemas.openxmlformats.org/spreadsheetml/2006/main">
  <authors>
    <author>Author</author>
  </authors>
  <commentList>
    <comment ref="N13" authorId="0" shapeId="0">
      <text>
        <r>
          <rPr>
            <sz val="9"/>
            <color indexed="81"/>
            <rFont val="Tahoma"/>
            <family val="2"/>
          </rPr>
          <t xml:space="preserve">ke produksi
</t>
        </r>
      </text>
    </comment>
    <comment ref="F21" authorId="0" shapeId="0">
      <text>
        <r>
          <rPr>
            <b/>
            <sz val="9"/>
            <color indexed="81"/>
            <rFont val="Tahoma"/>
            <family val="2"/>
          </rPr>
          <t>nov 50</t>
        </r>
      </text>
    </comment>
    <comment ref="F22" authorId="0" shapeId="0">
      <text>
        <r>
          <rPr>
            <b/>
            <sz val="9"/>
            <color indexed="81"/>
            <rFont val="Tahoma"/>
            <family val="2"/>
          </rPr>
          <t>des 680, mulai penggabungan</t>
        </r>
        <r>
          <rPr>
            <sz val="9"/>
            <color indexed="81"/>
            <rFont val="Tahoma"/>
            <family val="2"/>
          </rPr>
          <t xml:space="preserve">
</t>
        </r>
      </text>
    </comment>
    <comment ref="H22" authorId="0" shapeId="0">
      <text>
        <r>
          <rPr>
            <b/>
            <sz val="9"/>
            <color indexed="81"/>
            <rFont val="Tahoma"/>
            <family val="2"/>
          </rPr>
          <t>produksi, pa dian minta utk souvenir pajak</t>
        </r>
        <r>
          <rPr>
            <sz val="9"/>
            <color indexed="81"/>
            <rFont val="Tahoma"/>
            <family val="2"/>
          </rPr>
          <t xml:space="preserve">
</t>
        </r>
      </text>
    </comment>
    <comment ref="F23" authorId="0" shapeId="0">
      <text>
        <r>
          <rPr>
            <b/>
            <sz val="9"/>
            <color indexed="81"/>
            <rFont val="Tahoma"/>
            <family val="2"/>
          </rPr>
          <t>jan 17 = 2.000</t>
        </r>
        <r>
          <rPr>
            <sz val="9"/>
            <color indexed="81"/>
            <rFont val="Tahoma"/>
            <family val="2"/>
          </rPr>
          <t xml:space="preserve">
</t>
        </r>
      </text>
    </comment>
    <comment ref="P24" authorId="0" shapeId="0">
      <text>
        <r>
          <rPr>
            <b/>
            <sz val="9"/>
            <color indexed="81"/>
            <rFont val="Tahoma"/>
            <family val="2"/>
          </rPr>
          <t>feb 8 prod 100</t>
        </r>
        <r>
          <rPr>
            <sz val="9"/>
            <color indexed="81"/>
            <rFont val="Tahoma"/>
            <family val="2"/>
          </rPr>
          <t xml:space="preserve">
9 des prod 50
bln maret 2017
dikeluarkan 500 krn udh diptgnkan bulan januari 2017. keluar masuk</t>
        </r>
      </text>
    </comment>
    <comment ref="F25" authorId="0" shapeId="0">
      <text>
        <r>
          <rPr>
            <b/>
            <sz val="9"/>
            <color indexed="81"/>
            <rFont val="Tahoma"/>
            <family val="2"/>
          </rPr>
          <t>intruksi man fil g14 ke bd, dan udh di bayar</t>
        </r>
        <r>
          <rPr>
            <sz val="9"/>
            <color indexed="81"/>
            <rFont val="Tahoma"/>
            <family val="2"/>
          </rPr>
          <t xml:space="preserve">
</t>
        </r>
      </text>
    </comment>
  </commentList>
</comments>
</file>

<file path=xl/comments6.xml><?xml version="1.0" encoding="utf-8"?>
<comments xmlns="http://schemas.openxmlformats.org/spreadsheetml/2006/main">
  <authors>
    <author>Author</author>
  </authors>
  <commentList>
    <comment ref="F21"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F22"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F23"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F24"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H41" authorId="0" shapeId="0">
      <text>
        <r>
          <rPr>
            <b/>
            <sz val="9"/>
            <color indexed="81"/>
            <rFont val="Tahoma"/>
            <family val="2"/>
          </rPr>
          <t>okt = -erhitungan des 15 oleh KAP bendelan 900 tapi di itung 1.000.
disesuaikan bdsk fisik brg 14.819</t>
        </r>
      </text>
    </comment>
    <comment ref="H45" authorId="0" shapeId="0">
      <text>
        <r>
          <rPr>
            <b/>
            <sz val="9"/>
            <color indexed="81"/>
            <rFont val="Tahoma"/>
            <family val="2"/>
          </rPr>
          <t>mar 2017 prod 10</t>
        </r>
      </text>
    </comment>
    <comment ref="F60" authorId="0" shapeId="0">
      <text>
        <r>
          <rPr>
            <b/>
            <sz val="9"/>
            <color indexed="81"/>
            <rFont val="Tahoma"/>
            <family val="2"/>
          </rPr>
          <t>juni 2000
JULI 8000
okt 15.000+25,000
17</t>
        </r>
        <r>
          <rPr>
            <sz val="9"/>
            <color indexed="81"/>
            <rFont val="Tahoma"/>
            <family val="2"/>
          </rPr>
          <t xml:space="preserve">juni2017 2.000
21juni 10.000
</t>
        </r>
      </text>
    </comment>
    <comment ref="H60" authorId="0" shapeId="0">
      <text>
        <r>
          <rPr>
            <b/>
            <sz val="9"/>
            <color indexed="81"/>
            <rFont val="Tahoma"/>
            <family val="2"/>
          </rPr>
          <t>des 100 permint bln nov prod 100</t>
        </r>
        <r>
          <rPr>
            <sz val="9"/>
            <color indexed="81"/>
            <rFont val="Tahoma"/>
            <family val="2"/>
          </rPr>
          <t xml:space="preserve">
</t>
        </r>
      </text>
    </comment>
    <comment ref="P60" authorId="0" shapeId="0">
      <text>
        <r>
          <rPr>
            <b/>
            <sz val="9"/>
            <color indexed="81"/>
            <rFont val="Tahoma"/>
            <family val="2"/>
          </rPr>
          <t xml:space="preserve">100 LBR 16 AGST DIPERTGN SEPT </t>
        </r>
        <r>
          <rPr>
            <sz val="9"/>
            <color indexed="81"/>
            <rFont val="Tahoma"/>
            <family val="2"/>
          </rPr>
          <t xml:space="preserve">UTK SP 270 THN POS
</t>
        </r>
      </text>
    </comment>
    <comment ref="T60" authorId="0" shapeId="0">
      <text>
        <r>
          <rPr>
            <b/>
            <sz val="9"/>
            <color indexed="81"/>
            <rFont val="Tahoma"/>
            <family val="2"/>
          </rPr>
          <t xml:space="preserve">13 jul 200
</t>
        </r>
        <r>
          <rPr>
            <sz val="9"/>
            <color indexed="81"/>
            <rFont val="Tahoma"/>
            <family val="2"/>
          </rPr>
          <t xml:space="preserve">
</t>
        </r>
      </text>
    </comment>
    <comment ref="F61" authorId="0" shapeId="0">
      <text>
        <r>
          <rPr>
            <b/>
            <sz val="9"/>
            <color indexed="81"/>
            <rFont val="Tahoma"/>
            <family val="2"/>
          </rPr>
          <t xml:space="preserve">juni 3.000
juli 7.000
okt 15.000+7,000
nov 8000
</t>
        </r>
      </text>
    </comment>
    <comment ref="F62" authorId="0" shapeId="0">
      <text>
        <r>
          <rPr>
            <b/>
            <sz val="9"/>
            <color indexed="81"/>
            <rFont val="Tahoma"/>
            <family val="2"/>
          </rPr>
          <t>2000 backgroud</t>
        </r>
        <r>
          <rPr>
            <sz val="9"/>
            <color indexed="81"/>
            <rFont val="Tahoma"/>
            <family val="2"/>
          </rPr>
          <t xml:space="preserve">
jan 17 polos 20.000</t>
        </r>
      </text>
    </comment>
    <comment ref="T62" authorId="0" shapeId="0">
      <text>
        <r>
          <rPr>
            <b/>
            <sz val="9"/>
            <color indexed="81"/>
            <rFont val="Tahoma"/>
            <family val="2"/>
          </rPr>
          <t>20 juli 200</t>
        </r>
        <r>
          <rPr>
            <sz val="9"/>
            <color indexed="81"/>
            <rFont val="Tahoma"/>
            <family val="2"/>
          </rPr>
          <t xml:space="preserve">
</t>
        </r>
      </text>
    </comment>
    <comment ref="U62" authorId="0" shapeId="0">
      <text>
        <r>
          <rPr>
            <b/>
            <sz val="9"/>
            <color indexed="81"/>
            <rFont val="Tahoma"/>
            <family val="2"/>
          </rPr>
          <t>siswanto</t>
        </r>
        <r>
          <rPr>
            <sz val="9"/>
            <color indexed="81"/>
            <rFont val="Tahoma"/>
            <family val="2"/>
          </rPr>
          <t xml:space="preserve">
26-4
</t>
        </r>
      </text>
    </comment>
    <comment ref="AJ62" authorId="0" shapeId="0">
      <text>
        <r>
          <rPr>
            <b/>
            <sz val="9"/>
            <color indexed="81"/>
            <rFont val="Tahoma"/>
            <family val="2"/>
          </rPr>
          <t>siswanto</t>
        </r>
        <r>
          <rPr>
            <sz val="9"/>
            <color indexed="81"/>
            <rFont val="Tahoma"/>
            <family val="2"/>
          </rPr>
          <t xml:space="preserve">
26-4
</t>
        </r>
      </text>
    </comment>
  </commentList>
</comments>
</file>

<file path=xl/comments7.xml><?xml version="1.0" encoding="utf-8"?>
<comments xmlns="http://schemas.openxmlformats.org/spreadsheetml/2006/main">
  <authors>
    <author>Author</author>
  </authors>
  <commentList>
    <comment ref="H33" authorId="0" shapeId="0">
      <text>
        <r>
          <rPr>
            <b/>
            <sz val="9"/>
            <color indexed="81"/>
            <rFont val="Tahoma"/>
            <family val="2"/>
          </rPr>
          <t>okt = setelah dibuka ulang di bendelan kemasan isi 50 ternyata fisik nya hanya 48 (50-2=48)
kirim kembali ke produksi</t>
        </r>
      </text>
    </comment>
    <comment ref="F52" authorId="0" shapeId="0">
      <text>
        <r>
          <rPr>
            <b/>
            <sz val="9"/>
            <color indexed="81"/>
            <rFont val="Tahoma"/>
            <family val="2"/>
          </rPr>
          <t>500 dari kiffa tgl 28 maret, dptgn april</t>
        </r>
        <r>
          <rPr>
            <sz val="9"/>
            <color indexed="81"/>
            <rFont val="Tahoma"/>
            <family val="2"/>
          </rPr>
          <t xml:space="preserve">
</t>
        </r>
      </text>
    </comment>
  </commentList>
</comments>
</file>

<file path=xl/sharedStrings.xml><?xml version="1.0" encoding="utf-8"?>
<sst xmlns="http://schemas.openxmlformats.org/spreadsheetml/2006/main" count="2368" uniqueCount="1051">
  <si>
    <t>Uraian</t>
  </si>
  <si>
    <t>Nominal</t>
  </si>
  <si>
    <t xml:space="preserve">Cerita Rakyat 03        </t>
  </si>
  <si>
    <t xml:space="preserve">Sea Games 03          </t>
  </si>
  <si>
    <t xml:space="preserve">Gunung 03                </t>
  </si>
  <si>
    <t xml:space="preserve">50 th Bank Indonesia 03 </t>
  </si>
  <si>
    <t xml:space="preserve">Tata Suya 03                 </t>
  </si>
  <si>
    <t xml:space="preserve">Sumpah Pemuda 03      </t>
  </si>
  <si>
    <t xml:space="preserve">Flora Fauna 03              </t>
  </si>
  <si>
    <t xml:space="preserve">Tokoh Nasional 03         </t>
  </si>
  <si>
    <t xml:space="preserve">Lomba Tradisional 03     </t>
  </si>
  <si>
    <t xml:space="preserve">Pramuka 03                 </t>
  </si>
  <si>
    <t xml:space="preserve">Pariwisata 03             </t>
  </si>
  <si>
    <t>Buah-buahan (durian)</t>
  </si>
  <si>
    <t>Buah-buahan (belimbing)</t>
  </si>
  <si>
    <t>Buah-buahan  ( mengkudu)</t>
  </si>
  <si>
    <t>Buah-buahan (mangga)</t>
  </si>
  <si>
    <t>Porto bayar warna biru</t>
  </si>
  <si>
    <t>Porto bayar warna merah</t>
  </si>
  <si>
    <t xml:space="preserve">STOK AKHIR </t>
  </si>
  <si>
    <t>JUMLAH</t>
  </si>
  <si>
    <t>BSU</t>
  </si>
  <si>
    <t>Gudang Pusat</t>
  </si>
  <si>
    <t xml:space="preserve">NKRI 04                   </t>
  </si>
  <si>
    <t xml:space="preserve">Cerita Rakyat 04          </t>
  </si>
  <si>
    <t xml:space="preserve">Museum 04              </t>
  </si>
  <si>
    <t xml:space="preserve">Pemilu 04                </t>
  </si>
  <si>
    <t xml:space="preserve">Olympiade Athena       </t>
  </si>
  <si>
    <t xml:space="preserve">Tokoh Wanita 04         </t>
  </si>
  <si>
    <t xml:space="preserve">Peduli Lingkungan 04    </t>
  </si>
  <si>
    <t xml:space="preserve">Makanan Tradisional 04 </t>
  </si>
  <si>
    <t xml:space="preserve">Kendaraan Presiden 04  </t>
  </si>
  <si>
    <t xml:space="preserve">PON XVI 04                  </t>
  </si>
  <si>
    <t xml:space="preserve">Flora Fauna 04              </t>
  </si>
  <si>
    <t xml:space="preserve">Hari Guru Nasional 04    </t>
  </si>
  <si>
    <t xml:space="preserve">Cerita Rakyat 05      </t>
  </si>
  <si>
    <t xml:space="preserve">50 Th KAA 05          </t>
  </si>
  <si>
    <t xml:space="preserve">Bencana Alam 05    </t>
  </si>
  <si>
    <t xml:space="preserve">Peduli Lingkungan 05  </t>
  </si>
  <si>
    <t>600 Th Pel.Laks Zheng He</t>
  </si>
  <si>
    <t xml:space="preserve">Makanan Tradisional 05 </t>
  </si>
  <si>
    <t xml:space="preserve">Presiden/Wapres 05     </t>
  </si>
  <si>
    <t xml:space="preserve">Hemat Energi 05          </t>
  </si>
  <si>
    <t xml:space="preserve">Kapal Borobudur 05      </t>
  </si>
  <si>
    <t xml:space="preserve">Flora Fauna 05             </t>
  </si>
  <si>
    <t xml:space="preserve">Cerita Rakyat 06            </t>
  </si>
  <si>
    <t xml:space="preserve">Hari Filateli 06            </t>
  </si>
  <si>
    <t xml:space="preserve">Piala Dunia </t>
  </si>
  <si>
    <t>Piala Dunia set</t>
  </si>
  <si>
    <t>Piala Dunia fulsheet</t>
  </si>
  <si>
    <t>Peduli Lingkungan</t>
  </si>
  <si>
    <t>Makanan Tradisional</t>
  </si>
  <si>
    <t>Jambore Nasional</t>
  </si>
  <si>
    <t>Tokoh Nasional</t>
  </si>
  <si>
    <t>Tokoh Nasional CT</t>
  </si>
  <si>
    <t>Indonesia Slowakia</t>
  </si>
  <si>
    <t>Hari Raya Islam</t>
  </si>
  <si>
    <t>Slowakia-Ind</t>
  </si>
  <si>
    <t>Flora-Fauna</t>
  </si>
  <si>
    <t>Kerajinan Indonesia</t>
  </si>
  <si>
    <t>12 Lambang Shio</t>
  </si>
  <si>
    <t>Indonesia China</t>
  </si>
  <si>
    <t>China-Indonesia</t>
  </si>
  <si>
    <t>Gemar Membaca</t>
  </si>
  <si>
    <t>Hari Anti mNarkoba</t>
  </si>
  <si>
    <t>Seabad Kepanduan</t>
  </si>
  <si>
    <t>Prko Booklet Kepanduan</t>
  </si>
  <si>
    <t>Omnibus Asean</t>
  </si>
  <si>
    <t>Mercusuar</t>
  </si>
  <si>
    <t>50 TH UNPAD</t>
  </si>
  <si>
    <t>Flora Fauna (Kupu2)</t>
  </si>
  <si>
    <t>Sea Games XXIV</t>
  </si>
  <si>
    <t>50 Th Dek Djuanda</t>
  </si>
  <si>
    <t>Seri Shio Tikus</t>
  </si>
  <si>
    <t>Olympiade Beijing 08</t>
  </si>
  <si>
    <t>Ucapan Selamat</t>
  </si>
  <si>
    <t>Indonesia-Jepang 08</t>
  </si>
  <si>
    <t>- Gunung</t>
  </si>
  <si>
    <t>- Candi</t>
  </si>
  <si>
    <t>- Bunga</t>
  </si>
  <si>
    <t>- Angklung</t>
  </si>
  <si>
    <t>- Arwana</t>
  </si>
  <si>
    <t>Pendidikan Luar Biasa</t>
  </si>
  <si>
    <t>Prko Ina-Kuba</t>
  </si>
  <si>
    <t>100 Th. HARKITNAS</t>
  </si>
  <si>
    <t>Peduli Lingkungan 08</t>
  </si>
  <si>
    <t>PON XVII 08</t>
  </si>
  <si>
    <t>Makanan Tradisional 08</t>
  </si>
  <si>
    <t>Prangko Kuba (2 kep)</t>
  </si>
  <si>
    <t>Lambang Provinsi Bali</t>
  </si>
  <si>
    <t>Lambang Prov. Gorontalo</t>
  </si>
  <si>
    <t>Lambang Provinsi Jabar</t>
  </si>
  <si>
    <t>Lambang Provinsi Jateng</t>
  </si>
  <si>
    <t>Lambang Provinsi Kalbar</t>
  </si>
  <si>
    <t>Lambang Provinsi Maluku</t>
  </si>
  <si>
    <t>Lambang Provinsi NAD</t>
  </si>
  <si>
    <t>Lambang Provinsi Papua</t>
  </si>
  <si>
    <t>Lambang Provinsi Riau</t>
  </si>
  <si>
    <t>Lambang Provinsi Sulbar</t>
  </si>
  <si>
    <t>Lambang Provinsi Sumbar</t>
  </si>
  <si>
    <t>Jalan Raya Pos</t>
  </si>
  <si>
    <t>Cut Nyak Dien 2008</t>
  </si>
  <si>
    <t>Pulau Kecil Teluar 08</t>
  </si>
  <si>
    <t>JIS Singapore - Ina</t>
  </si>
  <si>
    <t>Jis Iran - Ina</t>
  </si>
  <si>
    <t xml:space="preserve">Shio Macan </t>
  </si>
  <si>
    <t>Piala Dunia  Afsel  2010</t>
  </si>
  <si>
    <t>100 Th. Muhammadiyah</t>
  </si>
  <si>
    <t>Youth Olympic Games</t>
  </si>
  <si>
    <t>Presiden dan Wapres RI</t>
  </si>
  <si>
    <t>200 th. Kota Bandung</t>
  </si>
  <si>
    <t>200 th Kota Bandung</t>
  </si>
  <si>
    <t>Kehidupan Bawah Laut</t>
  </si>
  <si>
    <t>Shio Kelinci  2011</t>
  </si>
  <si>
    <t>Upacara Adat</t>
  </si>
  <si>
    <t>Tahun Kimia Internasional</t>
  </si>
  <si>
    <t>Tahun Antariksa</t>
  </si>
  <si>
    <t>Internet Sehat dan aman</t>
  </si>
  <si>
    <t>Gerakan Pramuka</t>
  </si>
  <si>
    <t>Jis Ina - Malaysia    (8)</t>
  </si>
  <si>
    <t>Art. Landmark    (5)</t>
  </si>
  <si>
    <t>Trikora   I</t>
  </si>
  <si>
    <t>Trikora  II  (3)</t>
  </si>
  <si>
    <t>JIS  Ina- Afsel    (5)</t>
  </si>
  <si>
    <t>Sea Games   (6)</t>
  </si>
  <si>
    <t>Flora - Fauna  (2)</t>
  </si>
  <si>
    <t>Shio Naga 2012</t>
  </si>
  <si>
    <t>PON XVIII Riau (6 )</t>
  </si>
  <si>
    <t>JIS AFSEL-INA 2011   (10)</t>
  </si>
  <si>
    <t>Prko 50 Tahun APPU</t>
  </si>
  <si>
    <t>PEDULI LINGKUNGAN</t>
  </si>
  <si>
    <t>BURUNG TERANCAM PUNAH</t>
  </si>
  <si>
    <t>MAKANAN TRAD</t>
  </si>
  <si>
    <t>PRKO KEPANDUAN</t>
  </si>
  <si>
    <t>PRKO SIARAN TV</t>
  </si>
  <si>
    <t>PRKO JATI DIRI BANGSA</t>
  </si>
  <si>
    <t xml:space="preserve">KUSKUS TUTUL HITAM </t>
  </si>
  <si>
    <t>KANDELIA CANDEL</t>
  </si>
  <si>
    <t xml:space="preserve">SOS CHILDREN. BERSAMA </t>
  </si>
  <si>
    <t xml:space="preserve">SOS CHILDREN. PNGASUH </t>
  </si>
  <si>
    <t>Prko Pemilu</t>
  </si>
  <si>
    <t>Prko Tahun Kuda</t>
  </si>
  <si>
    <t>PRKO ALAT MUSIK TRAD</t>
  </si>
  <si>
    <t>Prko 150 thn Ind</t>
  </si>
  <si>
    <t>Prko PAUD</t>
  </si>
  <si>
    <t>Prko Peduli Lingkungan</t>
  </si>
  <si>
    <t>SS Pariwisata 03</t>
  </si>
  <si>
    <t>SS Pameran Bangkok</t>
  </si>
  <si>
    <t>SS Tata Surya</t>
  </si>
  <si>
    <t>SS Flora Fauna</t>
  </si>
  <si>
    <t>SS Panfila Surabaya</t>
  </si>
  <si>
    <t xml:space="preserve">MS.Gunung 03           </t>
  </si>
  <si>
    <t xml:space="preserve">MS.Lomba Trad 03        </t>
  </si>
  <si>
    <t xml:space="preserve">MS.Tata Surya 03         </t>
  </si>
  <si>
    <t xml:space="preserve">Booklet Flora Fauna 03  </t>
  </si>
  <si>
    <t>SS Kendaraan Presiden</t>
  </si>
  <si>
    <t>SS Cerita Rakyat</t>
  </si>
  <si>
    <t>SS Panfila Banten</t>
  </si>
  <si>
    <t>Flora Fauna</t>
  </si>
  <si>
    <t>Panfila Bd</t>
  </si>
  <si>
    <t>Cerita Rakyat</t>
  </si>
  <si>
    <t>Indonesia-China</t>
  </si>
  <si>
    <t>Bangkok</t>
  </si>
  <si>
    <t>SS CT(ECOPHILA)</t>
  </si>
  <si>
    <t>Tahun Tikus 2008</t>
  </si>
  <si>
    <t>Taipei 2008</t>
  </si>
  <si>
    <t>SS Jalan Raya Pos 08</t>
  </si>
  <si>
    <t>SS UNCUT Jakarta 2008</t>
  </si>
  <si>
    <t>SS Jakarta 2008</t>
  </si>
  <si>
    <t>Shio Macan</t>
  </si>
  <si>
    <t>SS  W. Budaya (Hanoman)</t>
  </si>
  <si>
    <t>SS  W. Budaya (Keris)</t>
  </si>
  <si>
    <t>SS Peduli Lingkungan</t>
  </si>
  <si>
    <t>SS Presiden dan Wapres RI</t>
  </si>
  <si>
    <t>SS 200 Th. Kota Bandung</t>
  </si>
  <si>
    <t>SS Panfila Jakarta 2010</t>
  </si>
  <si>
    <t xml:space="preserve">SS Peduli Lingkungan </t>
  </si>
  <si>
    <t>SS Philanippon</t>
  </si>
  <si>
    <t>SS Gerakan Pramuka</t>
  </si>
  <si>
    <t xml:space="preserve">SS China 2011 </t>
  </si>
  <si>
    <t xml:space="preserve">SS Flora-Fauna </t>
  </si>
  <si>
    <t>MS UNCUT FLORA FAUNA</t>
  </si>
  <si>
    <t>MS Ina-Slovakia</t>
  </si>
  <si>
    <t>MS 12 Lambang Shio</t>
  </si>
  <si>
    <t>MS Bangkok</t>
  </si>
  <si>
    <t>MS JIS Jepang-Ina</t>
  </si>
  <si>
    <t>MS Turki-Ina</t>
  </si>
  <si>
    <t>MS Shio Kerbau 09</t>
  </si>
  <si>
    <t>MS Singapore 09</t>
  </si>
  <si>
    <t>MS Burung CT Jipex 09</t>
  </si>
  <si>
    <t>MS JIS Ina-Iran 09</t>
  </si>
  <si>
    <t>Booklet Piala Dunia 2010</t>
  </si>
  <si>
    <t>MS 100 Th. Muhammadiyah</t>
  </si>
  <si>
    <t>MS Flora-Fauna 2010</t>
  </si>
  <si>
    <t>MS Lambang Provinsi  2010</t>
  </si>
  <si>
    <t>MS  Shio Kelinci  2011</t>
  </si>
  <si>
    <t>MS Gemar Ikan</t>
  </si>
  <si>
    <t>MS Kain Tradisional  (Pan. SB)</t>
  </si>
  <si>
    <t>MS Ina - Malaysia</t>
  </si>
  <si>
    <t>MS Shio Naga 2012</t>
  </si>
  <si>
    <t>SS INDONESIA # 1</t>
  </si>
  <si>
    <t>SS INDONESIA # 2</t>
  </si>
  <si>
    <t>SS INDONESIA # 3</t>
  </si>
  <si>
    <t>SS INDONESIA # 4</t>
  </si>
  <si>
    <t>SS INDONESIA # 5</t>
  </si>
  <si>
    <t>SS INDONESIA # 6</t>
  </si>
  <si>
    <t>SS INDONESIA # 7</t>
  </si>
  <si>
    <t>MS BURUNG TERANCAM PUNAH</t>
  </si>
  <si>
    <t>SS KEPANDUAN</t>
  </si>
  <si>
    <t>SS FLORA FAUNA</t>
  </si>
  <si>
    <t>SS PEDULI LINGKUNGAN</t>
  </si>
  <si>
    <t xml:space="preserve">MS Tahun Kuda </t>
  </si>
  <si>
    <t>SS Tahun Kuda</t>
  </si>
  <si>
    <t>SS Four Nation Bdg</t>
  </si>
  <si>
    <t>SS Uncut Four Nation</t>
  </si>
  <si>
    <t xml:space="preserve">SHP Logo Prisma 03.    </t>
  </si>
  <si>
    <t xml:space="preserve">SHP C R 03.            </t>
  </si>
  <si>
    <t xml:space="preserve">SHPSS CR 03               </t>
  </si>
  <si>
    <t xml:space="preserve">SP Borobudur 03           </t>
  </si>
  <si>
    <t xml:space="preserve">SHP Sea Games 03      </t>
  </si>
  <si>
    <t xml:space="preserve">SHP Gunung 03            </t>
  </si>
  <si>
    <t xml:space="preserve">SP MTQ 03                   </t>
  </si>
  <si>
    <t xml:space="preserve">SP Raimuna 03             </t>
  </si>
  <si>
    <t xml:space="preserve">SP Jabar Benar  03     </t>
  </si>
  <si>
    <t xml:space="preserve">SP AASROC 03         </t>
  </si>
  <si>
    <t xml:space="preserve">SHP Lomba Trad 03    </t>
  </si>
  <si>
    <t xml:space="preserve">SHP Pramuka 03        </t>
  </si>
  <si>
    <t xml:space="preserve">SP Pelanggan Nas 03 </t>
  </si>
  <si>
    <t xml:space="preserve">SHP/SS Bangkok 03   </t>
  </si>
  <si>
    <t xml:space="preserve">SHP Tata Surya 03     </t>
  </si>
  <si>
    <t xml:space="preserve">SHP/SS Tata Surya 03 </t>
  </si>
  <si>
    <t>SHP Sumpah Pemuda 03</t>
  </si>
  <si>
    <t xml:space="preserve">SHP HCPSN 03           </t>
  </si>
  <si>
    <t xml:space="preserve">SHP Tokoh Nasional 03  </t>
  </si>
  <si>
    <t xml:space="preserve">SHP C R 04          </t>
  </si>
  <si>
    <t xml:space="preserve">SP Barli 04          </t>
  </si>
  <si>
    <t>SHP Olymp Athena 04</t>
  </si>
  <si>
    <t xml:space="preserve">SP Thomas Uber 04   </t>
  </si>
  <si>
    <t xml:space="preserve">SP Harkitnas 04        </t>
  </si>
  <si>
    <t>SHP Lingkungan Hidup 04</t>
  </si>
  <si>
    <t xml:space="preserve">SP Ass Luka Bakar 04  </t>
  </si>
  <si>
    <t xml:space="preserve">SHP Pon XVI 04           </t>
  </si>
  <si>
    <t xml:space="preserve">SHP Pemilu 04             </t>
  </si>
  <si>
    <t>SHP Museum 04</t>
  </si>
  <si>
    <t>SP Thomas Cup</t>
  </si>
  <si>
    <t>SP Hari Jadi Jepara</t>
  </si>
  <si>
    <t xml:space="preserve">SHP C R 05          </t>
  </si>
  <si>
    <t xml:space="preserve">SHP 50 th KAA 05   </t>
  </si>
  <si>
    <t xml:space="preserve">SHP Ped.Lingkungan 05  </t>
  </si>
  <si>
    <t xml:space="preserve">SHP Zheng He 05          </t>
  </si>
  <si>
    <t xml:space="preserve">SHP Mak.Tradisional 05  </t>
  </si>
  <si>
    <t xml:space="preserve">SP Kereta Api 05          </t>
  </si>
  <si>
    <t xml:space="preserve">SP Zheng He 05           </t>
  </si>
  <si>
    <t>SP  TMII  05</t>
  </si>
  <si>
    <t xml:space="preserve">SHP Pres/Wapres 05   </t>
  </si>
  <si>
    <t xml:space="preserve">SHP Hemat Energi 05   </t>
  </si>
  <si>
    <t xml:space="preserve">SP Comdeka 05          </t>
  </si>
  <si>
    <t>SHP Kapal Borobudur 05</t>
  </si>
  <si>
    <t xml:space="preserve">SP Lok.Filateli 05           </t>
  </si>
  <si>
    <t xml:space="preserve">SHP Flora Fauna 05     </t>
  </si>
  <si>
    <t>SP Hari Habitat Sedunia</t>
  </si>
  <si>
    <t>SP Philip Kotler</t>
  </si>
  <si>
    <t xml:space="preserve">SHP Cerita Rakyat 06           </t>
  </si>
  <si>
    <t>SHP Piala Dunia 06</t>
  </si>
  <si>
    <t>SP Narkoba 06</t>
  </si>
  <si>
    <t>SHP Peduli Lingkungan 06</t>
  </si>
  <si>
    <t>SHP Makanan Tradisional 06</t>
  </si>
  <si>
    <t>SHP Jambore Nasional 06</t>
  </si>
  <si>
    <t>MC Jambore Nasional 06</t>
  </si>
  <si>
    <t>SHP Tokoh Nasional 06</t>
  </si>
  <si>
    <t>SP Kios Pos 06</t>
  </si>
  <si>
    <t>SP UNHAS 06</t>
  </si>
  <si>
    <t>SHP INA-SLOWAKIA 06</t>
  </si>
  <si>
    <t>SP Panfila Bd</t>
  </si>
  <si>
    <t>SP 250 Th Yogya</t>
  </si>
  <si>
    <t>SHP Kerajinan Indonesia</t>
  </si>
  <si>
    <t>SHP 12 Lambang Shio</t>
  </si>
  <si>
    <t>SHP/SS 12 Lambang Shio</t>
  </si>
  <si>
    <t>SHP terpadu Ina-China</t>
  </si>
  <si>
    <t>SHP prko Ina-China</t>
  </si>
  <si>
    <t>SHP SS Ina-China</t>
  </si>
  <si>
    <t>SHP Gemar Membaca</t>
  </si>
  <si>
    <t>SHP Peduli Lingkungan 07</t>
  </si>
  <si>
    <t>SHP SS  Peduli Lingkungan 07</t>
  </si>
  <si>
    <t>SP Unclimate Change Co nf.</t>
  </si>
  <si>
    <t>Blk Spl  Harry Potter</t>
  </si>
  <si>
    <t>SP Sepak Takrau 07</t>
  </si>
  <si>
    <t>SHP Anti Narkoba 07</t>
  </si>
  <si>
    <t>SHP Makanan Tradisional 07</t>
  </si>
  <si>
    <t>SP Bangkok 07</t>
  </si>
  <si>
    <t>SHP Omnibus 07</t>
  </si>
  <si>
    <t>SP Gedung Mahkon RI 07</t>
  </si>
  <si>
    <t>SHP Mercusuar 07</t>
  </si>
  <si>
    <t>SP Lokakarya Filateli 07</t>
  </si>
  <si>
    <t xml:space="preserve">SHP 50 th UNPAD.07   </t>
  </si>
  <si>
    <t xml:space="preserve">SHP Flora Fauna 07     </t>
  </si>
  <si>
    <t xml:space="preserve">SHP/SS Flora Fauna 07     </t>
  </si>
  <si>
    <t>SP Bandung filex(FF CT)</t>
  </si>
  <si>
    <t>SP Pres untk ibu Negara</t>
  </si>
  <si>
    <t>SHP Sea Games XXIV</t>
  </si>
  <si>
    <t>SHP 50 Th Dek Djuanda</t>
  </si>
  <si>
    <t>SP ANTARA KEM</t>
  </si>
  <si>
    <t xml:space="preserve">SP VISIT MUSI </t>
  </si>
  <si>
    <t>SP Ayo Ke Katr Pos</t>
  </si>
  <si>
    <t>SHP Shio Tikus</t>
  </si>
  <si>
    <t>SHPSS SHio Tikus</t>
  </si>
  <si>
    <t>SP 40 hari Wafat Pak Soeharto</t>
  </si>
  <si>
    <t>SP Pameran TAIPEI '08</t>
  </si>
  <si>
    <t>SP Visit Lampung 2008</t>
  </si>
  <si>
    <t>SHP Olympiade Beijing 08</t>
  </si>
  <si>
    <t>SP 50 Tahun BPHN</t>
  </si>
  <si>
    <t>SP Stamp Passion</t>
  </si>
  <si>
    <t>SP Obor Olympiade Beijing</t>
  </si>
  <si>
    <t>SHP Indonesia-Jepang</t>
  </si>
  <si>
    <t>SHP 100 Th. Harkitnas</t>
  </si>
  <si>
    <t>SP Bengkalis</t>
  </si>
  <si>
    <t>SP Indonesia-Kuba</t>
  </si>
  <si>
    <t>SP Mahasiswa Ked. UNHAS</t>
  </si>
  <si>
    <t>SHP Peduli Lingkungan</t>
  </si>
  <si>
    <t>SHP/SS Peduli Lingkungan</t>
  </si>
  <si>
    <t>SP Lingkungan Hidup di Bali</t>
  </si>
  <si>
    <t>SHP PON XVII 08</t>
  </si>
  <si>
    <t>SHP Makanan Tradisional 08</t>
  </si>
  <si>
    <t>SP Visit Musi Palembang</t>
  </si>
  <si>
    <t>SHP Lambang Prov. Bali</t>
  </si>
  <si>
    <t>SHP Lambang Prov. Gorontalo</t>
  </si>
  <si>
    <t>SHP Lambang Prov. Jabar</t>
  </si>
  <si>
    <t>SHP Lambang Prov. Jateng</t>
  </si>
  <si>
    <t>SHP Lambang Prov. Kalbar</t>
  </si>
  <si>
    <t>SHP Lambang Prov. Maluku</t>
  </si>
  <si>
    <t>SHP Lambang Prov. NAD</t>
  </si>
  <si>
    <t>SHP Lambang Prov. Papua</t>
  </si>
  <si>
    <t>SHP Lambang Prov. Riau</t>
  </si>
  <si>
    <t>SHP Lambang Prov. Sulbar</t>
  </si>
  <si>
    <t>SHP Lambang Prov. Sumbar</t>
  </si>
  <si>
    <t>SP Ayo ke Kantor Pos</t>
  </si>
  <si>
    <t>MC Lambang Prov. Bali</t>
  </si>
  <si>
    <t>MC Lambang Prov. Gorontalo</t>
  </si>
  <si>
    <t>MC Lambang Prov. Jabar</t>
  </si>
  <si>
    <t>MC Lambang Prov. Jateng</t>
  </si>
  <si>
    <t>MC Lambang Prov. Kalbar</t>
  </si>
  <si>
    <t>MC Lambang Prov. Maluku</t>
  </si>
  <si>
    <t>MC Lambang Prov. NAD</t>
  </si>
  <si>
    <t>MC Lambang Prov. Papua</t>
  </si>
  <si>
    <t>MC Lambang Prov. Riau</t>
  </si>
  <si>
    <t>MC Lambang Prov. Sulbar</t>
  </si>
  <si>
    <t>MC Lambang Prov. Sumbar</t>
  </si>
  <si>
    <t>SP 1 Abad Harkit Perempuan</t>
  </si>
  <si>
    <t>SHP Jalan Raya Pos</t>
  </si>
  <si>
    <t>SHP/SS Jalan Raya Pos</t>
  </si>
  <si>
    <t>Blko Spl Pameran Jakarta'08</t>
  </si>
  <si>
    <t>SHP JIS Ina- Turki 08</t>
  </si>
  <si>
    <t>SP Jambore ASEAN 08</t>
  </si>
  <si>
    <t>SHP Flora-Fauna 08</t>
  </si>
  <si>
    <t>SHP Cut Nyak Dien 08</t>
  </si>
  <si>
    <t>SHP Pulau 2 Kecil Telar 08</t>
  </si>
  <si>
    <t>SP Jakarta 08 (6 desain)</t>
  </si>
  <si>
    <t>SHP Shio Kerbau 09</t>
  </si>
  <si>
    <t>SHP/SS Shio Kerbau 09</t>
  </si>
  <si>
    <t>SHP 50 th ITB</t>
  </si>
  <si>
    <t>SHP PEMILU 2009</t>
  </si>
  <si>
    <t>SP Beruang Kutub</t>
  </si>
  <si>
    <t>SP China</t>
  </si>
  <si>
    <t>SP UGM</t>
  </si>
  <si>
    <t>Kem SP ADB  Bali</t>
  </si>
  <si>
    <t>SHP/SS Astronomi</t>
  </si>
  <si>
    <t>SHP/SS WOC</t>
  </si>
  <si>
    <t>SHP Jembatan Suramadu</t>
  </si>
  <si>
    <t>SHP/SS Jembatan Suramadu</t>
  </si>
  <si>
    <t>SP Pramuka Santri Nusantara</t>
  </si>
  <si>
    <t>SP Temu Pakar Pedalangan</t>
  </si>
  <si>
    <t>Karnet NapakTilas Jl. Raya Pos</t>
  </si>
  <si>
    <t>SHP Makanan TradisIonal 09</t>
  </si>
  <si>
    <t>SP Festival Borobudur 09</t>
  </si>
  <si>
    <t>SP Ayo Ke Kantor Pos</t>
  </si>
  <si>
    <t>SHP Burung 2009</t>
  </si>
  <si>
    <t>SHP Hari Anak Nasional</t>
  </si>
  <si>
    <t>SP Philakorea 09</t>
  </si>
  <si>
    <t>SP Bunaken (IFR)</t>
  </si>
  <si>
    <t>Max, Card Lambang Provinsi  09</t>
  </si>
  <si>
    <t>SHP Lambang Provinsi  09</t>
  </si>
  <si>
    <t>SP  999</t>
  </si>
  <si>
    <t>SHP Jis INA - SINGAPORE</t>
  </si>
  <si>
    <t>SHP Terpadu Ina-Singapore</t>
  </si>
  <si>
    <t>SHP Flora Fauna 09</t>
  </si>
  <si>
    <t>SP ATP Bali</t>
  </si>
  <si>
    <t>SHP JIS Ina- Iran</t>
  </si>
  <si>
    <t>SHP Terpadu JIS Ina-Iran</t>
  </si>
  <si>
    <t>SHP/SS Shio Macan</t>
  </si>
  <si>
    <t>SHP  Kegiatan Alam Terbuka</t>
  </si>
  <si>
    <t>SHP Warisan Budaya Tak Benda</t>
  </si>
  <si>
    <t>SHP/SS W. Budaya  Tak Benda</t>
  </si>
  <si>
    <t xml:space="preserve">SHP Piala Dunia </t>
  </si>
  <si>
    <t>SHP/SS  Peduli Lingkungan</t>
  </si>
  <si>
    <t>SHP  Muhammadiyah</t>
  </si>
  <si>
    <t>SHP Makanan Tradisional</t>
  </si>
  <si>
    <t>SP Sail Banda</t>
  </si>
  <si>
    <t>SHP Presiden dan Wapres RI</t>
  </si>
  <si>
    <t>SHP/SS Pres. Dan Wapres RI</t>
  </si>
  <si>
    <t>SP Indoesia-Belanda</t>
  </si>
  <si>
    <t>SHP   200 Th. Kota Bandung</t>
  </si>
  <si>
    <t>SHP/SS 200 Th. Kota Bandung</t>
  </si>
  <si>
    <t>SHP Kehidupan Bawah Laut</t>
  </si>
  <si>
    <t>SHP Flora dan Fauna (2)</t>
  </si>
  <si>
    <t>SHP Youth Olympic Games</t>
  </si>
  <si>
    <t>SP INA - CHINA '10</t>
  </si>
  <si>
    <t>SP INA - RUSIA '10</t>
  </si>
  <si>
    <t>SP Wirakarya '10</t>
  </si>
  <si>
    <t>SHP Lambang Prov- 3</t>
  </si>
  <si>
    <t>SHP Shio kelinci  2011</t>
  </si>
  <si>
    <t>SHP/SS Shio Kelinci 2011</t>
  </si>
  <si>
    <t>SHP Upacara Adat 2011</t>
  </si>
  <si>
    <t>Max, Card Upacara Adat</t>
  </si>
  <si>
    <t>SHP Tahun Kimia Internasional</t>
  </si>
  <si>
    <t>SP Panfila Yogyakarta</t>
  </si>
  <si>
    <t>SHP Internet Sehat dan Aman</t>
  </si>
  <si>
    <t>SP Taman  Mini</t>
  </si>
  <si>
    <t>SP Jamnas Palembang</t>
  </si>
  <si>
    <t>SP Philanipposn</t>
  </si>
  <si>
    <t>SHP Gerakan Pramuka</t>
  </si>
  <si>
    <t>SHP/SS Gerakan Pramuka</t>
  </si>
  <si>
    <t>SHP Gemar Ikan</t>
  </si>
  <si>
    <t>SHP Ina - Malaysia</t>
  </si>
  <si>
    <t>SP 265 Th. Pos Indonesia</t>
  </si>
  <si>
    <t>SHP Tokoh Nasional</t>
  </si>
  <si>
    <t>SP Pesta Rakyat Jabar</t>
  </si>
  <si>
    <t>SP 100 TH. KP Medan</t>
  </si>
  <si>
    <t>SHP TRIKORA</t>
  </si>
  <si>
    <t>SP PANFILA BANDUNG</t>
  </si>
  <si>
    <t>SHP SEA GAMES</t>
  </si>
  <si>
    <t>SHP JIS INA-AFSEL</t>
  </si>
  <si>
    <t>SP CHINA  2011</t>
  </si>
  <si>
    <t>SHP FLORA-FAUNA</t>
  </si>
  <si>
    <t>SHP/SS FLORA FAUNA</t>
  </si>
  <si>
    <t>KARTUPOS  11.111  a</t>
  </si>
  <si>
    <t>KARTUPOS  11.111  b</t>
  </si>
  <si>
    <t>KARTUPOS  11.111  c</t>
  </si>
  <si>
    <t>SP Desa Informasi  Pacitan</t>
  </si>
  <si>
    <t>SP Desa Informasi  Waris</t>
  </si>
  <si>
    <t>SP Desa Informasi  Labuha</t>
  </si>
  <si>
    <t>SHP Shio Naga 2012</t>
  </si>
  <si>
    <t>SHP PON XVIII Riau 2012</t>
  </si>
  <si>
    <t>SHP 50 th. APPU  2012</t>
  </si>
  <si>
    <t>SHP BURUNG TERANCAM PUNAH</t>
  </si>
  <si>
    <t>SHP MAKANAN TRAD</t>
  </si>
  <si>
    <t>SHP SIARAN TV</t>
  </si>
  <si>
    <t>SHP KEPANDUAN</t>
  </si>
  <si>
    <t>SHP BANGUNAN BERSEJARAH</t>
  </si>
  <si>
    <t>SHP FLORA FAUNA</t>
  </si>
  <si>
    <t>SP PADANG</t>
  </si>
  <si>
    <t>SP KPK</t>
  </si>
  <si>
    <t>SHP Pemilu</t>
  </si>
  <si>
    <t>SHP Tahun Kuda</t>
  </si>
  <si>
    <t>SHP SS Tahun Kuda</t>
  </si>
  <si>
    <t>SHP Alat Musik Tradisional 2014</t>
  </si>
  <si>
    <t>SHP 150th Prko Ind</t>
  </si>
  <si>
    <t>SHP PAUD</t>
  </si>
  <si>
    <t xml:space="preserve">Kemasan 50 th BI 03                </t>
  </si>
  <si>
    <t>Kemasan Tata Surya 2003</t>
  </si>
  <si>
    <t>Album th 2001</t>
  </si>
  <si>
    <t>Album Kemasan 1998</t>
  </si>
  <si>
    <t>Stamppack CR II 1999</t>
  </si>
  <si>
    <t>Stamppack UGM 1999</t>
  </si>
  <si>
    <t>Stamppack UI 2000</t>
  </si>
  <si>
    <t>Kemasan BK + Prangko</t>
  </si>
  <si>
    <t>Kemasan BK + Istana</t>
  </si>
  <si>
    <t>Kemasan Khusus BK 2001</t>
  </si>
  <si>
    <t>Album 100 Th BH 2002 + Coin</t>
  </si>
  <si>
    <t>Stamppack BH 2002</t>
  </si>
  <si>
    <t>Kem.12 Lambang Shio</t>
  </si>
  <si>
    <t>Kem Ina-China</t>
  </si>
  <si>
    <t>Blanko SP Harry Potter</t>
  </si>
  <si>
    <t>Map Kemasan Harry Potter</t>
  </si>
  <si>
    <t>Kemasan UNPAD</t>
  </si>
  <si>
    <t xml:space="preserve">Album Omnibus Asean </t>
  </si>
  <si>
    <t>Kem SP CT Ecophila</t>
  </si>
  <si>
    <t>Kem SS CT Ecophila</t>
  </si>
  <si>
    <t>Kem Prisma Looney Tunes</t>
  </si>
  <si>
    <t>Kem blankoPrisma Looney Tunes</t>
  </si>
  <si>
    <t>Album Asean 2003</t>
  </si>
  <si>
    <t>Kemasan Jelang Jakarta</t>
  </si>
  <si>
    <t>Kemasan Shio Tikus</t>
  </si>
  <si>
    <t>Kem. Sp Obor Olympiade Beijing</t>
  </si>
  <si>
    <t>Kemasan Ina-Kuba</t>
  </si>
  <si>
    <t>Kemasan Shio Kerbau 09</t>
  </si>
  <si>
    <t>Kemasan 50 Tahun ITB</t>
  </si>
  <si>
    <t>Kemasan  WOC</t>
  </si>
  <si>
    <t>Kemasan Burung</t>
  </si>
  <si>
    <t>Kemasan JIS Ina-Singapore</t>
  </si>
  <si>
    <t>Kemasan Shio Naga 2012</t>
  </si>
  <si>
    <t>Kemasan Ina - Korea</t>
  </si>
  <si>
    <t xml:space="preserve">Kemasan Pasukan Garuda </t>
  </si>
  <si>
    <t xml:space="preserve">Kemasan Shio Kuda </t>
  </si>
  <si>
    <t>Deluxe Sheet Panfila</t>
  </si>
  <si>
    <t>Gantungan Kunci JKT'08</t>
  </si>
  <si>
    <t>Celengan Bis Surat</t>
  </si>
  <si>
    <t>Katalog Prangko 2009</t>
  </si>
  <si>
    <t>Pinset</t>
  </si>
  <si>
    <t>Pigura Prisma Kecil</t>
  </si>
  <si>
    <t>Album Prangko Sisip</t>
  </si>
  <si>
    <t>Prisma Ulang Tahun 2003</t>
  </si>
  <si>
    <t>Prisma Ucapan Selamat biasa 2003</t>
  </si>
  <si>
    <t>Prisma Ikan KOI 2003</t>
  </si>
  <si>
    <t>Prisma Bunga Matahari 2003</t>
  </si>
  <si>
    <t>Hari Raya Islam 2006</t>
  </si>
  <si>
    <t>P. Jabatangan Nasional 072001-01</t>
  </si>
  <si>
    <t>P, Jabatangan Tradisional 072001-02</t>
  </si>
  <si>
    <t>P, Jabatangan Bendera 07,2001-03</t>
  </si>
  <si>
    <t>P, Jabatangan Bunga 07,2001-04</t>
  </si>
  <si>
    <t>Prisma Harfot Kel DA</t>
  </si>
  <si>
    <t>Prisma Harfot Kel OP</t>
  </si>
  <si>
    <t>Prisma Harfot Kel FF</t>
  </si>
  <si>
    <t>Prisma Harfot Kel DARK</t>
  </si>
  <si>
    <t>Seni Pertunjukan lbr 1</t>
  </si>
  <si>
    <t>Seni Pertunjukan lbr 2</t>
  </si>
  <si>
    <t>Seni Pertunjukan lbr 3</t>
  </si>
  <si>
    <t>Seni Pertunjukan lbr 4</t>
  </si>
  <si>
    <t>Prisma Looney Tunes lbr 1</t>
  </si>
  <si>
    <t>Prisma Looney Tunes lbr 2</t>
  </si>
  <si>
    <t>Prisma Looney Tunes lbr 3</t>
  </si>
  <si>
    <t>Prisma Looney Tunes lbr 4</t>
  </si>
  <si>
    <t>Prisma Tom and Jerry</t>
  </si>
  <si>
    <t>Prisma JT  Bendera 3 + Foto Gub Jabar</t>
  </si>
  <si>
    <t>- Seri Wisuda  2009</t>
  </si>
  <si>
    <t>- Seri Kelahiran 2009</t>
  </si>
  <si>
    <t>- Seri Pernikahan 2009</t>
  </si>
  <si>
    <t>- Seri Islami  2009</t>
  </si>
  <si>
    <t>Prisma 2009</t>
  </si>
  <si>
    <t>Prisma 2010</t>
  </si>
  <si>
    <t>- Paralayang</t>
  </si>
  <si>
    <t>- Panjat tebing</t>
  </si>
  <si>
    <t>- Flying Fox dan Meniti Tali</t>
  </si>
  <si>
    <t>Prisma JamNas Palembang :</t>
  </si>
  <si>
    <t>- Arung Jeram</t>
  </si>
  <si>
    <t>- Panjat Tebing</t>
  </si>
  <si>
    <t>Dokumen Filateli Shio Kuda</t>
  </si>
  <si>
    <t>Dokumen Filateli Alat Musik Tradisional Reguler</t>
  </si>
  <si>
    <t>Dokumen PAUD</t>
  </si>
  <si>
    <t>Dokumen  150 thn Prangko Ind'</t>
  </si>
  <si>
    <t>Dokumen Peduli Lingkungan Hidup</t>
  </si>
  <si>
    <t>SS 150thn Prangko</t>
  </si>
  <si>
    <t>JENIS BENDA FILATELI</t>
  </si>
  <si>
    <t>A.  Prangko</t>
  </si>
  <si>
    <t>F. Prangko Prisma</t>
  </si>
  <si>
    <t xml:space="preserve">JUMLAH </t>
  </si>
  <si>
    <t>B. MS dan SS</t>
  </si>
  <si>
    <t>C. SHP dan SHP/SS</t>
  </si>
  <si>
    <t>D. Kemasan</t>
  </si>
  <si>
    <t>E. Merchandise</t>
  </si>
  <si>
    <t>G. Dokumen Filateli</t>
  </si>
  <si>
    <t>Dibuat oleh</t>
  </si>
  <si>
    <t>Mengetahui</t>
  </si>
  <si>
    <t>Manajer Distribusi dan Persediaan</t>
  </si>
  <si>
    <t>Burung Air / Pantai IND</t>
  </si>
  <si>
    <t xml:space="preserve">Ibu Negara </t>
  </si>
  <si>
    <t>Penanggalan Aksara</t>
  </si>
  <si>
    <t xml:space="preserve">MS Burung Air </t>
  </si>
  <si>
    <t>SHP Flora Fauna</t>
  </si>
  <si>
    <t>SHP SS Flora Fauna</t>
  </si>
  <si>
    <t>SHP Burung Air</t>
  </si>
  <si>
    <t>Kemasan Ibu Negara</t>
  </si>
  <si>
    <t>PRISMA BINGKAI BENDERA</t>
  </si>
  <si>
    <t>PRISMA BINGKAI TRADISIONAL</t>
  </si>
  <si>
    <t xml:space="preserve">Dokumen Burung Air </t>
  </si>
  <si>
    <t>Dokumen Ibu Negara</t>
  </si>
  <si>
    <t>Dokumen 125 tahun paleontropologi</t>
  </si>
  <si>
    <t>Dokumen Aksara IND</t>
  </si>
  <si>
    <t>Dokumen Layanan Pos</t>
  </si>
  <si>
    <t>Prko 125 thn Paleontropolg</t>
  </si>
  <si>
    <t>Prko HUT TNI ke 69</t>
  </si>
  <si>
    <t>Prko Flora Fauna'</t>
  </si>
  <si>
    <t>Prko Kesehatan</t>
  </si>
  <si>
    <t>Prko Jembatan</t>
  </si>
  <si>
    <t>SS Malaysia</t>
  </si>
  <si>
    <t>SHP Ibu Negara</t>
  </si>
  <si>
    <t>SHP 125 th Paleontroplg</t>
  </si>
  <si>
    <t>SHP Hari Aksara Trad</t>
  </si>
  <si>
    <t>SHP Layananpos</t>
  </si>
  <si>
    <t>SHP HUT TNI ke 69</t>
  </si>
  <si>
    <t>SHP Hari Kesehatan</t>
  </si>
  <si>
    <t>SP Malaysia</t>
  </si>
  <si>
    <t xml:space="preserve">SHP Jembatan </t>
  </si>
  <si>
    <t>Dokumen Flora Fauna</t>
  </si>
  <si>
    <t>Dokmen Hari Kesehatan</t>
  </si>
  <si>
    <t>Dokumen Filateli Malaysia</t>
  </si>
  <si>
    <t>Dokumen HUT TNI ke 69</t>
  </si>
  <si>
    <t>Dokumen Jembatan</t>
  </si>
  <si>
    <t>Dokumen Pemilu</t>
  </si>
  <si>
    <t>REKAP STOK AKHIR BENDA FILATELI GUDANG PUSAT</t>
  </si>
  <si>
    <t>Pengeluaran</t>
  </si>
  <si>
    <t>Prangko Shio Kambing</t>
  </si>
  <si>
    <t>Prangko Jis Ina/Korut</t>
  </si>
  <si>
    <t>Prangko Kalimantan Utara</t>
  </si>
  <si>
    <t>Prangko Peduli Lingkungan</t>
  </si>
  <si>
    <t xml:space="preserve">MS Kambing </t>
  </si>
  <si>
    <t>SS Kambing</t>
  </si>
  <si>
    <t>SHP Shio KAMBING</t>
  </si>
  <si>
    <t>SHP/SS Shio KAMBING</t>
  </si>
  <si>
    <t>Kemasan Kambing</t>
  </si>
  <si>
    <t>DOKUMEN SHIO KAMBING</t>
  </si>
  <si>
    <t>Penerimaan</t>
  </si>
  <si>
    <t>Jumlah</t>
  </si>
  <si>
    <t>Nilai Instrinsik</t>
  </si>
  <si>
    <t>Bsu</t>
  </si>
  <si>
    <t>SHP AlatMusik Trad</t>
  </si>
  <si>
    <t>SHP Jis Ina / Korut</t>
  </si>
  <si>
    <t>SHP Kalimantan Utara</t>
  </si>
  <si>
    <t>DOKUMEN ALAT MUSIK TRAD</t>
  </si>
  <si>
    <t>DOKUMEN P BENCANA</t>
  </si>
  <si>
    <t>DOKUMEN JIS INA/KORUT</t>
  </si>
  <si>
    <t>DOKUMEN KALIMANTAN UTARA</t>
  </si>
  <si>
    <t>DOKUMEN PEDULI LINGKUNGAN</t>
  </si>
  <si>
    <t>Prangko Jambore Pramuka</t>
  </si>
  <si>
    <t>Prangko JIS Asean</t>
  </si>
  <si>
    <t>SHP Jambore Dunia</t>
  </si>
  <si>
    <t>DOKUMEN JAMBORE PRAMUKA DUNIA</t>
  </si>
  <si>
    <t>Jumlah dokumen 2015</t>
  </si>
  <si>
    <t>Jumlah dokumen SD 2015</t>
  </si>
  <si>
    <t>Prangko Pres dan Wapres</t>
  </si>
  <si>
    <t>Prangko DPR ke 70 thn</t>
  </si>
  <si>
    <t>SS Singapore</t>
  </si>
  <si>
    <t>SP Singapore</t>
  </si>
  <si>
    <t>SHP Pres dan Wapres</t>
  </si>
  <si>
    <t>SHP DPR 70 thn</t>
  </si>
  <si>
    <t>Kemasan JIS Asean</t>
  </si>
  <si>
    <t>DOKUMEN JIS ASEAN</t>
  </si>
  <si>
    <t>DOKUMEN SINGAPURA</t>
  </si>
  <si>
    <t>DOKUMEN PRES DAN WAPRES</t>
  </si>
  <si>
    <t>DOKUMEN DPR 70 TAHUN</t>
  </si>
  <si>
    <t>Prangko 70 thn PMI</t>
  </si>
  <si>
    <t>Dokumen 70 thn PMI</t>
  </si>
  <si>
    <t>SHP JIS Asean</t>
  </si>
  <si>
    <t>SHP PMI</t>
  </si>
  <si>
    <t>SHP Peduli Lingkungan 2012</t>
  </si>
  <si>
    <t>SP Laskar Pelangi</t>
  </si>
  <si>
    <t>Kemasan Koi</t>
  </si>
  <si>
    <t>Prangko Hapsak</t>
  </si>
  <si>
    <t>Prangko Industri Pertahanan</t>
  </si>
  <si>
    <t>SHP 50thn Hapsak</t>
  </si>
  <si>
    <t>SHP Kebangkitan Ind Pth</t>
  </si>
  <si>
    <t>Dokumen Hapsak</t>
  </si>
  <si>
    <t>Dokumen Kebangkitan Industri Pthnan</t>
  </si>
  <si>
    <t>Prangko Flora Fauna</t>
  </si>
  <si>
    <t>SP Panfila Sby</t>
  </si>
  <si>
    <t>TEDDY EKO PRIHAKSONO</t>
  </si>
  <si>
    <t>Nippos 964216401</t>
  </si>
  <si>
    <t>SRIYADI BASUKI</t>
  </si>
  <si>
    <t>Nippos 973351664</t>
  </si>
  <si>
    <t>MINISHEET</t>
  </si>
  <si>
    <t>Biaya Cetak</t>
  </si>
  <si>
    <t>9 = (2x8)</t>
  </si>
  <si>
    <t>8 = (6-7)</t>
  </si>
  <si>
    <t>6 = (4+5)</t>
  </si>
  <si>
    <t>10 = (3x8)</t>
  </si>
  <si>
    <t>Hemat Energi</t>
  </si>
  <si>
    <t>A. PRANGKO</t>
  </si>
  <si>
    <t>PRANGKO TAHUN 2003</t>
  </si>
  <si>
    <t>No</t>
  </si>
  <si>
    <t>Jumlah Tahun 2003</t>
  </si>
  <si>
    <t>PRANGKO TAHUN 2004</t>
  </si>
  <si>
    <t>Jumlah Tahun 2004</t>
  </si>
  <si>
    <t>PRANGKO TAHUN 2005</t>
  </si>
  <si>
    <t>Jumlah Tahun 2005</t>
  </si>
  <si>
    <t>PRANGKO TAHUN 2006</t>
  </si>
  <si>
    <t>Jumlah Tahun 2006</t>
  </si>
  <si>
    <t>PRANGKO TAHUN 2007</t>
  </si>
  <si>
    <t>Jumlah Tahun 2007</t>
  </si>
  <si>
    <t>PRANGKO TAHUN 2008</t>
  </si>
  <si>
    <t>PRANGKO TAHUN 2009</t>
  </si>
  <si>
    <t>Jumlah Tahun 2008</t>
  </si>
  <si>
    <t>Jumlah Tahun 2009</t>
  </si>
  <si>
    <t>PRANGKO TAHUN 2010</t>
  </si>
  <si>
    <t>PRANGKO TAHUN 2011</t>
  </si>
  <si>
    <t>Jumlah Tahun 2010</t>
  </si>
  <si>
    <t>Jumlah Tahun 2011</t>
  </si>
  <si>
    <t>PRANGKO TAHUN 2012</t>
  </si>
  <si>
    <t>Jumlah Tahun 2012</t>
  </si>
  <si>
    <t>PRANGKO TAHUN 2013</t>
  </si>
  <si>
    <t>PRKO TAHUN ULAR 2564</t>
  </si>
  <si>
    <t>PRKO JIS IND-MEXICO</t>
  </si>
  <si>
    <t>PRKO KIHAJAR DEWANTORO</t>
  </si>
  <si>
    <t>PRKO PEDULI LINGK</t>
  </si>
  <si>
    <t>PRKO. LEM. PURBAKALA</t>
  </si>
  <si>
    <t>PRKO PMI</t>
  </si>
  <si>
    <t>Jumlah Tahun 2013</t>
  </si>
  <si>
    <t>PRANGKO TAHUN 2014</t>
  </si>
  <si>
    <t xml:space="preserve">Jumlah Tahun 2014 </t>
  </si>
  <si>
    <t>PRANGKO TAHUN 2015</t>
  </si>
  <si>
    <t>Jumlah Tahun 2015</t>
  </si>
  <si>
    <t>TAHUN 2003 (SS)</t>
  </si>
  <si>
    <t>Jumlah SS Tahun 2003</t>
  </si>
  <si>
    <t>TAHUN 2003 (MS)</t>
  </si>
  <si>
    <t>Jumlah MS Tahun 2003</t>
  </si>
  <si>
    <t>SS Lingkungan Hidup</t>
  </si>
  <si>
    <t>TAHUN 2004</t>
  </si>
  <si>
    <t>Jumlah SS Tahun 2004</t>
  </si>
  <si>
    <t>TAHUN 2005</t>
  </si>
  <si>
    <t>Jumlah SS Tahun 2005</t>
  </si>
  <si>
    <t>TAHUN 2006</t>
  </si>
  <si>
    <t>Jumlah SS Tahun 2006</t>
  </si>
  <si>
    <t>TAHUN 2007</t>
  </si>
  <si>
    <t>Jumlah SS Tahun 2007</t>
  </si>
  <si>
    <t>Jumlah SS Tahun 2008</t>
  </si>
  <si>
    <t>TAHUN 2008</t>
  </si>
  <si>
    <t>TAHUN 2010</t>
  </si>
  <si>
    <t>Jumlah SS Tahun 2010</t>
  </si>
  <si>
    <t>TAHUN 2011</t>
  </si>
  <si>
    <t>Jumlah SS Tahun 2011</t>
  </si>
  <si>
    <t>Uralian</t>
  </si>
  <si>
    <t>TAHUN 2009</t>
  </si>
  <si>
    <t>TAHUN 2012</t>
  </si>
  <si>
    <t>TAHUN 2013</t>
  </si>
  <si>
    <t>TAHUN 2014</t>
  </si>
  <si>
    <t>TAHUN 2015</t>
  </si>
  <si>
    <t xml:space="preserve">TAHUN 2003 </t>
  </si>
  <si>
    <t xml:space="preserve">TAHUN 2015 </t>
  </si>
  <si>
    <t xml:space="preserve">B.  MINI SHEET (MS) DAN SOUVENIR SHEET (SS)  </t>
  </si>
  <si>
    <t>D. KEMASAN</t>
  </si>
  <si>
    <t>Jumlah  s.d Tahun 2005</t>
  </si>
  <si>
    <t>Jumlah Tahun 2014</t>
  </si>
  <si>
    <t>E. MERCHANDISE</t>
  </si>
  <si>
    <t xml:space="preserve">Jumlah s.d Tahun 2009 </t>
  </si>
  <si>
    <t>F. PRISMA</t>
  </si>
  <si>
    <t>Jumlah s.d Tahun 2005</t>
  </si>
  <si>
    <t>Jumlah  Tahun 2006 s/d 2009 :</t>
  </si>
  <si>
    <t xml:space="preserve">Jumlah  Tahun 2009 </t>
  </si>
  <si>
    <t>Jumlah Tahun 2010 dan 2013</t>
  </si>
  <si>
    <t xml:space="preserve">TOTAL PRISMA </t>
  </si>
  <si>
    <t>G. DOKUMEN FILATELI</t>
  </si>
  <si>
    <t>PRANGKO TAHUN 2016</t>
  </si>
  <si>
    <t>Jumlah Tahun 2016</t>
  </si>
  <si>
    <t>SS Cerita Rakyat 04</t>
  </si>
  <si>
    <t>Cerita Rakyat 06</t>
  </si>
  <si>
    <t>SS Penangulangan Bencana</t>
  </si>
  <si>
    <t>SS Panfila sb</t>
  </si>
  <si>
    <t>MS Kambing Special Edisi</t>
  </si>
  <si>
    <t>TAHUN 2016</t>
  </si>
  <si>
    <t>Stamppack Tata Surya 01</t>
  </si>
  <si>
    <t>Album Detik2 Proklamasi BH 02</t>
  </si>
  <si>
    <t>Kmsn Tematik Reformasi 01</t>
  </si>
  <si>
    <t>Kmsn Khusus Shio Naga 12</t>
  </si>
  <si>
    <t>kmsn Edisi Khusus Kain 12</t>
  </si>
  <si>
    <t>Buku Kmsn Perangko 2011</t>
  </si>
  <si>
    <t>SHP Prko Astronomi</t>
  </si>
  <si>
    <t>SHP Prko WOC</t>
  </si>
  <si>
    <t>SHP SHIO ULAR</t>
  </si>
  <si>
    <t>SHP SS SHIO ULAR</t>
  </si>
  <si>
    <t>SHP RATU BOKO</t>
  </si>
  <si>
    <t>SP INDONESIA FASHION WEEK</t>
  </si>
  <si>
    <t>SP DAHLAN ISKAN</t>
  </si>
  <si>
    <t>SHP ALAT MUSIK TRAD</t>
  </si>
  <si>
    <t>SHP JIS INA-MEXICO</t>
  </si>
  <si>
    <t>SHP PEDULI LINGK</t>
  </si>
  <si>
    <t>SHP PURBAKALA</t>
  </si>
  <si>
    <t>SHP IND-AUSTRALIA</t>
  </si>
  <si>
    <t>SHP KIHAJAR DEWANTORO</t>
  </si>
  <si>
    <t>SHP IRIAN BARAT</t>
  </si>
  <si>
    <t>SHP PMI (HANRY DUNANT)</t>
  </si>
  <si>
    <t>SHP INA-KOREA</t>
  </si>
  <si>
    <t>SHP Penanggulangan Bencana</t>
  </si>
  <si>
    <t>SS TAHUN ULAR 2564</t>
  </si>
  <si>
    <t>MS TAHUN ULAR 2564</t>
  </si>
  <si>
    <t>SS AUSTRALIA</t>
  </si>
  <si>
    <t>SS PEDULI LINGK</t>
  </si>
  <si>
    <t>SS LEM. PURBAKALA</t>
  </si>
  <si>
    <t>SS THAILAND</t>
  </si>
  <si>
    <t>Kmsn Prko Kehidupan Bawah Laut</t>
  </si>
  <si>
    <t xml:space="preserve">Kmsn Khusus Shio Kelinci </t>
  </si>
  <si>
    <t>Jumlah dokumen 2016</t>
  </si>
  <si>
    <r>
      <t xml:space="preserve">- Seri Selebrasi  2009 </t>
    </r>
    <r>
      <rPr>
        <i/>
        <sz val="11"/>
        <rFont val="Calibri"/>
        <family val="2"/>
        <scheme val="minor"/>
      </rPr>
      <t>ulang tahun</t>
    </r>
  </si>
  <si>
    <r>
      <t>Kmsn th 2001</t>
    </r>
    <r>
      <rPr>
        <i/>
        <sz val="11"/>
        <rFont val="Calibri"/>
        <family val="2"/>
        <scheme val="minor"/>
      </rPr>
      <t xml:space="preserve"> ind stamp</t>
    </r>
  </si>
  <si>
    <r>
      <t>Kmsn Khusus Batik #3</t>
    </r>
    <r>
      <rPr>
        <i/>
        <sz val="10"/>
        <rFont val="Calibri"/>
        <family val="2"/>
        <scheme val="minor"/>
      </rPr>
      <t xml:space="preserve"> sb</t>
    </r>
  </si>
  <si>
    <r>
      <t>SP KOPERASI 07</t>
    </r>
    <r>
      <rPr>
        <i/>
        <sz val="11"/>
        <color theme="1"/>
        <rFont val="Calibri"/>
        <family val="2"/>
        <scheme val="minor"/>
      </rPr>
      <t xml:space="preserve"> nusantara</t>
    </r>
  </si>
  <si>
    <t>Indonesia-Slowakia 06</t>
  </si>
  <si>
    <r>
      <t xml:space="preserve">12 Lambang Shio </t>
    </r>
    <r>
      <rPr>
        <i/>
        <sz val="11"/>
        <rFont val="Calibri"/>
        <family val="2"/>
        <scheme val="minor"/>
      </rPr>
      <t>ss</t>
    </r>
  </si>
  <si>
    <t>Shio Macan MS</t>
  </si>
  <si>
    <t>SS KAIN TRAD bali</t>
  </si>
  <si>
    <t>SS Flora Fauna (2)</t>
  </si>
  <si>
    <t>Kain Trad Indonesia bali keping</t>
  </si>
  <si>
    <t>PRKO RATU BOKO (keping)</t>
  </si>
  <si>
    <t>PRKO 50 th IRIAN BARAT (keping</t>
  </si>
  <si>
    <t>pemeriksaan pa kemal akhir desember jmlnya 10 (11-1-15)</t>
  </si>
  <si>
    <t>Fp Disper Prangko &amp; Filateli</t>
  </si>
  <si>
    <t>Daerah Tujuan Wisata (4)</t>
  </si>
  <si>
    <t>Tahun Monyet (3)</t>
  </si>
  <si>
    <t xml:space="preserve">SS Daerah Tujuan Wisata </t>
  </si>
  <si>
    <t xml:space="preserve">Shp Daerah Tujuan Wisata </t>
  </si>
  <si>
    <t>Daerah Tujuan Wisata</t>
  </si>
  <si>
    <t>UTK SALDO AWAL Copy value</t>
  </si>
  <si>
    <t>SS Tahun Monyet</t>
  </si>
  <si>
    <t>MS Tahun Monyet</t>
  </si>
  <si>
    <t>KTP Thn Monyet</t>
  </si>
  <si>
    <t>KTP Doraemon</t>
  </si>
  <si>
    <t>Shp Prko Thn Monyet</t>
  </si>
  <si>
    <t>Shp SS Thn Monyet</t>
  </si>
  <si>
    <t>Gerhana Matahari Total (3)</t>
  </si>
  <si>
    <t>SS Gerhana Matahari Total</t>
  </si>
  <si>
    <r>
      <t xml:space="preserve">SHP </t>
    </r>
    <r>
      <rPr>
        <sz val="8"/>
        <color theme="1"/>
        <rFont val="Calibri"/>
        <family val="2"/>
        <scheme val="minor"/>
      </rPr>
      <t>Gerhana Matahari Total</t>
    </r>
  </si>
  <si>
    <t>Kmsn edsus Thn Monyet</t>
  </si>
  <si>
    <t>Kemasan DTW</t>
  </si>
  <si>
    <t>Kmsn Gerhana M T</t>
  </si>
  <si>
    <t xml:space="preserve">SP Bkkbn </t>
  </si>
  <si>
    <t>Kmsn Komodo Exercise</t>
  </si>
  <si>
    <t>KTP GMT + Prangko</t>
  </si>
  <si>
    <t>KTP GMT tanpa prko</t>
  </si>
  <si>
    <t>KTP GMT KOIN</t>
  </si>
  <si>
    <t>Kmsn Thn Monyet</t>
  </si>
  <si>
    <t>Tahun Monyet</t>
  </si>
  <si>
    <t>Gerhana Matahari Total</t>
  </si>
  <si>
    <t>SS GMT Total + KACAMATA</t>
  </si>
  <si>
    <t>SP Palembang</t>
  </si>
  <si>
    <t>SP Bangka Tengah</t>
  </si>
  <si>
    <t>MS JIS Ina-Thailand</t>
  </si>
  <si>
    <t>SS JIS Ina-Thailand</t>
  </si>
  <si>
    <t>ms imperf thn monyet</t>
  </si>
  <si>
    <t>folder 70 thn pendidikan tekhnik ugm 2016</t>
  </si>
  <si>
    <t>sp 70 thn pendidikan tekhnik ugm 2016</t>
  </si>
  <si>
    <t>SHP GMT Tanpa Prko</t>
  </si>
  <si>
    <t>SHP Jis Ina-Thailan</t>
  </si>
  <si>
    <t xml:space="preserve">Kmsn KTP Doraemon </t>
  </si>
  <si>
    <t>Kmsn prisma kucing</t>
  </si>
  <si>
    <t>Kmsn KTP Kucing</t>
  </si>
  <si>
    <t>PRISMA BINGKAI BENDERA POLOS</t>
  </si>
  <si>
    <t>SHP Jis Ina-Thailan tanpa prko</t>
  </si>
  <si>
    <t>kmsn prisma Doraemon</t>
  </si>
  <si>
    <t>JIS Ina - Thailand</t>
  </si>
  <si>
    <t>dokfil</t>
  </si>
  <si>
    <t>Kmsn Jis Ina Thailand</t>
  </si>
  <si>
    <t>KTP Doraemon Tanpa Prko</t>
  </si>
  <si>
    <t>kartu lebaran 2016</t>
  </si>
  <si>
    <t>Prko Flora Fauna (hiu)</t>
  </si>
  <si>
    <t>bulan juni kemasan di ambil oleh produksi adnan , sis, heri</t>
  </si>
  <si>
    <t>JUNI</t>
  </si>
  <si>
    <t>SP peduli linkungan 2016</t>
  </si>
  <si>
    <t>kmsn PMR Jumbara</t>
  </si>
  <si>
    <t>value</t>
  </si>
  <si>
    <t>MS Pon XIX</t>
  </si>
  <si>
    <t>SS Pon XIX</t>
  </si>
  <si>
    <t>SHP Pon XIX</t>
  </si>
  <si>
    <t>KTP Pon XIX</t>
  </si>
  <si>
    <t xml:space="preserve">Rempah rempah </t>
  </si>
  <si>
    <t>SHP Rempah rempah</t>
  </si>
  <si>
    <t>KTP Rempah rempah</t>
  </si>
  <si>
    <t>SS Satelit Indonesia</t>
  </si>
  <si>
    <t>SHP Satelit Indonesia</t>
  </si>
  <si>
    <t>Prisma Ulang Tahun 2003 f10</t>
  </si>
  <si>
    <t>OK</t>
  </si>
  <si>
    <t>OK 750</t>
  </si>
  <si>
    <t>OK 500</t>
  </si>
  <si>
    <t>OK 75</t>
  </si>
  <si>
    <t>OK 447</t>
  </si>
  <si>
    <t>OK 250</t>
  </si>
  <si>
    <t>OK 700</t>
  </si>
  <si>
    <t>OK 200</t>
  </si>
  <si>
    <t>OK 180</t>
  </si>
  <si>
    <t>OK 296</t>
  </si>
  <si>
    <t>OK 800</t>
  </si>
  <si>
    <t>ok 156.800</t>
  </si>
  <si>
    <t>alokasi tadinya 1950 dikurang 50 slo</t>
  </si>
  <si>
    <t>ok 610</t>
  </si>
  <si>
    <t>ok 594</t>
  </si>
  <si>
    <t>ok 600</t>
  </si>
  <si>
    <t>,</t>
  </si>
  <si>
    <t>kmsn edsus #5 jelang bd 2017</t>
  </si>
  <si>
    <t>SP Peduli Linkungan 2016</t>
  </si>
  <si>
    <t>SP Jamnas 2016</t>
  </si>
  <si>
    <t>SP 270th POS Indonesia</t>
  </si>
  <si>
    <t>SP 2016th Kota Bandung</t>
  </si>
  <si>
    <t>SS Philataipei</t>
  </si>
  <si>
    <t>SP Philathaipei</t>
  </si>
  <si>
    <t>78,926 dialihkan menjadi def</t>
  </si>
  <si>
    <t>FULLSHEET KAIN TRAD (jkt)</t>
  </si>
  <si>
    <t>Kmsn Prko 2013 (dokfil)</t>
  </si>
  <si>
    <t>SS Kain Trad. Reguler #7 jkt</t>
  </si>
  <si>
    <t>SS Kain Batik Tradisional (ms sb)</t>
  </si>
  <si>
    <t>MS Kain Tradisional bali</t>
  </si>
  <si>
    <t>MS KAN TRAD #7 jkt</t>
  </si>
  <si>
    <t>SHP Kain Tradisional 8x200</t>
  </si>
  <si>
    <t>Ss flora fauna 2016</t>
  </si>
  <si>
    <t>SHP Flora Fauna 2016</t>
  </si>
  <si>
    <t>KTP Flora fauna 2016</t>
  </si>
  <si>
    <t>340 def</t>
  </si>
  <si>
    <t>139,720 jd def</t>
  </si>
  <si>
    <t>50 kr depok permintaan kp dp info p sis</t>
  </si>
  <si>
    <t>pengalihan menjadi def 1000x 2 = 2,000 kpg</t>
  </si>
  <si>
    <t>pengalihan menjadi definitif 15,000</t>
  </si>
  <si>
    <t>Prangko Penanggulangan Bencana</t>
  </si>
  <si>
    <t>SS Panfila Yogyakarta</t>
  </si>
  <si>
    <t>KTP bergambar 2013</t>
  </si>
  <si>
    <t>ms imperf Bandung Thailand  night</t>
  </si>
  <si>
    <t>SS JIS Ina-Thailand (CT) 2016</t>
  </si>
  <si>
    <t>kmsn 70 th DPR RI</t>
  </si>
  <si>
    <t>Kmsn Putri gading cempaka 2003</t>
  </si>
  <si>
    <t>Kmsn proklamator kemerdekaan 02</t>
  </si>
  <si>
    <t>Kemasan BK + Rakyat</t>
  </si>
  <si>
    <t>Kemasan BK + arsitektur</t>
  </si>
  <si>
    <t>Album 1 Abad B K + Coin</t>
  </si>
  <si>
    <t>Hiasan Magnet-Gunungan</t>
  </si>
  <si>
    <t>GANTUNGAN KUNCI</t>
  </si>
  <si>
    <t>GANTUNGAN KUNCI METAL</t>
  </si>
  <si>
    <t>Replika Bis Surat</t>
  </si>
  <si>
    <t>DOMPET MODEL SURAT</t>
  </si>
  <si>
    <t>NOV</t>
  </si>
  <si>
    <t>OKT</t>
  </si>
  <si>
    <t>Buku 150Th Prko Ind</t>
  </si>
  <si>
    <t>des okt 2 ke konsfilaut souvenir</t>
  </si>
  <si>
    <t>Satelit Indonesia (rp4000x6)</t>
  </si>
  <si>
    <t>SP Panfila YK tanpa prko</t>
  </si>
  <si>
    <t>des</t>
  </si>
  <si>
    <t>Kaos Satelit Indonesia</t>
  </si>
  <si>
    <t>Petugas Pemeriksa</t>
  </si>
  <si>
    <t>Nippos</t>
  </si>
  <si>
    <t>produksi 1 bln des transaksi bln agust</t>
  </si>
  <si>
    <t>des pengalihan</t>
  </si>
  <si>
    <t xml:space="preserve">des prd 20 </t>
  </si>
  <si>
    <t>PRANGKO TAHUN 2017</t>
  </si>
  <si>
    <t>Jumlah Tahun 2017</t>
  </si>
  <si>
    <t>TAHUN 2017</t>
  </si>
  <si>
    <t>Jumlah s.d Tahun 2017</t>
  </si>
  <si>
    <t>Jumlah SHP 2003 sd 2017</t>
  </si>
  <si>
    <t>Jumlah Total Ms dan SS s.d 2017</t>
  </si>
  <si>
    <t>JUMLAH  Th. 2003 S.D. 2017</t>
  </si>
  <si>
    <t>JD DEF a8.000</t>
  </si>
  <si>
    <t>SS FLORA FAUNA (kuskus)</t>
  </si>
  <si>
    <t>Shio Ayam (rp3.000x3kpg)</t>
  </si>
  <si>
    <t>MS Shio Ayam</t>
  </si>
  <si>
    <t>SS Shio Ayam</t>
  </si>
  <si>
    <t>SHP Prko Shio Ayam</t>
  </si>
  <si>
    <t>SHP SS Shio Ayam</t>
  </si>
  <si>
    <t>KTP Shio Ayam</t>
  </si>
  <si>
    <t>jd def jan 17 = 1200</t>
  </si>
  <si>
    <t>jan jadi def 1.260</t>
  </si>
  <si>
    <t>KTP DTW</t>
  </si>
  <si>
    <t>jan 17 jadi def 18.200</t>
  </si>
  <si>
    <t>jan 17 jadi def 11.600</t>
  </si>
  <si>
    <t>jadi def jan 2017 3.400</t>
  </si>
  <si>
    <t>jadi def jan 2017 1.000</t>
  </si>
  <si>
    <t>jan 2017 jadi def 3.200</t>
  </si>
  <si>
    <t>jan 17 jadi def 14.000 kpg / 3500 set</t>
  </si>
  <si>
    <t>jan 17 jadi def 18.000 kpg / 6000 set</t>
  </si>
  <si>
    <t>jan 17 jd def 3485</t>
  </si>
  <si>
    <t>jan 17 jd def 475</t>
  </si>
  <si>
    <t>jan 2017 jd def jan 400</t>
  </si>
  <si>
    <t>jan 2017 jd def 1200 kpg :2 (600 lbr ss x 2 kpg)</t>
  </si>
  <si>
    <t>jan 2017 jd def 6000 kpg : 4 (1.500 lbr)</t>
  </si>
  <si>
    <t>jan 17 jd def 3000 + 2794 lbr</t>
  </si>
  <si>
    <t>jan 17 jd def 3000 + 9000 + 9000 lbr</t>
  </si>
  <si>
    <t>MSDaerah Tujuan Wisata</t>
  </si>
  <si>
    <t>SS Daerah Tujuan Wisata</t>
  </si>
  <si>
    <t>SHP Daerah Tujuan Wisata</t>
  </si>
  <si>
    <t>feb'17 9,000 jd def</t>
  </si>
  <si>
    <t>feb'17 18,800 jd def</t>
  </si>
  <si>
    <t>feb 2,000</t>
  </si>
  <si>
    <t>feb'17 2,496 def</t>
  </si>
  <si>
    <t>jd def feb'17  860 = 2,580</t>
  </si>
  <si>
    <t>feb'17 jd def 100 set = 1,100 kpg</t>
  </si>
  <si>
    <t>feb'17 jd def 610 set = 1,220 kpg</t>
  </si>
  <si>
    <t>jd def feb'17  625 = 2,500</t>
  </si>
  <si>
    <t>jan 17 jadi def 2.000 kpg / 1,000 set</t>
  </si>
  <si>
    <t>jan 17 jadi def 600 kpg / 1,200 set</t>
  </si>
  <si>
    <t>jan 17 jadi def 2,160 kpg / 1,080 set</t>
  </si>
  <si>
    <t>feb'17 jd def 1,188 set = 594 kpg</t>
  </si>
  <si>
    <t>jd def feb'17  3,050 set = 12,200 kpg</t>
  </si>
  <si>
    <t>Ms flora fauna 2016 (kupu kupu)</t>
  </si>
  <si>
    <t>jan17 4.432 set = 2.216 rp 3.000 def</t>
  </si>
  <si>
    <t>prod</t>
  </si>
  <si>
    <t xml:space="preserve">prod </t>
  </si>
  <si>
    <t>feb 5,200+12400+1700+6300</t>
  </si>
  <si>
    <t>mar 1.300</t>
  </si>
  <si>
    <t>KTP Floating Market</t>
  </si>
  <si>
    <t>021 29348400</t>
  </si>
  <si>
    <t>kmsn #5 shio ayam 2017</t>
  </si>
  <si>
    <t>cek</t>
  </si>
  <si>
    <t>MS Shio Ayam CT</t>
  </si>
  <si>
    <t>ms kebebasan pers 2017</t>
  </si>
  <si>
    <t>shp kebebasan pers 2017</t>
  </si>
  <si>
    <t>Kebebasan pers 2017 (2 kpg)</t>
  </si>
  <si>
    <t>200 thn Pattimura</t>
  </si>
  <si>
    <t>shp 200 thn pattimura</t>
  </si>
  <si>
    <t>SS dua abad kebon raya bogor</t>
  </si>
  <si>
    <t>MS dua abad kebon raya bogor</t>
  </si>
  <si>
    <t>SHP dua abad KRB</t>
  </si>
  <si>
    <t>2mei cto</t>
  </si>
  <si>
    <t>PRISMA POLOS (4 KEPING)</t>
  </si>
  <si>
    <t>PRISMA POLOS (6 KEPING)</t>
  </si>
  <si>
    <t>2600</t>
  </si>
  <si>
    <t>cocok 31 mei</t>
  </si>
  <si>
    <t>mei 2017</t>
  </si>
  <si>
    <t>Bandung, 31 Juni 2017</t>
  </si>
  <si>
    <t>jun def</t>
  </si>
  <si>
    <t xml:space="preserve">jun def </t>
  </si>
  <si>
    <t>40 x3 = 120 kpg</t>
  </si>
  <si>
    <t>jun def 50 x 6 = 300 kpg</t>
  </si>
  <si>
    <t>100th lion club (2 kpg)</t>
  </si>
  <si>
    <t>kiffa 3.000</t>
  </si>
  <si>
    <t>SHP 100th Lion Club</t>
  </si>
  <si>
    <t>KTP Kebun Raya Bogor</t>
  </si>
  <si>
    <r>
      <t xml:space="preserve">MS Daerah Tujuan Wisata </t>
    </r>
    <r>
      <rPr>
        <b/>
        <sz val="11"/>
        <color theme="1"/>
        <rFont val="Calibri"/>
        <family val="2"/>
        <scheme val="minor"/>
      </rPr>
      <t>CT</t>
    </r>
  </si>
  <si>
    <t>Peduli Lingkungan (2 kpg)</t>
  </si>
  <si>
    <t>SHP SS peduli lingkungan</t>
  </si>
  <si>
    <t>SHP Prko peduli lingkungan</t>
  </si>
  <si>
    <t>kiffa 3000</t>
  </si>
  <si>
    <t>jun cocok 35.230</t>
  </si>
  <si>
    <t>juni cocok 73.060</t>
  </si>
  <si>
    <t>jun cocok 500</t>
  </si>
  <si>
    <t>jun cocok 1.100</t>
  </si>
  <si>
    <t>juni cocok 450</t>
  </si>
  <si>
    <t>juni cocok 800</t>
  </si>
  <si>
    <t>juni cocok 290</t>
  </si>
  <si>
    <t>juni cocok 50</t>
  </si>
  <si>
    <t>juni cocok 570</t>
  </si>
  <si>
    <t>barang ada 290</t>
  </si>
  <si>
    <t>repacking</t>
  </si>
  <si>
    <t>pameran</t>
  </si>
  <si>
    <t>cocok 1 juli 17</t>
  </si>
  <si>
    <t>cocok 1 juli  17</t>
  </si>
  <si>
    <t>cocok 600 1juli</t>
  </si>
  <si>
    <t>coco 1 juli 17, 625</t>
  </si>
  <si>
    <t>coco 1 juli 17, 800</t>
  </si>
  <si>
    <t>90 cocok 1 juli 17</t>
  </si>
  <si>
    <t>453 cocok 1 juli</t>
  </si>
  <si>
    <t>21 499 repackung</t>
  </si>
  <si>
    <t>2896 cocok 1 juli 17</t>
  </si>
  <si>
    <t>32 cocok 1 juli 17</t>
  </si>
  <si>
    <t>200 cocok 1 juli 17</t>
  </si>
  <si>
    <t>470 coco 1 juli 17</t>
  </si>
  <si>
    <t>1000 cocok 1juli 17</t>
  </si>
  <si>
    <t>200 cocok 1 juli 2017</t>
  </si>
  <si>
    <t>400 cocok 1 juli 17</t>
  </si>
  <si>
    <t>798 cocok 1 juni 17</t>
  </si>
  <si>
    <t>300 cocok 1 juli 17</t>
  </si>
  <si>
    <t>19.999 cocok 1juli</t>
  </si>
  <si>
    <t>cocok 27.999 I juli</t>
  </si>
  <si>
    <t>1000 cocok 1 juli 17</t>
  </si>
  <si>
    <t>195 cocok 1 juli 17</t>
  </si>
  <si>
    <t>cocok 300 1 juli</t>
  </si>
  <si>
    <t>cocok 6.600 lembar 1 juli 17</t>
  </si>
  <si>
    <t>1o.798 cocok 1 juli 17</t>
  </si>
  <si>
    <t>2700 cocok 1 juli 17</t>
  </si>
  <si>
    <t>SS Presiden dan Wapres (set x 2)</t>
  </si>
  <si>
    <t>4399 cocok 1juli 17</t>
  </si>
  <si>
    <t>2880 cocok 1 juli 17</t>
  </si>
  <si>
    <t>9000 cocok 2017</t>
  </si>
  <si>
    <t>241 cocok 1 juli 17</t>
  </si>
  <si>
    <t>800 cocok 1 juli</t>
  </si>
  <si>
    <t>12o cocok 1 juli 17</t>
  </si>
  <si>
    <t>84 cocok 1juli</t>
  </si>
  <si>
    <t>juli  cocok 273.800</t>
  </si>
  <si>
    <t>juli cocok 209.000</t>
  </si>
  <si>
    <t>juli cocok 8.200</t>
  </si>
  <si>
    <r>
      <t xml:space="preserve">Juni </t>
    </r>
    <r>
      <rPr>
        <b/>
        <sz val="11"/>
        <rFont val="Arial"/>
        <family val="2"/>
      </rPr>
      <t>2017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</si>
</sst>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_);_(* \(#,##0\);_(* &quot;-&quot;_);_(@_)"/>
    <numFmt numFmtId="165" formatCode="_(* #,##0.00_);_(* \(#,##0.00\);_(* &quot;-&quot;??_);_(@_)"/>
    <numFmt numFmtId="166" formatCode="_(* #,##0_);_(* \(#,##0\);_(* &quot;-&quot;??_);_(@_)"/>
    <numFmt numFmtId="167" formatCode="_(* #,##0.00_);_(* \(#,##0.00\);_(* &quot;-&quot;_);_(@_)"/>
    <numFmt numFmtId="168" formatCode="_(* #,##0.0_);_(* \(#,##0.0\);_(* &quot;-&quot;??_);_(@_)"/>
    <numFmt numFmtId="169" formatCode="0.0"/>
    <numFmt numFmtId="170" formatCode="* #,##0.00\ ;* \(#,##0.00\);* \-#\ ;@\ "/>
    <numFmt numFmtId="171" formatCode="_(* #,##0.00_);_(* \(#,##0.00\);_(* \-_);_(@_)"/>
    <numFmt numFmtId="172" formatCode="* #,##0.00\ ;* \(#,##0.00\);* &quot;- &quot;;@\ "/>
  </numFmts>
  <fonts count="33" x14ac:knownFonts="1">
    <font>
      <sz val="11"/>
      <color theme="1"/>
      <name val="Calibri"/>
      <family val="2"/>
      <scheme val="minor"/>
    </font>
    <font>
      <sz val="11"/>
      <color theme="1"/>
      <name val="Calibri"/>
      <family val="2"/>
      <scheme val="minor"/>
    </font>
    <font>
      <sz val="9"/>
      <name val="Arial"/>
      <family val="2"/>
    </font>
    <font>
      <sz val="10"/>
      <name val="Arial"/>
      <family val="2"/>
    </font>
    <font>
      <b/>
      <sz val="10"/>
      <name val="Arial"/>
      <family val="2"/>
    </font>
    <font>
      <b/>
      <sz val="12"/>
      <name val="Arial"/>
      <family val="2"/>
    </font>
    <font>
      <b/>
      <sz val="11"/>
      <color theme="1"/>
      <name val="Calibri"/>
      <family val="2"/>
      <scheme val="minor"/>
    </font>
    <font>
      <sz val="9"/>
      <color theme="1"/>
      <name val="Calibri"/>
      <family val="2"/>
      <scheme val="minor"/>
    </font>
    <font>
      <b/>
      <sz val="11"/>
      <name val="Arial"/>
      <family val="2"/>
    </font>
    <font>
      <sz val="11"/>
      <color rgb="FFFF0000"/>
      <name val="Calibri"/>
      <family val="2"/>
      <scheme val="minor"/>
    </font>
    <font>
      <sz val="11"/>
      <name val="Calibri"/>
      <family val="2"/>
      <scheme val="minor"/>
    </font>
    <font>
      <b/>
      <sz val="11"/>
      <name val="Calibri"/>
      <family val="2"/>
      <scheme val="minor"/>
    </font>
    <font>
      <sz val="9"/>
      <color indexed="81"/>
      <name val="Tahoma"/>
      <family val="2"/>
    </font>
    <font>
      <b/>
      <sz val="8"/>
      <color indexed="81"/>
      <name val="Tahoma"/>
      <family val="2"/>
    </font>
    <font>
      <b/>
      <sz val="9"/>
      <color indexed="81"/>
      <name val="Tahoma"/>
      <family val="2"/>
    </font>
    <font>
      <sz val="10"/>
      <name val="Calibri"/>
      <family val="2"/>
      <scheme val="minor"/>
    </font>
    <font>
      <sz val="8"/>
      <name val="Calibri"/>
      <family val="2"/>
      <scheme val="minor"/>
    </font>
    <font>
      <sz val="10"/>
      <color theme="1"/>
      <name val="Calibri"/>
      <family val="2"/>
      <scheme val="minor"/>
    </font>
    <font>
      <sz val="8"/>
      <color theme="1"/>
      <name val="Calibri"/>
      <family val="2"/>
      <scheme val="minor"/>
    </font>
    <font>
      <sz val="9"/>
      <name val="Calibri"/>
      <family val="2"/>
      <scheme val="minor"/>
    </font>
    <font>
      <i/>
      <sz val="11"/>
      <name val="Calibri"/>
      <family val="2"/>
      <scheme val="minor"/>
    </font>
    <font>
      <i/>
      <sz val="10"/>
      <name val="Calibri"/>
      <family val="2"/>
      <scheme val="minor"/>
    </font>
    <font>
      <i/>
      <sz val="11"/>
      <color theme="1"/>
      <name val="Calibri"/>
      <family val="2"/>
      <scheme val="minor"/>
    </font>
    <font>
      <sz val="11"/>
      <color rgb="FF0000FF"/>
      <name val="Calibri"/>
      <family val="2"/>
      <scheme val="minor"/>
    </font>
    <font>
      <sz val="11"/>
      <color rgb="FF0033CC"/>
      <name val="Calibri"/>
      <family val="2"/>
      <scheme val="minor"/>
    </font>
    <font>
      <sz val="11"/>
      <color rgb="FFCC0099"/>
      <name val="Calibri"/>
      <family val="2"/>
      <scheme val="minor"/>
    </font>
    <font>
      <sz val="11"/>
      <color rgb="FF00B0F0"/>
      <name val="Calibri"/>
      <family val="2"/>
      <scheme val="minor"/>
    </font>
    <font>
      <b/>
      <sz val="10"/>
      <color theme="1"/>
      <name val="Calibri"/>
      <family val="2"/>
      <scheme val="minor"/>
    </font>
    <font>
      <sz val="11"/>
      <color rgb="FF0070C0"/>
      <name val="Calibri"/>
      <family val="2"/>
      <scheme val="minor"/>
    </font>
    <font>
      <b/>
      <sz val="11"/>
      <color rgb="FFFF0000"/>
      <name val="Arial"/>
      <family val="2"/>
    </font>
    <font>
      <sz val="11"/>
      <color rgb="FFD60093"/>
      <name val="Calibri"/>
      <family val="2"/>
      <scheme val="minor"/>
    </font>
    <font>
      <b/>
      <sz val="9"/>
      <color theme="1"/>
      <name val="Calibri"/>
      <family val="2"/>
      <scheme val="minor"/>
    </font>
    <font>
      <b/>
      <sz val="9"/>
      <color indexed="81"/>
      <name val="Tahoma"/>
      <charset val="1"/>
    </font>
  </fonts>
  <fills count="8">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indexed="22"/>
        <bgColor indexed="64"/>
      </patternFill>
    </fill>
    <fill>
      <patternFill patternType="solid">
        <fgColor rgb="FFFFFF00"/>
        <bgColor indexed="64"/>
      </patternFill>
    </fill>
    <fill>
      <patternFill patternType="solid">
        <fgColor rgb="FFFF0000"/>
        <bgColor indexed="64"/>
      </patternFill>
    </fill>
    <fill>
      <patternFill patternType="solid">
        <fgColor rgb="FF00CC00"/>
        <bgColor indexed="64"/>
      </patternFill>
    </fill>
  </fills>
  <borders count="48">
    <border>
      <left/>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thin">
        <color indexed="64"/>
      </left>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hair">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medium">
        <color indexed="64"/>
      </bottom>
      <diagonal/>
    </border>
    <border>
      <left style="medium">
        <color indexed="64"/>
      </left>
      <right style="medium">
        <color indexed="64"/>
      </right>
      <top/>
      <bottom/>
      <diagonal/>
    </border>
    <border>
      <left style="thin">
        <color indexed="64"/>
      </left>
      <right style="hair">
        <color indexed="64"/>
      </right>
      <top style="hair">
        <color indexed="64"/>
      </top>
      <bottom style="hair">
        <color indexed="64"/>
      </bottom>
      <diagonal/>
    </border>
    <border>
      <left/>
      <right/>
      <top/>
      <bottom style="thin">
        <color indexed="64"/>
      </bottom>
      <diagonal/>
    </border>
    <border>
      <left style="hair">
        <color auto="1"/>
      </left>
      <right style="hair">
        <color auto="1"/>
      </right>
      <top style="hair">
        <color auto="1"/>
      </top>
      <bottom style="hair">
        <color auto="1"/>
      </bottom>
      <diagonal/>
    </border>
    <border>
      <left style="thin">
        <color indexed="54"/>
      </left>
      <right style="thin">
        <color indexed="54"/>
      </right>
      <top style="hair">
        <color indexed="54"/>
      </top>
      <bottom style="hair">
        <color indexed="54"/>
      </bottom>
      <diagonal/>
    </border>
    <border>
      <left style="thin">
        <color indexed="54"/>
      </left>
      <right/>
      <top style="hair">
        <color indexed="54"/>
      </top>
      <bottom/>
      <diagonal/>
    </border>
    <border>
      <left/>
      <right/>
      <top style="hair">
        <color indexed="64"/>
      </top>
      <bottom style="hair">
        <color indexed="64"/>
      </bottom>
      <diagonal/>
    </border>
    <border>
      <left/>
      <right/>
      <top style="hair">
        <color indexed="64"/>
      </top>
      <bottom/>
      <diagonal/>
    </border>
    <border>
      <left/>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diagonal/>
    </border>
  </borders>
  <cellStyleXfs count="7">
    <xf numFmtId="0" fontId="0" fillId="0" borderId="0"/>
    <xf numFmtId="165" fontId="1" fillId="0" borderId="0" applyFont="0" applyFill="0" applyBorder="0" applyAlignment="0" applyProtection="0"/>
    <xf numFmtId="164" fontId="1" fillId="0" borderId="0" applyFont="0" applyFill="0" applyBorder="0" applyAlignment="0" applyProtection="0"/>
    <xf numFmtId="0" fontId="3" fillId="0" borderId="0"/>
    <xf numFmtId="164" fontId="3" fillId="0" borderId="0" applyFont="0" applyFill="0" applyBorder="0" applyAlignment="0" applyProtection="0"/>
    <xf numFmtId="0" fontId="3" fillId="0" borderId="0" applyFill="0" applyBorder="0" applyAlignment="0" applyProtection="0"/>
    <xf numFmtId="0" fontId="1" fillId="0" borderId="0"/>
  </cellStyleXfs>
  <cellXfs count="381">
    <xf numFmtId="0" fontId="0" fillId="0" borderId="0" xfId="0"/>
    <xf numFmtId="166" fontId="0" fillId="0" borderId="5" xfId="1" applyNumberFormat="1" applyFont="1" applyBorder="1"/>
    <xf numFmtId="0" fontId="3" fillId="0" borderId="0" xfId="3"/>
    <xf numFmtId="0" fontId="4" fillId="2" borderId="20" xfId="3" applyFont="1" applyFill="1" applyBorder="1" applyAlignment="1">
      <alignment horizontal="center" vertical="center"/>
    </xf>
    <xf numFmtId="164" fontId="4" fillId="2" borderId="1" xfId="2" applyFont="1" applyFill="1" applyBorder="1" applyAlignment="1">
      <alignment horizontal="center" vertical="center" wrapText="1"/>
    </xf>
    <xf numFmtId="164" fontId="4" fillId="2" borderId="25" xfId="2" applyFont="1" applyFill="1" applyBorder="1" applyAlignment="1">
      <alignment horizontal="center" vertical="center" wrapText="1"/>
    </xf>
    <xf numFmtId="0" fontId="4" fillId="4" borderId="13" xfId="3" applyFont="1" applyFill="1" applyBorder="1" applyAlignment="1">
      <alignment horizontal="center" vertical="center"/>
    </xf>
    <xf numFmtId="164" fontId="4" fillId="4" borderId="7" xfId="2" applyFont="1" applyFill="1" applyBorder="1" applyAlignment="1">
      <alignment horizontal="center"/>
    </xf>
    <xf numFmtId="164" fontId="4" fillId="4" borderId="9" xfId="2" applyFont="1" applyFill="1" applyBorder="1" applyAlignment="1">
      <alignment horizontal="center"/>
    </xf>
    <xf numFmtId="0" fontId="3" fillId="0" borderId="16" xfId="3" applyBorder="1" applyAlignment="1">
      <alignment horizontal="left" vertical="center"/>
    </xf>
    <xf numFmtId="164" fontId="3" fillId="0" borderId="4" xfId="3" applyNumberFormat="1" applyBorder="1"/>
    <xf numFmtId="0" fontId="3" fillId="0" borderId="17" xfId="3" applyBorder="1" applyAlignment="1">
      <alignment horizontal="left" vertical="center"/>
    </xf>
    <xf numFmtId="0" fontId="2" fillId="0" borderId="17" xfId="3" applyFont="1" applyBorder="1" applyAlignment="1">
      <alignment horizontal="left" vertical="center"/>
    </xf>
    <xf numFmtId="0" fontId="3" fillId="4" borderId="17" xfId="3" applyFill="1" applyBorder="1" applyAlignment="1">
      <alignment horizontal="center" vertical="center"/>
    </xf>
    <xf numFmtId="0" fontId="3" fillId="4" borderId="5" xfId="3" applyFill="1" applyBorder="1"/>
    <xf numFmtId="0" fontId="3" fillId="4" borderId="26" xfId="3" applyFill="1" applyBorder="1"/>
    <xf numFmtId="0" fontId="4" fillId="0" borderId="19" xfId="3" applyFont="1" applyBorder="1" applyAlignment="1">
      <alignment horizontal="center" vertical="center"/>
    </xf>
    <xf numFmtId="164" fontId="3" fillId="0" borderId="24" xfId="3" applyNumberFormat="1" applyBorder="1"/>
    <xf numFmtId="164" fontId="0" fillId="0" borderId="5" xfId="0" applyNumberFormat="1" applyBorder="1"/>
    <xf numFmtId="166" fontId="0" fillId="0" borderId="0" xfId="1" applyNumberFormat="1" applyFont="1"/>
    <xf numFmtId="164" fontId="4" fillId="4" borderId="8" xfId="2" applyFont="1" applyFill="1" applyBorder="1" applyAlignment="1">
      <alignment horizontal="center"/>
    </xf>
    <xf numFmtId="164" fontId="3" fillId="0" borderId="17" xfId="3" applyNumberFormat="1" applyBorder="1"/>
    <xf numFmtId="0" fontId="3" fillId="4" borderId="14" xfId="3" applyFill="1" applyBorder="1"/>
    <xf numFmtId="164" fontId="3" fillId="0" borderId="29" xfId="3" applyNumberFormat="1" applyBorder="1"/>
    <xf numFmtId="164" fontId="4" fillId="3" borderId="0" xfId="2" applyFont="1" applyFill="1" applyBorder="1" applyAlignment="1">
      <alignment horizontal="center"/>
    </xf>
    <xf numFmtId="164" fontId="4" fillId="4" borderId="5" xfId="2" applyFont="1" applyFill="1" applyBorder="1" applyAlignment="1">
      <alignment horizontal="center"/>
    </xf>
    <xf numFmtId="165" fontId="0" fillId="0" borderId="0" xfId="1" applyFont="1"/>
    <xf numFmtId="165" fontId="0" fillId="0" borderId="0" xfId="0" applyNumberFormat="1"/>
    <xf numFmtId="166" fontId="0" fillId="3" borderId="2" xfId="1" applyNumberFormat="1" applyFont="1" applyFill="1" applyBorder="1"/>
    <xf numFmtId="166" fontId="0" fillId="3" borderId="11" xfId="1" applyNumberFormat="1" applyFont="1" applyFill="1" applyBorder="1"/>
    <xf numFmtId="166" fontId="0" fillId="3" borderId="12" xfId="1" applyNumberFormat="1" applyFont="1" applyFill="1" applyBorder="1"/>
    <xf numFmtId="166" fontId="0" fillId="3" borderId="22" xfId="1" applyNumberFormat="1" applyFont="1" applyFill="1" applyBorder="1"/>
    <xf numFmtId="0" fontId="0" fillId="3" borderId="5" xfId="0" applyFont="1" applyFill="1" applyBorder="1"/>
    <xf numFmtId="165" fontId="0" fillId="3" borderId="27" xfId="1" applyFont="1" applyFill="1" applyBorder="1"/>
    <xf numFmtId="167" fontId="0" fillId="3" borderId="18" xfId="2" applyNumberFormat="1" applyFont="1" applyFill="1" applyBorder="1"/>
    <xf numFmtId="166" fontId="0" fillId="3" borderId="11" xfId="0" applyNumberFormat="1" applyFont="1" applyFill="1" applyBorder="1"/>
    <xf numFmtId="0" fontId="0" fillId="3" borderId="11" xfId="0" applyFont="1" applyFill="1" applyBorder="1"/>
    <xf numFmtId="0" fontId="6" fillId="3" borderId="6" xfId="0" applyFont="1" applyFill="1" applyBorder="1"/>
    <xf numFmtId="166" fontId="6" fillId="3" borderId="11" xfId="0" applyNumberFormat="1" applyFont="1" applyFill="1" applyBorder="1"/>
    <xf numFmtId="165" fontId="0" fillId="3" borderId="11" xfId="1" applyFont="1" applyFill="1" applyBorder="1"/>
    <xf numFmtId="167" fontId="0" fillId="3" borderId="23" xfId="2" applyNumberFormat="1" applyFont="1" applyFill="1" applyBorder="1"/>
    <xf numFmtId="0" fontId="6" fillId="3" borderId="11" xfId="0" applyFont="1" applyFill="1" applyBorder="1"/>
    <xf numFmtId="0" fontId="0" fillId="3" borderId="27" xfId="0" applyFont="1" applyFill="1" applyBorder="1" applyAlignment="1">
      <alignment horizontal="center"/>
    </xf>
    <xf numFmtId="166" fontId="0" fillId="3" borderId="18" xfId="1" applyNumberFormat="1" applyFont="1" applyFill="1" applyBorder="1"/>
    <xf numFmtId="164" fontId="0" fillId="3" borderId="18" xfId="1" applyNumberFormat="1" applyFont="1" applyFill="1" applyBorder="1"/>
    <xf numFmtId="165" fontId="0" fillId="0" borderId="0" xfId="1" applyNumberFormat="1" applyFont="1"/>
    <xf numFmtId="164" fontId="0" fillId="3" borderId="11" xfId="1" applyNumberFormat="1" applyFont="1" applyFill="1" applyBorder="1"/>
    <xf numFmtId="165" fontId="0" fillId="3" borderId="22" xfId="1" applyNumberFormat="1" applyFont="1" applyFill="1" applyBorder="1"/>
    <xf numFmtId="164" fontId="0" fillId="3" borderId="11" xfId="2" applyFont="1" applyFill="1" applyBorder="1"/>
    <xf numFmtId="167" fontId="0" fillId="3" borderId="22" xfId="2" applyNumberFormat="1" applyFont="1" applyFill="1" applyBorder="1"/>
    <xf numFmtId="164" fontId="0" fillId="3" borderId="31" xfId="2" applyFont="1" applyFill="1" applyBorder="1"/>
    <xf numFmtId="164" fontId="0" fillId="3" borderId="18" xfId="2" applyFont="1" applyFill="1" applyBorder="1"/>
    <xf numFmtId="165" fontId="9" fillId="0" borderId="0" xfId="1" applyFont="1"/>
    <xf numFmtId="0" fontId="0" fillId="0" borderId="0" xfId="0" applyFont="1"/>
    <xf numFmtId="0" fontId="0" fillId="0" borderId="0" xfId="0" quotePrefix="1" applyFont="1"/>
    <xf numFmtId="0" fontId="0" fillId="3" borderId="31" xfId="0" applyFont="1" applyFill="1" applyBorder="1"/>
    <xf numFmtId="0" fontId="0" fillId="0" borderId="18" xfId="0" applyFont="1" applyBorder="1"/>
    <xf numFmtId="166" fontId="0" fillId="0" borderId="18" xfId="0" applyNumberFormat="1" applyFont="1" applyBorder="1"/>
    <xf numFmtId="165" fontId="0" fillId="0" borderId="18" xfId="0" applyNumberFormat="1" applyFont="1" applyBorder="1"/>
    <xf numFmtId="0" fontId="0" fillId="0" borderId="32" xfId="0" applyFont="1" applyBorder="1"/>
    <xf numFmtId="164" fontId="0" fillId="3" borderId="18" xfId="0" applyNumberFormat="1" applyFont="1" applyFill="1" applyBorder="1"/>
    <xf numFmtId="0" fontId="0" fillId="3" borderId="18" xfId="0" applyFont="1" applyFill="1" applyBorder="1"/>
    <xf numFmtId="164" fontId="0" fillId="3" borderId="11" xfId="0" applyNumberFormat="1" applyFont="1" applyFill="1" applyBorder="1"/>
    <xf numFmtId="0" fontId="0" fillId="0" borderId="10" xfId="0" applyFont="1" applyBorder="1"/>
    <xf numFmtId="0" fontId="0" fillId="3" borderId="31" xfId="0" applyFont="1" applyFill="1" applyBorder="1" applyAlignment="1">
      <alignment horizontal="center"/>
    </xf>
    <xf numFmtId="166" fontId="0" fillId="0" borderId="32" xfId="0" applyNumberFormat="1" applyFont="1" applyBorder="1"/>
    <xf numFmtId="165" fontId="0" fillId="0" borderId="32" xfId="0" applyNumberFormat="1" applyFont="1" applyBorder="1"/>
    <xf numFmtId="165" fontId="0" fillId="3" borderId="22" xfId="0" applyNumberFormat="1" applyFont="1" applyFill="1" applyBorder="1"/>
    <xf numFmtId="0" fontId="0" fillId="0" borderId="0" xfId="0" applyFont="1" applyBorder="1"/>
    <xf numFmtId="164" fontId="10" fillId="3" borderId="27" xfId="2" applyFont="1" applyFill="1" applyBorder="1" applyAlignment="1">
      <alignment horizontal="center" wrapText="1"/>
    </xf>
    <xf numFmtId="0" fontId="10" fillId="3" borderId="27" xfId="0" applyFont="1" applyFill="1" applyBorder="1" applyAlignment="1">
      <alignment horizontal="center" vertical="center"/>
    </xf>
    <xf numFmtId="0" fontId="10" fillId="3" borderId="27" xfId="3" applyFont="1" applyFill="1" applyBorder="1" applyAlignment="1">
      <alignment horizontal="center"/>
    </xf>
    <xf numFmtId="16" fontId="10" fillId="3" borderId="27" xfId="3" applyNumberFormat="1" applyFont="1" applyFill="1" applyBorder="1" applyAlignment="1">
      <alignment horizontal="center"/>
    </xf>
    <xf numFmtId="0" fontId="11" fillId="3" borderId="31" xfId="0" applyFont="1" applyFill="1" applyBorder="1"/>
    <xf numFmtId="0" fontId="10" fillId="3" borderId="31" xfId="0" applyFont="1" applyFill="1" applyBorder="1"/>
    <xf numFmtId="165" fontId="10" fillId="3" borderId="31" xfId="1" applyNumberFormat="1" applyFont="1" applyFill="1" applyBorder="1" applyAlignment="1"/>
    <xf numFmtId="0" fontId="10" fillId="0" borderId="18" xfId="0" applyFont="1" applyFill="1" applyBorder="1"/>
    <xf numFmtId="166" fontId="10" fillId="0" borderId="18" xfId="1" applyNumberFormat="1" applyFont="1" applyFill="1" applyBorder="1"/>
    <xf numFmtId="165" fontId="10" fillId="0" borderId="18" xfId="1" applyNumberFormat="1" applyFont="1" applyFill="1" applyBorder="1" applyAlignment="1"/>
    <xf numFmtId="0" fontId="11" fillId="0" borderId="6" xfId="0" applyFont="1" applyFill="1" applyBorder="1"/>
    <xf numFmtId="0" fontId="10" fillId="3" borderId="18" xfId="0" applyFont="1" applyFill="1" applyBorder="1"/>
    <xf numFmtId="166" fontId="10" fillId="3" borderId="18" xfId="1" applyNumberFormat="1" applyFont="1" applyFill="1" applyBorder="1"/>
    <xf numFmtId="165" fontId="10" fillId="3" borderId="18" xfId="1" applyNumberFormat="1" applyFont="1" applyFill="1" applyBorder="1" applyAlignment="1"/>
    <xf numFmtId="166" fontId="10" fillId="3" borderId="32" xfId="1" applyNumberFormat="1" applyFont="1" applyFill="1" applyBorder="1"/>
    <xf numFmtId="0" fontId="11" fillId="3" borderId="6" xfId="0" applyFont="1" applyFill="1" applyBorder="1"/>
    <xf numFmtId="166" fontId="10" fillId="3" borderId="11" xfId="1" applyNumberFormat="1" applyFont="1" applyFill="1" applyBorder="1"/>
    <xf numFmtId="165" fontId="10" fillId="3" borderId="11" xfId="1" applyNumberFormat="1" applyFont="1" applyFill="1" applyBorder="1" applyAlignment="1"/>
    <xf numFmtId="166" fontId="10" fillId="3" borderId="11" xfId="1" applyNumberFormat="1" applyFont="1" applyFill="1" applyBorder="1" applyAlignment="1"/>
    <xf numFmtId="165" fontId="10" fillId="3" borderId="22" xfId="1" applyNumberFormat="1" applyFont="1" applyFill="1" applyBorder="1" applyAlignment="1"/>
    <xf numFmtId="165" fontId="10" fillId="3" borderId="18" xfId="1" applyNumberFormat="1" applyFont="1" applyFill="1" applyBorder="1" applyAlignment="1">
      <alignment horizontal="right"/>
    </xf>
    <xf numFmtId="166" fontId="10" fillId="3" borderId="18" xfId="1" applyNumberFormat="1" applyFont="1" applyFill="1" applyBorder="1" applyAlignment="1">
      <alignment horizontal="right"/>
    </xf>
    <xf numFmtId="166" fontId="10" fillId="3" borderId="18" xfId="1" applyNumberFormat="1" applyFont="1" applyFill="1" applyBorder="1" applyAlignment="1"/>
    <xf numFmtId="166" fontId="11" fillId="3" borderId="11" xfId="1" applyNumberFormat="1" applyFont="1" applyFill="1" applyBorder="1"/>
    <xf numFmtId="166" fontId="10" fillId="3" borderId="31" xfId="1" applyNumberFormat="1" applyFont="1" applyFill="1" applyBorder="1"/>
    <xf numFmtId="0" fontId="10" fillId="3" borderId="18" xfId="0" quotePrefix="1" applyFont="1" applyFill="1" applyBorder="1"/>
    <xf numFmtId="0" fontId="10" fillId="0" borderId="10" xfId="0" applyFont="1" applyFill="1" applyBorder="1"/>
    <xf numFmtId="166" fontId="10" fillId="0" borderId="10" xfId="1" applyNumberFormat="1" applyFont="1" applyFill="1" applyBorder="1"/>
    <xf numFmtId="165" fontId="10" fillId="0" borderId="10" xfId="1" applyNumberFormat="1" applyFont="1" applyFill="1" applyBorder="1" applyAlignment="1"/>
    <xf numFmtId="166" fontId="10" fillId="0" borderId="10" xfId="1" applyNumberFormat="1" applyFont="1" applyFill="1" applyBorder="1" applyAlignment="1"/>
    <xf numFmtId="0" fontId="11" fillId="3" borderId="31" xfId="0" applyFont="1" applyFill="1" applyBorder="1" applyAlignment="1">
      <alignment horizontal="center"/>
    </xf>
    <xf numFmtId="165" fontId="11" fillId="3" borderId="31" xfId="1" applyNumberFormat="1" applyFont="1" applyFill="1" applyBorder="1" applyAlignment="1">
      <alignment horizontal="center"/>
    </xf>
    <xf numFmtId="0" fontId="10" fillId="3" borderId="31" xfId="3" applyFont="1" applyFill="1" applyBorder="1" applyAlignment="1">
      <alignment horizontal="center"/>
    </xf>
    <xf numFmtId="16" fontId="10" fillId="3" borderId="31" xfId="3" applyNumberFormat="1" applyFont="1" applyFill="1" applyBorder="1" applyAlignment="1">
      <alignment horizontal="center"/>
    </xf>
    <xf numFmtId="165" fontId="10" fillId="3" borderId="18" xfId="1" applyNumberFormat="1" applyFont="1" applyFill="1" applyBorder="1"/>
    <xf numFmtId="166" fontId="0" fillId="3" borderId="18" xfId="0" applyNumberFormat="1" applyFont="1" applyFill="1" applyBorder="1"/>
    <xf numFmtId="0" fontId="6" fillId="0" borderId="0" xfId="0" applyFont="1"/>
    <xf numFmtId="0" fontId="0" fillId="0" borderId="0" xfId="0" applyFont="1" applyAlignment="1">
      <alignment horizontal="center"/>
    </xf>
    <xf numFmtId="0" fontId="10" fillId="0" borderId="23" xfId="0" applyFont="1" applyFill="1" applyBorder="1"/>
    <xf numFmtId="166" fontId="10" fillId="0" borderId="23" xfId="1" applyNumberFormat="1" applyFont="1" applyFill="1" applyBorder="1"/>
    <xf numFmtId="165" fontId="10" fillId="0" borderId="23" xfId="1" applyNumberFormat="1" applyFont="1" applyFill="1" applyBorder="1" applyAlignment="1"/>
    <xf numFmtId="0" fontId="0" fillId="0" borderId="23" xfId="0" applyFont="1" applyBorder="1"/>
    <xf numFmtId="166" fontId="0" fillId="0" borderId="23" xfId="0" applyNumberFormat="1" applyFont="1" applyBorder="1"/>
    <xf numFmtId="165" fontId="0" fillId="0" borderId="23" xfId="0" applyNumberFormat="1" applyFont="1" applyBorder="1"/>
    <xf numFmtId="0" fontId="11" fillId="0" borderId="11" xfId="0" applyFont="1" applyFill="1" applyBorder="1"/>
    <xf numFmtId="166" fontId="10" fillId="0" borderId="11" xfId="1" applyNumberFormat="1" applyFont="1" applyFill="1" applyBorder="1"/>
    <xf numFmtId="165" fontId="10" fillId="0" borderId="11" xfId="1" applyNumberFormat="1" applyFont="1" applyFill="1" applyBorder="1" applyAlignment="1"/>
    <xf numFmtId="166" fontId="10" fillId="0" borderId="11" xfId="1" applyNumberFormat="1" applyFont="1" applyFill="1" applyBorder="1" applyAlignment="1"/>
    <xf numFmtId="165" fontId="10" fillId="0" borderId="22" xfId="1" applyNumberFormat="1" applyFont="1" applyFill="1" applyBorder="1" applyAlignment="1"/>
    <xf numFmtId="0" fontId="10" fillId="3" borderId="23" xfId="0" applyFont="1" applyFill="1" applyBorder="1"/>
    <xf numFmtId="166" fontId="10" fillId="3" borderId="23" xfId="1" applyNumberFormat="1" applyFont="1" applyFill="1" applyBorder="1"/>
    <xf numFmtId="165" fontId="10" fillId="3" borderId="23" xfId="1" applyNumberFormat="1" applyFont="1" applyFill="1" applyBorder="1" applyAlignment="1"/>
    <xf numFmtId="164" fontId="0" fillId="3" borderId="23" xfId="0" applyNumberFormat="1" applyFont="1" applyFill="1" applyBorder="1"/>
    <xf numFmtId="0" fontId="11" fillId="3" borderId="11" xfId="0" applyFont="1" applyFill="1" applyBorder="1"/>
    <xf numFmtId="0" fontId="10" fillId="3" borderId="18" xfId="0" applyFont="1" applyFill="1" applyBorder="1" applyAlignment="1">
      <alignment horizontal="center"/>
    </xf>
    <xf numFmtId="0" fontId="0" fillId="3" borderId="23" xfId="0" applyFont="1" applyFill="1" applyBorder="1"/>
    <xf numFmtId="166" fontId="0" fillId="3" borderId="23" xfId="1" applyNumberFormat="1" applyFont="1" applyFill="1" applyBorder="1"/>
    <xf numFmtId="0" fontId="10" fillId="3" borderId="23" xfId="0" applyFont="1" applyFill="1" applyBorder="1" applyAlignment="1">
      <alignment horizontal="center"/>
    </xf>
    <xf numFmtId="0" fontId="10" fillId="3" borderId="27" xfId="0" applyFont="1" applyFill="1" applyBorder="1" applyAlignment="1">
      <alignment horizontal="center" vertical="center"/>
    </xf>
    <xf numFmtId="165" fontId="10" fillId="3" borderId="23" xfId="1" applyNumberFormat="1" applyFont="1" applyFill="1" applyBorder="1"/>
    <xf numFmtId="164" fontId="0" fillId="3" borderId="23" xfId="2" applyFont="1" applyFill="1" applyBorder="1"/>
    <xf numFmtId="0" fontId="0" fillId="3" borderId="18" xfId="0" applyFont="1" applyFill="1" applyBorder="1" applyAlignment="1">
      <alignment horizontal="center"/>
    </xf>
    <xf numFmtId="0" fontId="0" fillId="0" borderId="6" xfId="0" applyFont="1" applyBorder="1"/>
    <xf numFmtId="0" fontId="0" fillId="3" borderId="14" xfId="0" applyFont="1" applyFill="1" applyBorder="1"/>
    <xf numFmtId="0" fontId="0" fillId="3" borderId="2" xfId="0" applyFont="1" applyFill="1" applyBorder="1"/>
    <xf numFmtId="0" fontId="0" fillId="3" borderId="21" xfId="0" applyFont="1" applyFill="1" applyBorder="1"/>
    <xf numFmtId="0" fontId="0" fillId="3" borderId="0" xfId="0" applyFont="1" applyFill="1" applyBorder="1"/>
    <xf numFmtId="0" fontId="0" fillId="3" borderId="3" xfId="0" applyFont="1" applyFill="1" applyBorder="1"/>
    <xf numFmtId="0" fontId="10" fillId="3" borderId="6" xfId="0" applyFont="1" applyFill="1" applyBorder="1"/>
    <xf numFmtId="166" fontId="10" fillId="3" borderId="2" xfId="1" applyNumberFormat="1" applyFont="1" applyFill="1" applyBorder="1"/>
    <xf numFmtId="165" fontId="10" fillId="3" borderId="2" xfId="1" applyFont="1" applyFill="1" applyBorder="1"/>
    <xf numFmtId="166" fontId="10" fillId="3" borderId="11" xfId="0" applyNumberFormat="1" applyFont="1" applyFill="1" applyBorder="1"/>
    <xf numFmtId="0" fontId="11" fillId="3" borderId="0" xfId="0" applyFont="1" applyFill="1" applyBorder="1"/>
    <xf numFmtId="164" fontId="0" fillId="0" borderId="18" xfId="0" applyNumberFormat="1" applyFont="1" applyBorder="1"/>
    <xf numFmtId="0" fontId="10" fillId="3" borderId="31" xfId="0" applyFont="1" applyFill="1" applyBorder="1" applyAlignment="1">
      <alignment horizontal="center" vertical="center"/>
    </xf>
    <xf numFmtId="0" fontId="11" fillId="3" borderId="31" xfId="0" applyFont="1" applyFill="1" applyBorder="1" applyAlignment="1">
      <alignment horizontal="left" vertical="center"/>
    </xf>
    <xf numFmtId="165" fontId="10" fillId="3" borderId="18" xfId="1" applyFont="1" applyFill="1" applyBorder="1"/>
    <xf numFmtId="0" fontId="10" fillId="3" borderId="32" xfId="0" applyFont="1" applyFill="1" applyBorder="1" applyAlignment="1">
      <alignment horizontal="center"/>
    </xf>
    <xf numFmtId="0" fontId="10" fillId="3" borderId="32" xfId="0" applyFont="1" applyFill="1" applyBorder="1"/>
    <xf numFmtId="165" fontId="10" fillId="3" borderId="32" xfId="1" applyFont="1" applyFill="1" applyBorder="1"/>
    <xf numFmtId="164" fontId="0" fillId="3" borderId="32" xfId="0" applyNumberFormat="1" applyFont="1" applyFill="1" applyBorder="1"/>
    <xf numFmtId="164" fontId="0" fillId="0" borderId="32" xfId="0" applyNumberFormat="1" applyFont="1" applyBorder="1"/>
    <xf numFmtId="0" fontId="10" fillId="3" borderId="27" xfId="0" applyFont="1" applyFill="1" applyBorder="1" applyAlignment="1">
      <alignment horizontal="center" vertical="center"/>
    </xf>
    <xf numFmtId="165" fontId="0" fillId="3" borderId="22" xfId="1" applyFont="1" applyFill="1" applyBorder="1"/>
    <xf numFmtId="0" fontId="0" fillId="0" borderId="31" xfId="0" applyFont="1" applyBorder="1" applyAlignment="1">
      <alignment horizontal="center"/>
    </xf>
    <xf numFmtId="165" fontId="10" fillId="3" borderId="31" xfId="1" applyFont="1" applyFill="1" applyBorder="1"/>
    <xf numFmtId="0" fontId="0" fillId="0" borderId="18" xfId="0" applyFont="1" applyBorder="1" applyAlignment="1">
      <alignment horizontal="center"/>
    </xf>
    <xf numFmtId="0" fontId="0" fillId="0" borderId="32" xfId="0" applyFont="1" applyBorder="1" applyAlignment="1">
      <alignment horizontal="center"/>
    </xf>
    <xf numFmtId="166" fontId="0" fillId="3" borderId="32" xfId="1" applyNumberFormat="1" applyFont="1" applyFill="1" applyBorder="1"/>
    <xf numFmtId="165" fontId="10" fillId="3" borderId="22" xfId="0" applyNumberFormat="1" applyFont="1" applyFill="1" applyBorder="1"/>
    <xf numFmtId="0" fontId="0" fillId="3" borderId="32" xfId="0" applyFont="1" applyFill="1" applyBorder="1"/>
    <xf numFmtId="166" fontId="11" fillId="3" borderId="0" xfId="1" applyNumberFormat="1" applyFont="1" applyFill="1" applyBorder="1" applyAlignment="1">
      <alignment horizontal="center" wrapText="1"/>
    </xf>
    <xf numFmtId="166" fontId="10" fillId="3" borderId="0" xfId="1" applyNumberFormat="1" applyFont="1" applyFill="1" applyBorder="1" applyAlignment="1">
      <alignment horizontal="center"/>
    </xf>
    <xf numFmtId="166" fontId="0" fillId="3" borderId="0" xfId="1" applyNumberFormat="1" applyFont="1" applyFill="1" applyBorder="1"/>
    <xf numFmtId="0" fontId="0" fillId="0" borderId="31" xfId="0" applyFont="1" applyBorder="1"/>
    <xf numFmtId="0" fontId="10" fillId="0" borderId="0" xfId="0" applyFont="1" applyFill="1" applyBorder="1"/>
    <xf numFmtId="166" fontId="10" fillId="0" borderId="0" xfId="1" applyNumberFormat="1" applyFont="1" applyFill="1" applyBorder="1"/>
    <xf numFmtId="165" fontId="10" fillId="0" borderId="0" xfId="1" applyNumberFormat="1" applyFont="1" applyFill="1" applyBorder="1" applyAlignment="1"/>
    <xf numFmtId="166" fontId="10" fillId="0" borderId="0" xfId="1" applyNumberFormat="1" applyFont="1" applyFill="1" applyBorder="1" applyAlignment="1"/>
    <xf numFmtId="165" fontId="0" fillId="0" borderId="0" xfId="0" applyNumberFormat="1" applyFont="1"/>
    <xf numFmtId="166" fontId="0" fillId="0" borderId="18" xfId="1" applyNumberFormat="1" applyFont="1" applyBorder="1"/>
    <xf numFmtId="165" fontId="7" fillId="0" borderId="0" xfId="1" applyNumberFormat="1" applyFont="1"/>
    <xf numFmtId="0" fontId="10" fillId="3" borderId="27" xfId="0" applyFont="1" applyFill="1" applyBorder="1" applyAlignment="1">
      <alignment horizontal="center" vertical="center"/>
    </xf>
    <xf numFmtId="164" fontId="0" fillId="0" borderId="23" xfId="0" applyNumberFormat="1" applyFont="1" applyBorder="1"/>
    <xf numFmtId="0" fontId="0" fillId="0" borderId="23" xfId="0" applyFont="1" applyBorder="1" applyAlignment="1">
      <alignment horizontal="center"/>
    </xf>
    <xf numFmtId="167" fontId="10" fillId="3" borderId="32" xfId="2" applyNumberFormat="1" applyFont="1" applyFill="1" applyBorder="1"/>
    <xf numFmtId="165" fontId="0" fillId="3" borderId="11" xfId="1" applyNumberFormat="1" applyFont="1" applyFill="1" applyBorder="1"/>
    <xf numFmtId="164" fontId="10" fillId="3" borderId="18" xfId="2" applyFont="1" applyFill="1" applyBorder="1"/>
    <xf numFmtId="167" fontId="10" fillId="3" borderId="18" xfId="1" applyNumberFormat="1" applyFont="1" applyFill="1" applyBorder="1"/>
    <xf numFmtId="165" fontId="0" fillId="3" borderId="18" xfId="1" applyFont="1" applyFill="1" applyBorder="1"/>
    <xf numFmtId="168" fontId="0" fillId="3" borderId="18" xfId="1" applyNumberFormat="1" applyFont="1" applyFill="1" applyBorder="1"/>
    <xf numFmtId="0" fontId="6" fillId="3" borderId="31" xfId="0" applyFont="1" applyFill="1" applyBorder="1"/>
    <xf numFmtId="164" fontId="0" fillId="0" borderId="31" xfId="0" applyNumberFormat="1" applyFont="1" applyBorder="1"/>
    <xf numFmtId="166" fontId="0" fillId="0" borderId="31" xfId="0" applyNumberFormat="1" applyFont="1" applyBorder="1"/>
    <xf numFmtId="165" fontId="0" fillId="0" borderId="31" xfId="0" applyNumberFormat="1" applyFont="1" applyBorder="1"/>
    <xf numFmtId="166" fontId="6" fillId="3" borderId="18" xfId="0" applyNumberFormat="1" applyFont="1" applyFill="1" applyBorder="1"/>
    <xf numFmtId="165" fontId="0" fillId="3" borderId="18" xfId="1" applyNumberFormat="1" applyFont="1" applyFill="1" applyBorder="1"/>
    <xf numFmtId="165" fontId="0" fillId="3" borderId="32" xfId="1" applyNumberFormat="1" applyFont="1" applyFill="1" applyBorder="1"/>
    <xf numFmtId="165" fontId="6" fillId="3" borderId="22" xfId="0" applyNumberFormat="1" applyFont="1" applyFill="1" applyBorder="1"/>
    <xf numFmtId="0" fontId="10" fillId="3" borderId="27" xfId="0" applyFont="1" applyFill="1" applyBorder="1" applyAlignment="1">
      <alignment horizontal="center" vertical="center"/>
    </xf>
    <xf numFmtId="166" fontId="0" fillId="0" borderId="0" xfId="0" applyNumberFormat="1" applyFont="1"/>
    <xf numFmtId="0" fontId="0" fillId="3" borderId="0" xfId="0" applyFont="1" applyFill="1"/>
    <xf numFmtId="0" fontId="0" fillId="3" borderId="22" xfId="0" applyFont="1" applyFill="1" applyBorder="1"/>
    <xf numFmtId="2" fontId="0" fillId="0" borderId="0" xfId="0" applyNumberFormat="1" applyFont="1"/>
    <xf numFmtId="165" fontId="10" fillId="3" borderId="23" xfId="1" applyFont="1" applyFill="1" applyBorder="1"/>
    <xf numFmtId="167" fontId="10" fillId="3" borderId="18" xfId="2" applyNumberFormat="1" applyFont="1" applyFill="1" applyBorder="1"/>
    <xf numFmtId="165" fontId="0" fillId="3" borderId="32" xfId="1" applyFont="1" applyFill="1" applyBorder="1"/>
    <xf numFmtId="165" fontId="0" fillId="0" borderId="18" xfId="1" applyFont="1" applyBorder="1"/>
    <xf numFmtId="166" fontId="0" fillId="0" borderId="23" xfId="1" applyNumberFormat="1" applyFont="1" applyBorder="1"/>
    <xf numFmtId="169" fontId="0" fillId="0" borderId="18" xfId="0" applyNumberFormat="1" applyBorder="1"/>
    <xf numFmtId="166" fontId="0" fillId="3" borderId="32" xfId="0" applyNumberFormat="1" applyFont="1" applyFill="1" applyBorder="1"/>
    <xf numFmtId="166" fontId="0" fillId="0" borderId="32" xfId="1" applyNumberFormat="1" applyFont="1" applyBorder="1"/>
    <xf numFmtId="165" fontId="0" fillId="3" borderId="11" xfId="0" applyNumberFormat="1" applyFont="1" applyFill="1" applyBorder="1"/>
    <xf numFmtId="0" fontId="0" fillId="3" borderId="18" xfId="0" applyFont="1" applyFill="1" applyBorder="1" applyAlignment="1">
      <alignment horizontal="left"/>
    </xf>
    <xf numFmtId="164" fontId="10" fillId="3" borderId="32" xfId="2" applyFont="1" applyFill="1" applyBorder="1"/>
    <xf numFmtId="165" fontId="0" fillId="3" borderId="23" xfId="1" applyFont="1" applyFill="1" applyBorder="1"/>
    <xf numFmtId="165" fontId="6" fillId="3" borderId="11" xfId="0" applyNumberFormat="1" applyFont="1" applyFill="1" applyBorder="1"/>
    <xf numFmtId="166" fontId="0" fillId="3" borderId="31" xfId="1" applyNumberFormat="1" applyFont="1" applyFill="1" applyBorder="1"/>
    <xf numFmtId="166" fontId="0" fillId="0" borderId="31" xfId="1" applyNumberFormat="1" applyFont="1" applyBorder="1"/>
    <xf numFmtId="0" fontId="10" fillId="3" borderId="32" xfId="0" quotePrefix="1" applyFont="1" applyFill="1" applyBorder="1"/>
    <xf numFmtId="0" fontId="0" fillId="3" borderId="18" xfId="0" quotePrefix="1" applyFont="1" applyFill="1" applyBorder="1"/>
    <xf numFmtId="0" fontId="6" fillId="3" borderId="0" xfId="0" applyFont="1" applyFill="1"/>
    <xf numFmtId="164" fontId="0" fillId="0" borderId="0" xfId="0" applyNumberFormat="1"/>
    <xf numFmtId="0" fontId="10" fillId="3" borderId="27" xfId="0" applyFont="1" applyFill="1" applyBorder="1" applyAlignment="1">
      <alignment horizontal="center" vertical="center"/>
    </xf>
    <xf numFmtId="0" fontId="0" fillId="0" borderId="0" xfId="0" quotePrefix="1"/>
    <xf numFmtId="0" fontId="10" fillId="3" borderId="27" xfId="0" applyFont="1" applyFill="1" applyBorder="1" applyAlignment="1">
      <alignment horizontal="center" vertical="center"/>
    </xf>
    <xf numFmtId="167" fontId="0" fillId="3" borderId="11" xfId="0" applyNumberFormat="1" applyFont="1" applyFill="1" applyBorder="1"/>
    <xf numFmtId="0" fontId="0" fillId="3" borderId="18" xfId="0" applyFill="1" applyBorder="1"/>
    <xf numFmtId="0" fontId="0" fillId="3" borderId="32" xfId="0" applyFill="1" applyBorder="1"/>
    <xf numFmtId="165" fontId="0" fillId="3" borderId="0" xfId="1" applyNumberFormat="1" applyFont="1" applyFill="1" applyBorder="1"/>
    <xf numFmtId="0" fontId="15" fillId="3" borderId="18" xfId="0" applyFont="1" applyFill="1" applyBorder="1"/>
    <xf numFmtId="0" fontId="16" fillId="3" borderId="18" xfId="0" applyFont="1" applyFill="1" applyBorder="1"/>
    <xf numFmtId="0" fontId="15" fillId="3" borderId="32" xfId="0" applyFont="1" applyFill="1" applyBorder="1"/>
    <xf numFmtId="0" fontId="0" fillId="3" borderId="18" xfId="0" quotePrefix="1" applyFill="1" applyBorder="1"/>
    <xf numFmtId="164" fontId="0" fillId="3" borderId="18" xfId="2" applyNumberFormat="1" applyFont="1" applyFill="1" applyBorder="1"/>
    <xf numFmtId="0" fontId="7" fillId="3" borderId="18" xfId="0" applyFont="1" applyFill="1" applyBorder="1"/>
    <xf numFmtId="0" fontId="17" fillId="3" borderId="18" xfId="0" applyFont="1" applyFill="1" applyBorder="1"/>
    <xf numFmtId="0" fontId="18" fillId="3" borderId="18" xfId="0" applyFont="1" applyFill="1" applyBorder="1"/>
    <xf numFmtId="0" fontId="19" fillId="3" borderId="18" xfId="0" applyFont="1" applyFill="1" applyBorder="1"/>
    <xf numFmtId="0" fontId="19" fillId="3" borderId="32" xfId="0" applyFont="1" applyFill="1" applyBorder="1"/>
    <xf numFmtId="0" fontId="10" fillId="3" borderId="27" xfId="0" applyFont="1" applyFill="1" applyBorder="1" applyAlignment="1">
      <alignment horizontal="center" vertical="center"/>
    </xf>
    <xf numFmtId="0" fontId="19" fillId="3" borderId="2" xfId="0" applyFont="1" applyFill="1" applyBorder="1"/>
    <xf numFmtId="0" fontId="17" fillId="3" borderId="32" xfId="0" applyFont="1" applyFill="1" applyBorder="1" applyAlignment="1">
      <alignment horizontal="left"/>
    </xf>
    <xf numFmtId="0" fontId="0" fillId="5" borderId="0" xfId="0" applyFill="1"/>
    <xf numFmtId="0" fontId="20" fillId="3" borderId="18" xfId="0" applyFont="1" applyFill="1" applyBorder="1" applyAlignment="1">
      <alignment horizontal="center"/>
    </xf>
    <xf numFmtId="0" fontId="0" fillId="0" borderId="0" xfId="0" applyAlignment="1">
      <alignment horizontal="center"/>
    </xf>
    <xf numFmtId="164" fontId="6" fillId="3" borderId="18" xfId="0" applyNumberFormat="1" applyFont="1" applyFill="1" applyBorder="1"/>
    <xf numFmtId="164" fontId="0" fillId="0" borderId="18" xfId="1" applyNumberFormat="1" applyFont="1" applyBorder="1"/>
    <xf numFmtId="164" fontId="0" fillId="0" borderId="0" xfId="0" applyNumberFormat="1" applyFont="1"/>
    <xf numFmtId="167" fontId="0" fillId="0" borderId="0" xfId="0" applyNumberFormat="1" applyFont="1"/>
    <xf numFmtId="0" fontId="0" fillId="3" borderId="23" xfId="0" applyFill="1" applyBorder="1"/>
    <xf numFmtId="2" fontId="0" fillId="3" borderId="18" xfId="0" applyNumberFormat="1" applyFont="1" applyFill="1" applyBorder="1"/>
    <xf numFmtId="2" fontId="0" fillId="0" borderId="18" xfId="0" applyNumberFormat="1" applyBorder="1"/>
    <xf numFmtId="0" fontId="0" fillId="0" borderId="0" xfId="0" applyFont="1" applyFill="1" applyBorder="1"/>
    <xf numFmtId="166" fontId="23" fillId="0" borderId="0" xfId="0" applyNumberFormat="1" applyFont="1"/>
    <xf numFmtId="166" fontId="23" fillId="0" borderId="0" xfId="1" applyNumberFormat="1" applyFont="1"/>
    <xf numFmtId="164" fontId="6" fillId="0" borderId="0" xfId="0" applyNumberFormat="1" applyFont="1"/>
    <xf numFmtId="164" fontId="0" fillId="0" borderId="0" xfId="1" applyNumberFormat="1" applyFont="1"/>
    <xf numFmtId="166" fontId="11" fillId="3" borderId="18" xfId="1" applyNumberFormat="1" applyFont="1" applyFill="1" applyBorder="1"/>
    <xf numFmtId="16" fontId="0" fillId="0" borderId="0" xfId="0" applyNumberFormat="1" applyFont="1"/>
    <xf numFmtId="16" fontId="0" fillId="0" borderId="5" xfId="0" applyNumberFormat="1" applyFont="1" applyBorder="1"/>
    <xf numFmtId="164" fontId="24" fillId="0" borderId="18" xfId="1" applyNumberFormat="1" applyFont="1" applyBorder="1"/>
    <xf numFmtId="0" fontId="24" fillId="0" borderId="5" xfId="0" applyFont="1" applyFill="1" applyBorder="1"/>
    <xf numFmtId="0" fontId="24" fillId="0" borderId="14" xfId="0" applyFont="1" applyFill="1" applyBorder="1"/>
    <xf numFmtId="0" fontId="24" fillId="0" borderId="2" xfId="0" applyFont="1" applyFill="1" applyBorder="1"/>
    <xf numFmtId="0" fontId="24" fillId="0" borderId="3" xfId="0" applyFont="1" applyBorder="1"/>
    <xf numFmtId="0" fontId="24" fillId="0" borderId="0" xfId="0" applyFont="1"/>
    <xf numFmtId="0" fontId="0" fillId="0" borderId="5" xfId="0" applyFont="1" applyBorder="1"/>
    <xf numFmtId="0" fontId="0" fillId="0" borderId="5" xfId="0" applyFont="1" applyFill="1" applyBorder="1"/>
    <xf numFmtId="0" fontId="25" fillId="0" borderId="0" xfId="0" applyFont="1"/>
    <xf numFmtId="166" fontId="0" fillId="3" borderId="23" xfId="0" applyNumberFormat="1" applyFont="1" applyFill="1" applyBorder="1"/>
    <xf numFmtId="164" fontId="0" fillId="0" borderId="18" xfId="0" applyNumberFormat="1" applyFont="1" applyBorder="1" applyAlignment="1">
      <alignment horizontal="center"/>
    </xf>
    <xf numFmtId="164" fontId="0" fillId="3" borderId="18" xfId="0" applyNumberFormat="1" applyFill="1" applyBorder="1"/>
    <xf numFmtId="164" fontId="0" fillId="0" borderId="32" xfId="0" applyNumberFormat="1" applyFont="1" applyBorder="1" applyAlignment="1">
      <alignment horizontal="center"/>
    </xf>
    <xf numFmtId="164" fontId="0" fillId="3" borderId="32" xfId="1" applyNumberFormat="1" applyFont="1" applyFill="1" applyBorder="1"/>
    <xf numFmtId="164" fontId="0" fillId="0" borderId="32" xfId="1" applyNumberFormat="1" applyFont="1" applyBorder="1"/>
    <xf numFmtId="0" fontId="24" fillId="0" borderId="0" xfId="0" applyFont="1" applyBorder="1"/>
    <xf numFmtId="49" fontId="0" fillId="3" borderId="18" xfId="0" applyNumberFormat="1" applyFill="1" applyBorder="1" applyAlignment="1">
      <alignment horizontal="left"/>
    </xf>
    <xf numFmtId="0" fontId="26" fillId="0" borderId="0" xfId="0" applyFont="1"/>
    <xf numFmtId="0" fontId="26" fillId="0" borderId="0" xfId="0" applyFont="1" applyFill="1" applyBorder="1"/>
    <xf numFmtId="164" fontId="0" fillId="0" borderId="23" xfId="1" applyNumberFormat="1" applyFont="1" applyBorder="1"/>
    <xf numFmtId="164" fontId="0" fillId="0" borderId="23" xfId="0" applyNumberFormat="1" applyBorder="1"/>
    <xf numFmtId="164" fontId="0" fillId="3" borderId="23" xfId="0" applyNumberFormat="1" applyFill="1" applyBorder="1"/>
    <xf numFmtId="0" fontId="26" fillId="0" borderId="0" xfId="0" applyFont="1" applyBorder="1"/>
    <xf numFmtId="0" fontId="26" fillId="0" borderId="5" xfId="0" applyFont="1" applyBorder="1"/>
    <xf numFmtId="166" fontId="0" fillId="0" borderId="34" xfId="0" applyNumberFormat="1" applyFont="1" applyBorder="1"/>
    <xf numFmtId="166" fontId="0" fillId="6" borderId="34" xfId="0" applyNumberFormat="1" applyFont="1" applyFill="1" applyBorder="1"/>
    <xf numFmtId="2" fontId="0" fillId="3" borderId="23" xfId="0" applyNumberFormat="1" applyFont="1" applyFill="1" applyBorder="1"/>
    <xf numFmtId="166" fontId="0" fillId="0" borderId="34" xfId="0" applyNumberFormat="1" applyFont="1" applyFill="1" applyBorder="1"/>
    <xf numFmtId="0" fontId="26" fillId="0" borderId="31" xfId="0" applyFont="1" applyBorder="1" applyAlignment="1">
      <alignment horizontal="center"/>
    </xf>
    <xf numFmtId="0" fontId="26" fillId="0" borderId="18" xfId="0" applyFont="1" applyBorder="1" applyAlignment="1">
      <alignment horizontal="center"/>
    </xf>
    <xf numFmtId="165" fontId="27" fillId="3" borderId="11" xfId="0" applyNumberFormat="1" applyFont="1" applyFill="1" applyBorder="1"/>
    <xf numFmtId="166" fontId="28" fillId="0" borderId="0" xfId="1" applyNumberFormat="1" applyFont="1"/>
    <xf numFmtId="0" fontId="0" fillId="3" borderId="18" xfId="0" applyNumberFormat="1" applyFill="1" applyBorder="1" applyAlignment="1">
      <alignment horizontal="left"/>
    </xf>
    <xf numFmtId="0" fontId="0" fillId="0" borderId="35" xfId="0" applyBorder="1"/>
    <xf numFmtId="37" fontId="0" fillId="3" borderId="18" xfId="0" applyNumberFormat="1" applyFill="1" applyBorder="1"/>
    <xf numFmtId="0" fontId="30" fillId="0" borderId="0" xfId="0" applyFont="1"/>
    <xf numFmtId="164" fontId="25" fillId="0" borderId="0" xfId="1" applyNumberFormat="1" applyFont="1"/>
    <xf numFmtId="166" fontId="25" fillId="0" borderId="34" xfId="0" applyNumberFormat="1" applyFont="1" applyBorder="1"/>
    <xf numFmtId="0" fontId="25" fillId="0" borderId="0" xfId="0" applyFont="1" applyFill="1" applyBorder="1"/>
    <xf numFmtId="166" fontId="30" fillId="0" borderId="34" xfId="0" applyNumberFormat="1" applyFont="1" applyBorder="1"/>
    <xf numFmtId="0" fontId="0" fillId="5" borderId="0" xfId="0" applyFont="1" applyFill="1"/>
    <xf numFmtId="0" fontId="30" fillId="5" borderId="0" xfId="0" applyFont="1" applyFill="1"/>
    <xf numFmtId="164" fontId="0" fillId="0" borderId="36" xfId="0" applyNumberFormat="1" applyBorder="1"/>
    <xf numFmtId="170" fontId="0" fillId="0" borderId="37" xfId="1" applyNumberFormat="1" applyFont="1" applyFill="1" applyBorder="1" applyAlignment="1" applyProtection="1"/>
    <xf numFmtId="171" fontId="0" fillId="0" borderId="37" xfId="5" applyNumberFormat="1" applyFont="1" applyFill="1" applyBorder="1" applyAlignment="1" applyProtection="1"/>
    <xf numFmtId="172" fontId="0" fillId="0" borderId="37" xfId="5" applyNumberFormat="1" applyFont="1" applyFill="1" applyBorder="1" applyAlignment="1" applyProtection="1"/>
    <xf numFmtId="172" fontId="0" fillId="0" borderId="37" xfId="2" applyNumberFormat="1" applyFont="1" applyFill="1" applyBorder="1" applyAlignment="1" applyProtection="1"/>
    <xf numFmtId="172" fontId="0" fillId="3" borderId="37" xfId="2" applyNumberFormat="1" applyFont="1" applyFill="1" applyBorder="1" applyAlignment="1" applyProtection="1"/>
    <xf numFmtId="172" fontId="2" fillId="0" borderId="38" xfId="2" applyNumberFormat="1" applyFont="1" applyFill="1" applyBorder="1" applyAlignment="1" applyProtection="1"/>
    <xf numFmtId="164" fontId="0" fillId="0" borderId="23" xfId="0" applyNumberFormat="1" applyFont="1" applyBorder="1" applyAlignment="1">
      <alignment horizontal="center"/>
    </xf>
    <xf numFmtId="37" fontId="0" fillId="3" borderId="23" xfId="0" applyNumberFormat="1" applyFill="1" applyBorder="1"/>
    <xf numFmtId="164" fontId="0" fillId="3" borderId="23" xfId="1" applyNumberFormat="1" applyFont="1" applyFill="1" applyBorder="1"/>
    <xf numFmtId="0" fontId="24" fillId="0" borderId="0" xfId="0" applyFont="1" applyFill="1"/>
    <xf numFmtId="0" fontId="0" fillId="0" borderId="0" xfId="0" applyFont="1" applyFill="1"/>
    <xf numFmtId="165" fontId="0" fillId="3" borderId="39" xfId="1" applyNumberFormat="1" applyFont="1" applyFill="1" applyBorder="1"/>
    <xf numFmtId="171" fontId="0" fillId="0" borderId="39" xfId="5" applyNumberFormat="1" applyFont="1" applyFill="1" applyBorder="1" applyAlignment="1" applyProtection="1"/>
    <xf numFmtId="171" fontId="0" fillId="0" borderId="40" xfId="5" applyNumberFormat="1" applyFont="1" applyFill="1" applyBorder="1" applyAlignment="1" applyProtection="1"/>
    <xf numFmtId="171" fontId="0" fillId="0" borderId="41" xfId="5" applyNumberFormat="1" applyFont="1" applyFill="1" applyBorder="1" applyAlignment="1" applyProtection="1"/>
    <xf numFmtId="0" fontId="15" fillId="3" borderId="23" xfId="0" applyFont="1" applyFill="1" applyBorder="1"/>
    <xf numFmtId="0" fontId="19" fillId="3" borderId="23" xfId="0" applyFont="1" applyFill="1" applyBorder="1"/>
    <xf numFmtId="0" fontId="0" fillId="0" borderId="42" xfId="0" applyFont="1" applyBorder="1" applyAlignment="1">
      <alignment horizontal="center"/>
    </xf>
    <xf numFmtId="0" fontId="10" fillId="3" borderId="43" xfId="0" applyFont="1" applyFill="1" applyBorder="1"/>
    <xf numFmtId="166" fontId="10" fillId="3" borderId="43" xfId="1" applyNumberFormat="1" applyFont="1" applyFill="1" applyBorder="1"/>
    <xf numFmtId="165" fontId="10" fillId="3" borderId="43" xfId="1" applyFont="1" applyFill="1" applyBorder="1"/>
    <xf numFmtId="166" fontId="0" fillId="3" borderId="43" xfId="1" applyNumberFormat="1" applyFont="1" applyFill="1" applyBorder="1"/>
    <xf numFmtId="0" fontId="1" fillId="0" borderId="0" xfId="6"/>
    <xf numFmtId="0" fontId="10" fillId="3" borderId="42" xfId="0" applyFont="1" applyFill="1" applyBorder="1"/>
    <xf numFmtId="166" fontId="10" fillId="3" borderId="42" xfId="1" applyNumberFormat="1" applyFont="1" applyFill="1" applyBorder="1"/>
    <xf numFmtId="165" fontId="10" fillId="3" borderId="42" xfId="1" applyFont="1" applyFill="1" applyBorder="1"/>
    <xf numFmtId="166" fontId="0" fillId="3" borderId="42" xfId="1" applyNumberFormat="1" applyFont="1" applyFill="1" applyBorder="1"/>
    <xf numFmtId="165" fontId="31" fillId="3" borderId="11" xfId="0" applyNumberFormat="1" applyFont="1" applyFill="1" applyBorder="1"/>
    <xf numFmtId="17" fontId="0" fillId="0" borderId="0" xfId="0" applyNumberFormat="1" applyFont="1"/>
    <xf numFmtId="0" fontId="10" fillId="3" borderId="27" xfId="0" applyFont="1" applyFill="1" applyBorder="1" applyAlignment="1">
      <alignment horizontal="center" vertical="center"/>
    </xf>
    <xf numFmtId="0" fontId="10" fillId="3" borderId="27" xfId="0" applyFont="1" applyFill="1" applyBorder="1" applyAlignment="1">
      <alignment horizontal="center" vertical="center"/>
    </xf>
    <xf numFmtId="0" fontId="0" fillId="3" borderId="44" xfId="0" applyFont="1" applyFill="1" applyBorder="1" applyAlignment="1">
      <alignment horizontal="center"/>
    </xf>
    <xf numFmtId="165" fontId="0" fillId="0" borderId="45" xfId="0" applyNumberFormat="1" applyFont="1" applyBorder="1"/>
    <xf numFmtId="165" fontId="0" fillId="0" borderId="46" xfId="0" applyNumberFormat="1" applyFont="1" applyBorder="1"/>
    <xf numFmtId="0" fontId="25" fillId="0" borderId="0" xfId="0" applyFont="1" applyBorder="1"/>
    <xf numFmtId="16" fontId="0" fillId="0" borderId="0" xfId="0" applyNumberFormat="1" applyFont="1" applyBorder="1"/>
    <xf numFmtId="0" fontId="0" fillId="0" borderId="0" xfId="0" applyBorder="1"/>
    <xf numFmtId="0" fontId="24" fillId="0" borderId="0" xfId="0" applyFont="1" applyFill="1" applyBorder="1"/>
    <xf numFmtId="0" fontId="30" fillId="0" borderId="0" xfId="0" applyFont="1" applyBorder="1"/>
    <xf numFmtId="0" fontId="0" fillId="0" borderId="21" xfId="0" applyFont="1" applyBorder="1"/>
    <xf numFmtId="166" fontId="25" fillId="0" borderId="21" xfId="0" applyNumberFormat="1" applyFont="1" applyBorder="1"/>
    <xf numFmtId="166" fontId="0" fillId="6" borderId="21" xfId="0" applyNumberFormat="1" applyFont="1" applyFill="1" applyBorder="1"/>
    <xf numFmtId="166" fontId="0" fillId="0" borderId="34" xfId="0" applyNumberFormat="1" applyBorder="1"/>
    <xf numFmtId="12" fontId="0" fillId="0" borderId="18" xfId="0" applyNumberFormat="1" applyFont="1" applyBorder="1"/>
    <xf numFmtId="0" fontId="0" fillId="0" borderId="18" xfId="0" applyBorder="1"/>
    <xf numFmtId="166" fontId="25" fillId="0" borderId="46" xfId="0" applyNumberFormat="1" applyFont="1" applyBorder="1"/>
    <xf numFmtId="17" fontId="0" fillId="0" borderId="0" xfId="0" applyNumberFormat="1" applyFont="1" applyBorder="1"/>
    <xf numFmtId="166" fontId="0" fillId="0" borderId="46" xfId="0" applyNumberFormat="1" applyFont="1" applyFill="1" applyBorder="1"/>
    <xf numFmtId="164" fontId="10" fillId="5" borderId="5" xfId="4" applyFont="1" applyFill="1" applyBorder="1"/>
    <xf numFmtId="166" fontId="10" fillId="0" borderId="18" xfId="0" applyNumberFormat="1" applyFont="1" applyBorder="1"/>
    <xf numFmtId="164" fontId="0" fillId="0" borderId="0" xfId="2" applyFont="1" applyFill="1" applyBorder="1"/>
    <xf numFmtId="0" fontId="0" fillId="5" borderId="32" xfId="0" applyFont="1" applyFill="1" applyBorder="1"/>
    <xf numFmtId="164" fontId="0" fillId="0" borderId="18" xfId="0" applyNumberFormat="1" applyBorder="1"/>
    <xf numFmtId="17" fontId="0" fillId="0" borderId="0" xfId="0" quotePrefix="1" applyNumberFormat="1" applyBorder="1"/>
    <xf numFmtId="166" fontId="25" fillId="7" borderId="21" xfId="0" applyNumberFormat="1" applyFont="1" applyFill="1" applyBorder="1"/>
    <xf numFmtId="166" fontId="0" fillId="0" borderId="21" xfId="0" applyNumberFormat="1" applyBorder="1"/>
    <xf numFmtId="0" fontId="0" fillId="3" borderId="0" xfId="0" applyFont="1" applyFill="1" applyBorder="1" applyAlignment="1">
      <alignment horizontal="center" vertical="center"/>
    </xf>
    <xf numFmtId="0" fontId="0" fillId="3" borderId="0" xfId="0" applyFont="1" applyFill="1" applyBorder="1" applyAlignment="1">
      <alignment horizontal="center"/>
    </xf>
    <xf numFmtId="165" fontId="0" fillId="0" borderId="0" xfId="0" applyNumberFormat="1" applyFont="1" applyBorder="1"/>
    <xf numFmtId="165" fontId="10" fillId="3" borderId="0" xfId="1" applyNumberFormat="1" applyFont="1" applyFill="1" applyBorder="1" applyAlignment="1"/>
    <xf numFmtId="165" fontId="0" fillId="3" borderId="0" xfId="0" applyNumberFormat="1" applyFont="1" applyFill="1" applyBorder="1"/>
    <xf numFmtId="167" fontId="0" fillId="3" borderId="0" xfId="2" applyNumberFormat="1" applyFont="1" applyFill="1" applyBorder="1"/>
    <xf numFmtId="165" fontId="0" fillId="0" borderId="47" xfId="0" applyNumberFormat="1" applyFont="1" applyBorder="1"/>
    <xf numFmtId="165" fontId="0" fillId="0" borderId="21" xfId="0" applyNumberFormat="1" applyFont="1" applyBorder="1"/>
    <xf numFmtId="167" fontId="0" fillId="3" borderId="0" xfId="0" applyNumberFormat="1" applyFont="1" applyFill="1" applyBorder="1"/>
    <xf numFmtId="165" fontId="0" fillId="0" borderId="46" xfId="0" applyNumberFormat="1" applyBorder="1"/>
    <xf numFmtId="165" fontId="0" fillId="3" borderId="0" xfId="1" applyFont="1" applyFill="1" applyBorder="1"/>
    <xf numFmtId="165" fontId="10" fillId="3" borderId="0" xfId="0" applyNumberFormat="1" applyFont="1" applyFill="1" applyBorder="1"/>
    <xf numFmtId="165" fontId="31" fillId="3" borderId="0" xfId="0" applyNumberFormat="1" applyFont="1" applyFill="1" applyBorder="1"/>
    <xf numFmtId="165" fontId="0" fillId="0" borderId="21" xfId="0" applyNumberFormat="1" applyBorder="1"/>
    <xf numFmtId="165" fontId="0" fillId="0" borderId="0" xfId="0" applyNumberFormat="1" applyBorder="1"/>
    <xf numFmtId="165" fontId="9" fillId="0" borderId="46" xfId="0" applyNumberFormat="1" applyFont="1" applyBorder="1"/>
    <xf numFmtId="0" fontId="10" fillId="3" borderId="28" xfId="0" applyFont="1" applyFill="1" applyBorder="1" applyAlignment="1">
      <alignment horizontal="center" vertical="center"/>
    </xf>
    <xf numFmtId="0" fontId="10" fillId="3" borderId="33" xfId="0" applyFont="1" applyFill="1" applyBorder="1" applyAlignment="1">
      <alignment horizontal="center" vertical="center"/>
    </xf>
    <xf numFmtId="0" fontId="10" fillId="3" borderId="30" xfId="0" applyFont="1" applyFill="1" applyBorder="1" applyAlignment="1">
      <alignment horizontal="center" vertical="center"/>
    </xf>
    <xf numFmtId="164" fontId="10" fillId="3" borderId="28" xfId="2" applyFont="1" applyFill="1" applyBorder="1" applyAlignment="1">
      <alignment horizontal="center" vertical="center" wrapText="1"/>
    </xf>
    <xf numFmtId="164" fontId="10" fillId="3" borderId="30" xfId="2" applyFont="1" applyFill="1" applyBorder="1" applyAlignment="1">
      <alignment horizontal="center" vertical="center" wrapText="1"/>
    </xf>
    <xf numFmtId="0" fontId="0" fillId="3" borderId="28" xfId="0" applyFont="1" applyFill="1" applyBorder="1" applyAlignment="1">
      <alignment horizontal="center" vertical="center"/>
    </xf>
    <xf numFmtId="0" fontId="0" fillId="3" borderId="30" xfId="0" applyFont="1" applyFill="1" applyBorder="1" applyAlignment="1">
      <alignment horizontal="center" vertical="center"/>
    </xf>
    <xf numFmtId="0" fontId="10" fillId="3" borderId="27" xfId="0" applyFont="1" applyFill="1" applyBorder="1" applyAlignment="1">
      <alignment horizontal="center" vertical="center"/>
    </xf>
    <xf numFmtId="165" fontId="10" fillId="3" borderId="27" xfId="1" applyNumberFormat="1" applyFont="1" applyFill="1" applyBorder="1" applyAlignment="1">
      <alignment horizontal="center" vertical="center"/>
    </xf>
    <xf numFmtId="164" fontId="10" fillId="3" borderId="27" xfId="2" applyFont="1" applyFill="1" applyBorder="1" applyAlignment="1">
      <alignment horizontal="center"/>
    </xf>
    <xf numFmtId="0" fontId="11" fillId="3" borderId="15" xfId="0" applyFont="1" applyFill="1" applyBorder="1" applyAlignment="1">
      <alignment horizontal="center"/>
    </xf>
    <xf numFmtId="0" fontId="11" fillId="3" borderId="21" xfId="0" applyFont="1" applyFill="1" applyBorder="1" applyAlignment="1">
      <alignment horizontal="center"/>
    </xf>
    <xf numFmtId="165" fontId="11" fillId="3" borderId="0" xfId="1" applyNumberFormat="1" applyFont="1" applyFill="1" applyBorder="1" applyAlignment="1">
      <alignment horizontal="center"/>
    </xf>
    <xf numFmtId="164" fontId="5" fillId="0" borderId="0" xfId="3" applyNumberFormat="1" applyFont="1" applyFill="1" applyAlignment="1">
      <alignment horizontal="center"/>
    </xf>
    <xf numFmtId="17" fontId="29" fillId="0" borderId="0" xfId="3" quotePrefix="1" applyNumberFormat="1" applyFont="1" applyAlignment="1">
      <alignment horizontal="center"/>
    </xf>
    <xf numFmtId="0" fontId="8" fillId="0" borderId="0" xfId="3" applyFont="1" applyAlignment="1">
      <alignment horizontal="center"/>
    </xf>
  </cellXfs>
  <cellStyles count="7">
    <cellStyle name="Comma" xfId="1" builtinId="3"/>
    <cellStyle name="Comma [0]" xfId="2" builtinId="6"/>
    <cellStyle name="Comma [0] 2" xfId="4"/>
    <cellStyle name="Comma[0]_SS,MS" xfId="5"/>
    <cellStyle name="Normal" xfId="0" builtinId="0"/>
    <cellStyle name="Normal 2" xfId="6"/>
    <cellStyle name="Normal 2 2" xfId="3"/>
  </cellStyles>
  <dxfs count="0"/>
  <tableStyles count="0" defaultTableStyle="TableStyleMedium9" defaultPivotStyle="PivotStyleLight16"/>
  <colors>
    <mruColors>
      <color rgb="FF00CC00"/>
      <color rgb="FFD60093"/>
      <color rgb="FFCC0099"/>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Februari%2020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Documents%20and%20Settings/user/My%20Documents/Berita%20Acara%20Stok%20Opname%20Triwulan%20II%20th%20201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Maret%20201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uni%202013REV.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anuari%20201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ULI%20201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uli%20201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September%2020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April%20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G3" t="str">
            <v>PRKO RATU BOKO</v>
          </cell>
        </row>
        <row r="5">
          <cell r="H5">
            <v>8000</v>
          </cell>
        </row>
      </sheetData>
      <sheetData sheetId="5" refreshError="1"/>
      <sheetData sheetId="6" refreshError="1"/>
      <sheetData sheetId="7" refreshError="1">
        <row r="2">
          <cell r="GS2" t="str">
            <v>SHP RATU BOKO</v>
          </cell>
        </row>
        <row r="4">
          <cell r="GS4">
            <v>7500</v>
          </cell>
          <cell r="GT4">
            <v>12500</v>
          </cell>
          <cell r="GU4">
            <v>5000</v>
          </cell>
        </row>
      </sheetData>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RITA ACARA"/>
      <sheetName val="Konsinyasi"/>
      <sheetName val="Prangko Definitif"/>
      <sheetName val="Rekap PRKO-DEFINITIF"/>
      <sheetName val="Prangko Filateli "/>
      <sheetName val="SS,MS"/>
      <sheetName val="SHP,SP"/>
      <sheetName val="Kemasan"/>
      <sheetName val="Merchandise,Album"/>
      <sheetName val="PRISMA"/>
      <sheetName val="Lain-lain"/>
      <sheetName val="Rekap"/>
    </sheetNames>
    <sheetDataSet>
      <sheetData sheetId="0" refreshError="1"/>
      <sheetData sheetId="1" refreshError="1"/>
      <sheetData sheetId="2" refreshError="1"/>
      <sheetData sheetId="3" refreshError="1"/>
      <sheetData sheetId="4" refreshError="1">
        <row r="150">
          <cell r="D150">
            <v>178.49</v>
          </cell>
        </row>
        <row r="196">
          <cell r="D196">
            <v>226.62</v>
          </cell>
        </row>
        <row r="201">
          <cell r="D201">
            <v>109.83</v>
          </cell>
        </row>
      </sheetData>
      <sheetData sheetId="5" refreshError="1"/>
      <sheetData sheetId="6" refreshError="1">
        <row r="751">
          <cell r="D751">
            <v>2068</v>
          </cell>
        </row>
        <row r="752">
          <cell r="D752">
            <v>2628</v>
          </cell>
        </row>
        <row r="753">
          <cell r="D753">
            <v>2103</v>
          </cell>
        </row>
        <row r="754">
          <cell r="D754">
            <v>5291</v>
          </cell>
        </row>
        <row r="755">
          <cell r="D755">
            <v>1850</v>
          </cell>
        </row>
        <row r="756">
          <cell r="D756">
            <v>1850</v>
          </cell>
        </row>
        <row r="762">
          <cell r="D762">
            <v>2103</v>
          </cell>
        </row>
      </sheetData>
      <sheetData sheetId="7" refreshError="1"/>
      <sheetData sheetId="8" refreshError="1"/>
      <sheetData sheetId="9" refreshError="1"/>
      <sheetData sheetId="10" refreshError="1"/>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I3" t="str">
            <v>PRKO ALAT MUSIK TRAD</v>
          </cell>
        </row>
        <row r="5">
          <cell r="I5">
            <v>30000</v>
          </cell>
        </row>
      </sheetData>
      <sheetData sheetId="5" refreshError="1"/>
      <sheetData sheetId="6" refreshError="1"/>
      <sheetData sheetId="7" refreshError="1">
        <row r="2">
          <cell r="GV2" t="str">
            <v>SHP ALAT MUSIK TRAD</v>
          </cell>
        </row>
        <row r="4">
          <cell r="GV4">
            <v>37500</v>
          </cell>
        </row>
      </sheetData>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L3" t="str">
            <v>PRKO PMI</v>
          </cell>
        </row>
        <row r="5">
          <cell r="L5">
            <v>6000</v>
          </cell>
        </row>
      </sheetData>
      <sheetData sheetId="5" refreshError="1">
        <row r="3">
          <cell r="FE3" t="str">
            <v>SS PEDULI LINGK</v>
          </cell>
        </row>
        <row r="5">
          <cell r="FE5">
            <v>5000</v>
          </cell>
          <cell r="FF5">
            <v>10000</v>
          </cell>
          <cell r="FG5">
            <v>10000</v>
          </cell>
        </row>
      </sheetData>
      <sheetData sheetId="6" refreshError="1"/>
      <sheetData sheetId="7" refreshError="1">
        <row r="2">
          <cell r="GX2" t="str">
            <v>SHP PEDULI LINGK</v>
          </cell>
        </row>
        <row r="4">
          <cell r="GX4">
            <v>7500</v>
          </cell>
          <cell r="GY4">
            <v>7500</v>
          </cell>
          <cell r="GZ4">
            <v>12500</v>
          </cell>
          <cell r="HA4">
            <v>5000</v>
          </cell>
          <cell r="HB4">
            <v>10000</v>
          </cell>
          <cell r="HC4">
            <v>8500</v>
          </cell>
        </row>
      </sheetData>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FC3" t="str">
            <v>SS TAHUN ULAR 2564</v>
          </cell>
        </row>
        <row r="5">
          <cell r="FA5">
            <v>5000</v>
          </cell>
        </row>
      </sheetData>
      <sheetData sheetId="5" refreshError="1"/>
      <sheetData sheetId="6" refreshError="1">
        <row r="2">
          <cell r="GQ2" t="str">
            <v>SHP SHIO ULAR</v>
          </cell>
        </row>
        <row r="4">
          <cell r="GQ4">
            <v>17500</v>
          </cell>
        </row>
      </sheetData>
      <sheetData sheetId="7" refreshError="1"/>
      <sheetData sheetId="8" refreshError="1"/>
      <sheetData sheetId="9" refreshError="1"/>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row r="3">
          <cell r="FH3" t="str">
            <v>SS THAILAND</v>
          </cell>
        </row>
        <row r="5">
          <cell r="FH5">
            <v>10000</v>
          </cell>
        </row>
      </sheetData>
      <sheetData sheetId="6" refreshError="1"/>
      <sheetData sheetId="7" refreshError="1"/>
      <sheetData sheetId="8" refreshError="1"/>
      <sheetData sheetId="9" refreshError="1"/>
      <sheetData sheetId="10" refreshError="1">
        <row r="3">
          <cell r="AY3" t="str">
            <v>PRISMA BINGKAI BENDERA</v>
          </cell>
        </row>
        <row r="5">
          <cell r="AY5">
            <v>28000</v>
          </cell>
          <cell r="AZ5">
            <v>28000</v>
          </cell>
        </row>
      </sheetData>
      <sheetData sheetId="1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sheetData sheetId="6" refreshError="1">
        <row r="4">
          <cell r="FV4">
            <v>5000</v>
          </cell>
          <cell r="FX4">
            <v>7000</v>
          </cell>
          <cell r="GF4">
            <v>12000</v>
          </cell>
        </row>
      </sheetData>
      <sheetData sheetId="7" refreshError="1"/>
      <sheetData sheetId="8" refreshError="1"/>
      <sheetData sheetId="9" refreshError="1"/>
      <sheetData sheetId="1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sheetData sheetId="6" refreshError="1">
        <row r="2">
          <cell r="HL2" t="str">
            <v>SHP JATI DIRI BANGSA</v>
          </cell>
          <cell r="HM2" t="str">
            <v>SP 266 POS</v>
          </cell>
        </row>
        <row r="4">
          <cell r="GG4">
            <v>7000</v>
          </cell>
          <cell r="GH4">
            <v>7000</v>
          </cell>
          <cell r="HL4">
            <v>9500</v>
          </cell>
          <cell r="HM4">
            <v>5000</v>
          </cell>
        </row>
      </sheetData>
      <sheetData sheetId="7" refreshError="1"/>
      <sheetData sheetId="8" refreshError="1"/>
      <sheetData sheetId="9" refreshError="1"/>
      <sheetData sheetId="1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2">
          <cell r="GW2" t="str">
            <v>SHP JIS INA-MEXICO</v>
          </cell>
        </row>
        <row r="4">
          <cell r="GW4">
            <v>18500</v>
          </cell>
        </row>
      </sheetData>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T329"/>
  <sheetViews>
    <sheetView tabSelected="1" topLeftCell="A289" zoomScale="80" zoomScaleNormal="80" workbookViewId="0">
      <selection activeCell="B310" sqref="B310"/>
    </sheetView>
  </sheetViews>
  <sheetFormatPr defaultRowHeight="15" x14ac:dyDescent="0.25"/>
  <cols>
    <col min="1" max="1" width="4.5703125" style="53" customWidth="1"/>
    <col min="2" max="2" width="25.85546875" style="53" customWidth="1"/>
    <col min="3" max="3" width="8.5703125" style="53" bestFit="1" customWidth="1"/>
    <col min="4" max="4" width="12.5703125" style="53" bestFit="1" customWidth="1"/>
    <col min="5" max="5" width="13.5703125" style="53" bestFit="1" customWidth="1"/>
    <col min="6" max="6" width="12.140625" style="53" bestFit="1" customWidth="1"/>
    <col min="7" max="7" width="11.85546875" style="53" customWidth="1"/>
    <col min="8" max="8" width="12.5703125" style="53" bestFit="1" customWidth="1"/>
    <col min="9" max="9" width="13.28515625" style="53" bestFit="1" customWidth="1"/>
    <col min="10" max="12" width="18" style="53" customWidth="1"/>
    <col min="13" max="16384" width="9.140625" style="53"/>
  </cols>
  <sheetData>
    <row r="2" spans="1:12" ht="15.75" thickBot="1" x14ac:dyDescent="0.3">
      <c r="A2" s="105" t="s">
        <v>655</v>
      </c>
      <c r="G2" s="213" t="s">
        <v>987</v>
      </c>
    </row>
    <row r="3" spans="1:12" ht="15.75" thickBot="1" x14ac:dyDescent="0.3">
      <c r="A3" s="365" t="s">
        <v>657</v>
      </c>
      <c r="B3" s="372" t="s">
        <v>0</v>
      </c>
      <c r="C3" s="372" t="s">
        <v>1</v>
      </c>
      <c r="D3" s="373" t="s">
        <v>649</v>
      </c>
      <c r="E3" s="374" t="s">
        <v>19</v>
      </c>
      <c r="F3" s="374"/>
      <c r="G3" s="374"/>
      <c r="H3" s="374"/>
      <c r="I3" s="374"/>
      <c r="J3" s="368" t="s">
        <v>21</v>
      </c>
      <c r="K3" s="370" t="s">
        <v>602</v>
      </c>
      <c r="L3" s="349"/>
    </row>
    <row r="4" spans="1:12" ht="30.75" thickBot="1" x14ac:dyDescent="0.3">
      <c r="A4" s="366"/>
      <c r="B4" s="372"/>
      <c r="C4" s="372"/>
      <c r="D4" s="373"/>
      <c r="E4" s="69" t="s">
        <v>22</v>
      </c>
      <c r="F4" s="69" t="s">
        <v>600</v>
      </c>
      <c r="G4" s="69" t="s">
        <v>601</v>
      </c>
      <c r="H4" s="69" t="s">
        <v>589</v>
      </c>
      <c r="I4" s="69" t="s">
        <v>601</v>
      </c>
      <c r="J4" s="369"/>
      <c r="K4" s="371"/>
      <c r="L4" s="349"/>
    </row>
    <row r="5" spans="1:12" ht="15.75" thickBot="1" x14ac:dyDescent="0.3">
      <c r="A5" s="367"/>
      <c r="B5" s="70">
        <v>1</v>
      </c>
      <c r="C5" s="70">
        <v>2</v>
      </c>
      <c r="D5" s="70">
        <v>3</v>
      </c>
      <c r="E5" s="71">
        <v>4</v>
      </c>
      <c r="F5" s="71">
        <f>+E5+1</f>
        <v>5</v>
      </c>
      <c r="G5" s="71" t="s">
        <v>652</v>
      </c>
      <c r="H5" s="71">
        <v>7</v>
      </c>
      <c r="I5" s="72" t="s">
        <v>651</v>
      </c>
      <c r="J5" s="42" t="s">
        <v>650</v>
      </c>
      <c r="K5" s="42" t="s">
        <v>653</v>
      </c>
      <c r="L5" s="350"/>
    </row>
    <row r="6" spans="1:12" x14ac:dyDescent="0.25">
      <c r="B6" s="73" t="s">
        <v>656</v>
      </c>
      <c r="C6" s="74"/>
      <c r="D6" s="75"/>
      <c r="E6" s="55"/>
      <c r="F6" s="55"/>
      <c r="G6" s="55"/>
      <c r="H6" s="55"/>
      <c r="I6" s="55"/>
      <c r="J6" s="55"/>
      <c r="K6" s="55"/>
      <c r="L6" s="135"/>
    </row>
    <row r="7" spans="1:12" x14ac:dyDescent="0.25">
      <c r="A7" s="106">
        <v>1</v>
      </c>
      <c r="B7" s="76" t="s">
        <v>2</v>
      </c>
      <c r="C7" s="77">
        <v>1500</v>
      </c>
      <c r="D7" s="78">
        <v>90.24</v>
      </c>
      <c r="E7" s="77"/>
      <c r="F7" s="56"/>
      <c r="G7" s="57">
        <f t="shared" ref="G7:G43" si="0">+E7+F7</f>
        <v>0</v>
      </c>
      <c r="H7" s="56"/>
      <c r="I7" s="57">
        <f t="shared" ref="I7:I43" si="1">+G7-H7</f>
        <v>0</v>
      </c>
      <c r="J7" s="57">
        <f t="shared" ref="J7:J43" si="2">I7*C7</f>
        <v>0</v>
      </c>
      <c r="K7" s="58">
        <f t="shared" ref="K7:K43" si="3">+D7*I7</f>
        <v>0</v>
      </c>
      <c r="L7" s="351"/>
    </row>
    <row r="8" spans="1:12" x14ac:dyDescent="0.25">
      <c r="A8" s="106">
        <v>2</v>
      </c>
      <c r="B8" s="76" t="s">
        <v>3</v>
      </c>
      <c r="C8" s="77">
        <v>1000</v>
      </c>
      <c r="D8" s="78">
        <v>168.13</v>
      </c>
      <c r="E8" s="77"/>
      <c r="F8" s="56"/>
      <c r="G8" s="57">
        <f t="shared" si="0"/>
        <v>0</v>
      </c>
      <c r="H8" s="56"/>
      <c r="I8" s="57">
        <f t="shared" si="1"/>
        <v>0</v>
      </c>
      <c r="J8" s="57">
        <f t="shared" si="2"/>
        <v>0</v>
      </c>
      <c r="K8" s="58">
        <f t="shared" si="3"/>
        <v>0</v>
      </c>
      <c r="L8" s="351"/>
    </row>
    <row r="9" spans="1:12" x14ac:dyDescent="0.25">
      <c r="A9" s="106">
        <v>3</v>
      </c>
      <c r="B9" s="76" t="s">
        <v>3</v>
      </c>
      <c r="C9" s="77">
        <v>1500</v>
      </c>
      <c r="D9" s="78">
        <v>168.13</v>
      </c>
      <c r="E9" s="77"/>
      <c r="F9" s="56"/>
      <c r="G9" s="57">
        <f t="shared" si="0"/>
        <v>0</v>
      </c>
      <c r="H9" s="56"/>
      <c r="I9" s="57">
        <f t="shared" si="1"/>
        <v>0</v>
      </c>
      <c r="J9" s="57">
        <f t="shared" si="2"/>
        <v>0</v>
      </c>
      <c r="K9" s="58">
        <f t="shared" si="3"/>
        <v>0</v>
      </c>
      <c r="L9" s="351"/>
    </row>
    <row r="10" spans="1:12" x14ac:dyDescent="0.25">
      <c r="A10" s="106">
        <v>4</v>
      </c>
      <c r="B10" s="76" t="s">
        <v>3</v>
      </c>
      <c r="C10" s="77">
        <v>2500</v>
      </c>
      <c r="D10" s="78">
        <v>168.13</v>
      </c>
      <c r="E10" s="77"/>
      <c r="F10" s="56"/>
      <c r="G10" s="57">
        <f t="shared" si="0"/>
        <v>0</v>
      </c>
      <c r="H10" s="56"/>
      <c r="I10" s="57">
        <f t="shared" si="1"/>
        <v>0</v>
      </c>
      <c r="J10" s="57">
        <f t="shared" si="2"/>
        <v>0</v>
      </c>
      <c r="K10" s="58">
        <f t="shared" si="3"/>
        <v>0</v>
      </c>
      <c r="L10" s="351"/>
    </row>
    <row r="11" spans="1:12" x14ac:dyDescent="0.25">
      <c r="A11" s="106">
        <v>5</v>
      </c>
      <c r="B11" s="76" t="s">
        <v>4</v>
      </c>
      <c r="C11" s="77">
        <v>1000</v>
      </c>
      <c r="D11" s="78">
        <v>176.52</v>
      </c>
      <c r="E11" s="77"/>
      <c r="F11" s="56"/>
      <c r="G11" s="57">
        <f t="shared" si="0"/>
        <v>0</v>
      </c>
      <c r="H11" s="56"/>
      <c r="I11" s="57">
        <f t="shared" si="1"/>
        <v>0</v>
      </c>
      <c r="J11" s="57">
        <f t="shared" si="2"/>
        <v>0</v>
      </c>
      <c r="K11" s="58">
        <f t="shared" si="3"/>
        <v>0</v>
      </c>
      <c r="L11" s="351"/>
    </row>
    <row r="12" spans="1:12" x14ac:dyDescent="0.25">
      <c r="A12" s="106">
        <v>6</v>
      </c>
      <c r="B12" s="76" t="s">
        <v>4</v>
      </c>
      <c r="C12" s="77">
        <v>1000</v>
      </c>
      <c r="D12" s="78">
        <v>176.52</v>
      </c>
      <c r="E12" s="77"/>
      <c r="F12" s="56"/>
      <c r="G12" s="57">
        <f t="shared" si="0"/>
        <v>0</v>
      </c>
      <c r="H12" s="56"/>
      <c r="I12" s="57">
        <f t="shared" si="1"/>
        <v>0</v>
      </c>
      <c r="J12" s="57">
        <f t="shared" si="2"/>
        <v>0</v>
      </c>
      <c r="K12" s="58">
        <f t="shared" si="3"/>
        <v>0</v>
      </c>
      <c r="L12" s="351"/>
    </row>
    <row r="13" spans="1:12" x14ac:dyDescent="0.25">
      <c r="A13" s="106">
        <v>7</v>
      </c>
      <c r="B13" s="76" t="s">
        <v>4</v>
      </c>
      <c r="C13" s="77">
        <v>1000</v>
      </c>
      <c r="D13" s="78">
        <v>176.52</v>
      </c>
      <c r="E13" s="77"/>
      <c r="F13" s="56"/>
      <c r="G13" s="57">
        <f t="shared" si="0"/>
        <v>0</v>
      </c>
      <c r="H13" s="56"/>
      <c r="I13" s="57">
        <f t="shared" si="1"/>
        <v>0</v>
      </c>
      <c r="J13" s="57">
        <f t="shared" si="2"/>
        <v>0</v>
      </c>
      <c r="K13" s="58">
        <f t="shared" si="3"/>
        <v>0</v>
      </c>
      <c r="L13" s="351"/>
    </row>
    <row r="14" spans="1:12" x14ac:dyDescent="0.25">
      <c r="A14" s="106">
        <v>8</v>
      </c>
      <c r="B14" s="76" t="s">
        <v>4</v>
      </c>
      <c r="C14" s="77">
        <v>500</v>
      </c>
      <c r="D14" s="78">
        <v>176.52</v>
      </c>
      <c r="E14" s="77"/>
      <c r="F14" s="56"/>
      <c r="G14" s="57">
        <f t="shared" si="0"/>
        <v>0</v>
      </c>
      <c r="H14" s="56"/>
      <c r="I14" s="57">
        <f t="shared" si="1"/>
        <v>0</v>
      </c>
      <c r="J14" s="57">
        <f t="shared" si="2"/>
        <v>0</v>
      </c>
      <c r="K14" s="58">
        <f t="shared" si="3"/>
        <v>0</v>
      </c>
      <c r="L14" s="351"/>
    </row>
    <row r="15" spans="1:12" x14ac:dyDescent="0.25">
      <c r="A15" s="106">
        <v>9</v>
      </c>
      <c r="B15" s="76" t="s">
        <v>4</v>
      </c>
      <c r="C15" s="77">
        <v>2000</v>
      </c>
      <c r="D15" s="78">
        <v>176.52</v>
      </c>
      <c r="E15" s="77"/>
      <c r="F15" s="56"/>
      <c r="G15" s="57">
        <f t="shared" si="0"/>
        <v>0</v>
      </c>
      <c r="H15" s="56"/>
      <c r="I15" s="57">
        <f t="shared" si="1"/>
        <v>0</v>
      </c>
      <c r="J15" s="57">
        <f t="shared" si="2"/>
        <v>0</v>
      </c>
      <c r="K15" s="58">
        <f t="shared" si="3"/>
        <v>0</v>
      </c>
      <c r="L15" s="351"/>
    </row>
    <row r="16" spans="1:12" x14ac:dyDescent="0.25">
      <c r="A16" s="106">
        <v>10</v>
      </c>
      <c r="B16" s="76" t="s">
        <v>5</v>
      </c>
      <c r="C16" s="77">
        <v>1000</v>
      </c>
      <c r="D16" s="78">
        <v>217.35</v>
      </c>
      <c r="E16" s="77"/>
      <c r="F16" s="56"/>
      <c r="G16" s="57">
        <f t="shared" si="0"/>
        <v>0</v>
      </c>
      <c r="H16" s="56"/>
      <c r="I16" s="57">
        <f t="shared" si="1"/>
        <v>0</v>
      </c>
      <c r="J16" s="57">
        <f t="shared" si="2"/>
        <v>0</v>
      </c>
      <c r="K16" s="58">
        <f t="shared" si="3"/>
        <v>0</v>
      </c>
      <c r="L16" s="351"/>
    </row>
    <row r="17" spans="1:12" x14ac:dyDescent="0.25">
      <c r="A17" s="106">
        <v>11</v>
      </c>
      <c r="B17" s="76" t="s">
        <v>5</v>
      </c>
      <c r="C17" s="77">
        <v>1500</v>
      </c>
      <c r="D17" s="78">
        <v>217.35</v>
      </c>
      <c r="E17" s="77"/>
      <c r="F17" s="56"/>
      <c r="G17" s="57">
        <f t="shared" si="0"/>
        <v>0</v>
      </c>
      <c r="H17" s="56"/>
      <c r="I17" s="57">
        <f t="shared" si="1"/>
        <v>0</v>
      </c>
      <c r="J17" s="57">
        <f t="shared" si="2"/>
        <v>0</v>
      </c>
      <c r="K17" s="58">
        <f t="shared" si="3"/>
        <v>0</v>
      </c>
      <c r="L17" s="351"/>
    </row>
    <row r="18" spans="1:12" x14ac:dyDescent="0.25">
      <c r="A18" s="106">
        <v>12</v>
      </c>
      <c r="B18" s="76" t="s">
        <v>6</v>
      </c>
      <c r="C18" s="77">
        <v>1000</v>
      </c>
      <c r="D18" s="78">
        <v>147.94999999999999</v>
      </c>
      <c r="E18" s="77"/>
      <c r="F18" s="56"/>
      <c r="G18" s="57">
        <f t="shared" si="0"/>
        <v>0</v>
      </c>
      <c r="H18" s="56"/>
      <c r="I18" s="57">
        <f t="shared" si="1"/>
        <v>0</v>
      </c>
      <c r="J18" s="57">
        <f t="shared" si="2"/>
        <v>0</v>
      </c>
      <c r="K18" s="58">
        <f t="shared" si="3"/>
        <v>0</v>
      </c>
      <c r="L18" s="351"/>
    </row>
    <row r="19" spans="1:12" x14ac:dyDescent="0.25">
      <c r="A19" s="106">
        <v>13</v>
      </c>
      <c r="B19" s="76" t="s">
        <v>6</v>
      </c>
      <c r="C19" s="77">
        <v>1500</v>
      </c>
      <c r="D19" s="78">
        <v>147.94999999999999</v>
      </c>
      <c r="E19" s="56"/>
      <c r="F19" s="56"/>
      <c r="G19" s="57">
        <f t="shared" si="0"/>
        <v>0</v>
      </c>
      <c r="H19" s="56"/>
      <c r="I19" s="57">
        <f t="shared" si="1"/>
        <v>0</v>
      </c>
      <c r="J19" s="57">
        <f t="shared" si="2"/>
        <v>0</v>
      </c>
      <c r="K19" s="58">
        <f t="shared" si="3"/>
        <v>0</v>
      </c>
      <c r="L19" s="351"/>
    </row>
    <row r="20" spans="1:12" x14ac:dyDescent="0.25">
      <c r="A20" s="106">
        <v>14</v>
      </c>
      <c r="B20" s="76" t="s">
        <v>7</v>
      </c>
      <c r="C20" s="77">
        <v>1500</v>
      </c>
      <c r="D20" s="78">
        <v>75.66</v>
      </c>
      <c r="E20" s="56"/>
      <c r="F20" s="56"/>
      <c r="G20" s="57">
        <f t="shared" si="0"/>
        <v>0</v>
      </c>
      <c r="H20" s="56"/>
      <c r="I20" s="57">
        <f t="shared" si="1"/>
        <v>0</v>
      </c>
      <c r="J20" s="57">
        <f t="shared" si="2"/>
        <v>0</v>
      </c>
      <c r="K20" s="58">
        <f t="shared" si="3"/>
        <v>0</v>
      </c>
      <c r="L20" s="351"/>
    </row>
    <row r="21" spans="1:12" x14ac:dyDescent="0.25">
      <c r="A21" s="106">
        <v>15</v>
      </c>
      <c r="B21" s="76" t="s">
        <v>8</v>
      </c>
      <c r="C21" s="77">
        <v>1500</v>
      </c>
      <c r="D21" s="78">
        <v>124.97</v>
      </c>
      <c r="E21" s="56"/>
      <c r="F21" s="56"/>
      <c r="G21" s="57">
        <f t="shared" si="0"/>
        <v>0</v>
      </c>
      <c r="H21" s="56"/>
      <c r="I21" s="57">
        <f t="shared" si="1"/>
        <v>0</v>
      </c>
      <c r="J21" s="57">
        <f t="shared" si="2"/>
        <v>0</v>
      </c>
      <c r="K21" s="58">
        <f t="shared" si="3"/>
        <v>0</v>
      </c>
      <c r="L21" s="351"/>
    </row>
    <row r="22" spans="1:12" x14ac:dyDescent="0.25">
      <c r="A22" s="106">
        <v>16</v>
      </c>
      <c r="B22" s="76" t="s">
        <v>9</v>
      </c>
      <c r="C22" s="77">
        <v>2000</v>
      </c>
      <c r="D22" s="78">
        <f>221.1/4</f>
        <v>55.274999999999999</v>
      </c>
      <c r="E22" s="56"/>
      <c r="F22" s="56"/>
      <c r="G22" s="57">
        <f t="shared" si="0"/>
        <v>0</v>
      </c>
      <c r="H22" s="56"/>
      <c r="I22" s="57">
        <f t="shared" si="1"/>
        <v>0</v>
      </c>
      <c r="J22" s="57">
        <f t="shared" si="2"/>
        <v>0</v>
      </c>
      <c r="K22" s="58">
        <f t="shared" si="3"/>
        <v>0</v>
      </c>
      <c r="L22" s="351"/>
    </row>
    <row r="23" spans="1:12" x14ac:dyDescent="0.25">
      <c r="A23" s="106">
        <v>17</v>
      </c>
      <c r="B23" s="76" t="s">
        <v>10</v>
      </c>
      <c r="C23" s="77">
        <v>1000</v>
      </c>
      <c r="D23" s="78">
        <v>89.38</v>
      </c>
      <c r="E23" s="56"/>
      <c r="F23" s="56"/>
      <c r="G23" s="57">
        <f t="shared" si="0"/>
        <v>0</v>
      </c>
      <c r="H23" s="56"/>
      <c r="I23" s="57">
        <f t="shared" si="1"/>
        <v>0</v>
      </c>
      <c r="J23" s="57">
        <f t="shared" si="2"/>
        <v>0</v>
      </c>
      <c r="K23" s="58">
        <f t="shared" si="3"/>
        <v>0</v>
      </c>
      <c r="L23" s="351"/>
    </row>
    <row r="24" spans="1:12" x14ac:dyDescent="0.25">
      <c r="A24" s="106">
        <v>18</v>
      </c>
      <c r="B24" s="76" t="s">
        <v>10</v>
      </c>
      <c r="C24" s="77">
        <v>1500</v>
      </c>
      <c r="D24" s="78">
        <v>89.38</v>
      </c>
      <c r="E24" s="56"/>
      <c r="F24" s="56"/>
      <c r="G24" s="57">
        <f t="shared" si="0"/>
        <v>0</v>
      </c>
      <c r="H24" s="56"/>
      <c r="I24" s="57">
        <f t="shared" si="1"/>
        <v>0</v>
      </c>
      <c r="J24" s="57">
        <f t="shared" si="2"/>
        <v>0</v>
      </c>
      <c r="K24" s="58">
        <f t="shared" si="3"/>
        <v>0</v>
      </c>
      <c r="L24" s="351"/>
    </row>
    <row r="25" spans="1:12" x14ac:dyDescent="0.25">
      <c r="A25" s="106">
        <v>19</v>
      </c>
      <c r="B25" s="76" t="s">
        <v>11</v>
      </c>
      <c r="C25" s="77">
        <v>1500</v>
      </c>
      <c r="D25" s="78">
        <v>170.67</v>
      </c>
      <c r="E25" s="56"/>
      <c r="F25" s="56"/>
      <c r="G25" s="57">
        <f t="shared" si="0"/>
        <v>0</v>
      </c>
      <c r="H25" s="56"/>
      <c r="I25" s="57">
        <f t="shared" si="1"/>
        <v>0</v>
      </c>
      <c r="J25" s="57">
        <f t="shared" si="2"/>
        <v>0</v>
      </c>
      <c r="K25" s="58">
        <f t="shared" si="3"/>
        <v>0</v>
      </c>
      <c r="L25" s="351"/>
    </row>
    <row r="26" spans="1:12" x14ac:dyDescent="0.25">
      <c r="A26" s="106">
        <v>20</v>
      </c>
      <c r="B26" s="76" t="s">
        <v>12</v>
      </c>
      <c r="C26" s="77">
        <v>1000</v>
      </c>
      <c r="D26" s="78">
        <v>89.58</v>
      </c>
      <c r="E26" s="56"/>
      <c r="F26" s="56"/>
      <c r="G26" s="57">
        <f t="shared" si="0"/>
        <v>0</v>
      </c>
      <c r="H26" s="56"/>
      <c r="I26" s="57">
        <f t="shared" si="1"/>
        <v>0</v>
      </c>
      <c r="J26" s="57">
        <f t="shared" si="2"/>
        <v>0</v>
      </c>
      <c r="K26" s="58">
        <f t="shared" si="3"/>
        <v>0</v>
      </c>
      <c r="L26" s="351"/>
    </row>
    <row r="27" spans="1:12" x14ac:dyDescent="0.25">
      <c r="A27" s="106">
        <v>21</v>
      </c>
      <c r="B27" s="76" t="s">
        <v>12</v>
      </c>
      <c r="C27" s="77">
        <v>1500</v>
      </c>
      <c r="D27" s="78">
        <v>89.58</v>
      </c>
      <c r="E27" s="56"/>
      <c r="F27" s="56"/>
      <c r="G27" s="57">
        <f t="shared" si="0"/>
        <v>0</v>
      </c>
      <c r="H27" s="56"/>
      <c r="I27" s="57">
        <f t="shared" si="1"/>
        <v>0</v>
      </c>
      <c r="J27" s="57">
        <f t="shared" si="2"/>
        <v>0</v>
      </c>
      <c r="K27" s="58">
        <f t="shared" si="3"/>
        <v>0</v>
      </c>
      <c r="L27" s="351"/>
    </row>
    <row r="28" spans="1:12" x14ac:dyDescent="0.25">
      <c r="A28" s="106">
        <v>22</v>
      </c>
      <c r="B28" s="76" t="s">
        <v>13</v>
      </c>
      <c r="C28" s="77">
        <v>300</v>
      </c>
      <c r="D28" s="78">
        <v>26.22</v>
      </c>
      <c r="E28" s="56"/>
      <c r="F28" s="56"/>
      <c r="G28" s="57">
        <f t="shared" si="0"/>
        <v>0</v>
      </c>
      <c r="H28" s="56"/>
      <c r="I28" s="57">
        <f t="shared" si="1"/>
        <v>0</v>
      </c>
      <c r="J28" s="57">
        <f t="shared" si="2"/>
        <v>0</v>
      </c>
      <c r="K28" s="58">
        <f t="shared" si="3"/>
        <v>0</v>
      </c>
      <c r="L28" s="351"/>
    </row>
    <row r="29" spans="1:12" x14ac:dyDescent="0.25">
      <c r="A29" s="106">
        <v>23</v>
      </c>
      <c r="B29" s="76" t="s">
        <v>14</v>
      </c>
      <c r="C29" s="77">
        <v>500</v>
      </c>
      <c r="D29" s="78">
        <v>26.22</v>
      </c>
      <c r="E29" s="56"/>
      <c r="F29" s="56"/>
      <c r="G29" s="57">
        <f t="shared" si="0"/>
        <v>0</v>
      </c>
      <c r="H29" s="56"/>
      <c r="I29" s="57">
        <f t="shared" si="1"/>
        <v>0</v>
      </c>
      <c r="J29" s="57">
        <f t="shared" si="2"/>
        <v>0</v>
      </c>
      <c r="K29" s="58">
        <f t="shared" si="3"/>
        <v>0</v>
      </c>
      <c r="L29" s="351"/>
    </row>
    <row r="30" spans="1:12" x14ac:dyDescent="0.25">
      <c r="A30" s="106">
        <v>24</v>
      </c>
      <c r="B30" s="76" t="s">
        <v>15</v>
      </c>
      <c r="C30" s="77">
        <v>1500</v>
      </c>
      <c r="D30" s="78">
        <v>26.22</v>
      </c>
      <c r="E30" s="56"/>
      <c r="F30" s="56"/>
      <c r="G30" s="57">
        <f t="shared" si="0"/>
        <v>0</v>
      </c>
      <c r="H30" s="56"/>
      <c r="I30" s="57">
        <f t="shared" si="1"/>
        <v>0</v>
      </c>
      <c r="J30" s="57">
        <f t="shared" si="2"/>
        <v>0</v>
      </c>
      <c r="K30" s="58">
        <f t="shared" si="3"/>
        <v>0</v>
      </c>
      <c r="L30" s="351"/>
    </row>
    <row r="31" spans="1:12" x14ac:dyDescent="0.25">
      <c r="A31" s="106">
        <v>25</v>
      </c>
      <c r="B31" s="76" t="s">
        <v>16</v>
      </c>
      <c r="C31" s="77">
        <v>3000</v>
      </c>
      <c r="D31" s="78">
        <v>26.22</v>
      </c>
      <c r="E31" s="56"/>
      <c r="F31" s="56"/>
      <c r="G31" s="57">
        <f t="shared" si="0"/>
        <v>0</v>
      </c>
      <c r="H31" s="56"/>
      <c r="I31" s="57">
        <f t="shared" si="1"/>
        <v>0</v>
      </c>
      <c r="J31" s="57">
        <f t="shared" si="2"/>
        <v>0</v>
      </c>
      <c r="K31" s="58">
        <f t="shared" si="3"/>
        <v>0</v>
      </c>
      <c r="L31" s="351"/>
    </row>
    <row r="32" spans="1:12" x14ac:dyDescent="0.25">
      <c r="A32" s="106">
        <v>26</v>
      </c>
      <c r="B32" s="76" t="s">
        <v>17</v>
      </c>
      <c r="C32" s="77">
        <v>3000</v>
      </c>
      <c r="D32" s="78">
        <v>1336.5</v>
      </c>
      <c r="E32" s="56">
        <v>1338</v>
      </c>
      <c r="F32" s="56"/>
      <c r="G32" s="57">
        <f t="shared" si="0"/>
        <v>1338</v>
      </c>
      <c r="H32" s="56">
        <v>1338</v>
      </c>
      <c r="I32" s="57">
        <f t="shared" si="1"/>
        <v>0</v>
      </c>
      <c r="J32" s="57">
        <f t="shared" si="2"/>
        <v>0</v>
      </c>
      <c r="K32" s="58">
        <f t="shared" si="3"/>
        <v>0</v>
      </c>
      <c r="L32" s="363" t="s">
        <v>1012</v>
      </c>
    </row>
    <row r="33" spans="1:12" x14ac:dyDescent="0.25">
      <c r="A33" s="106">
        <v>27</v>
      </c>
      <c r="B33" s="76" t="s">
        <v>17</v>
      </c>
      <c r="C33" s="77">
        <v>5000</v>
      </c>
      <c r="D33" s="78">
        <v>1336.5</v>
      </c>
      <c r="E33" s="56">
        <v>1338</v>
      </c>
      <c r="F33" s="56"/>
      <c r="G33" s="57">
        <f t="shared" si="0"/>
        <v>1338</v>
      </c>
      <c r="H33" s="56">
        <v>1338</v>
      </c>
      <c r="I33" s="57">
        <f t="shared" si="1"/>
        <v>0</v>
      </c>
      <c r="J33" s="57">
        <f t="shared" si="2"/>
        <v>0</v>
      </c>
      <c r="K33" s="58">
        <f t="shared" si="3"/>
        <v>0</v>
      </c>
      <c r="L33" s="351"/>
    </row>
    <row r="34" spans="1:12" x14ac:dyDescent="0.25">
      <c r="A34" s="106">
        <v>28</v>
      </c>
      <c r="B34" s="76" t="s">
        <v>17</v>
      </c>
      <c r="C34" s="77">
        <v>10000</v>
      </c>
      <c r="D34" s="78">
        <v>1336.5</v>
      </c>
      <c r="E34" s="56">
        <v>1338</v>
      </c>
      <c r="F34" s="56"/>
      <c r="G34" s="57">
        <f t="shared" si="0"/>
        <v>1338</v>
      </c>
      <c r="H34" s="56">
        <v>1338</v>
      </c>
      <c r="I34" s="57">
        <f t="shared" si="1"/>
        <v>0</v>
      </c>
      <c r="J34" s="57">
        <f t="shared" si="2"/>
        <v>0</v>
      </c>
      <c r="K34" s="58">
        <f t="shared" si="3"/>
        <v>0</v>
      </c>
      <c r="L34" s="351"/>
    </row>
    <row r="35" spans="1:12" x14ac:dyDescent="0.25">
      <c r="A35" s="106">
        <v>29</v>
      </c>
      <c r="B35" s="76" t="s">
        <v>17</v>
      </c>
      <c r="C35" s="77">
        <v>20000</v>
      </c>
      <c r="D35" s="78">
        <v>1336.5</v>
      </c>
      <c r="E35" s="56">
        <v>1338</v>
      </c>
      <c r="F35" s="56"/>
      <c r="G35" s="57">
        <f t="shared" si="0"/>
        <v>1338</v>
      </c>
      <c r="H35" s="56">
        <v>1338</v>
      </c>
      <c r="I35" s="57">
        <f t="shared" si="1"/>
        <v>0</v>
      </c>
      <c r="J35" s="57">
        <f t="shared" si="2"/>
        <v>0</v>
      </c>
      <c r="K35" s="58">
        <f t="shared" si="3"/>
        <v>0</v>
      </c>
      <c r="L35" s="351"/>
    </row>
    <row r="36" spans="1:12" x14ac:dyDescent="0.25">
      <c r="A36" s="106">
        <v>30</v>
      </c>
      <c r="B36" s="76" t="s">
        <v>17</v>
      </c>
      <c r="C36" s="77">
        <v>25000</v>
      </c>
      <c r="D36" s="78">
        <v>1336.5</v>
      </c>
      <c r="E36" s="56">
        <v>1338</v>
      </c>
      <c r="F36" s="56"/>
      <c r="G36" s="57">
        <f t="shared" si="0"/>
        <v>1338</v>
      </c>
      <c r="H36" s="56">
        <v>1338</v>
      </c>
      <c r="I36" s="57">
        <f t="shared" si="1"/>
        <v>0</v>
      </c>
      <c r="J36" s="57">
        <f t="shared" si="2"/>
        <v>0</v>
      </c>
      <c r="K36" s="58">
        <f t="shared" si="3"/>
        <v>0</v>
      </c>
      <c r="L36" s="351"/>
    </row>
    <row r="37" spans="1:12" x14ac:dyDescent="0.25">
      <c r="A37" s="106">
        <v>31</v>
      </c>
      <c r="B37" s="76" t="s">
        <v>17</v>
      </c>
      <c r="C37" s="77">
        <v>30000</v>
      </c>
      <c r="D37" s="78">
        <v>1336.5</v>
      </c>
      <c r="E37" s="56">
        <v>1338</v>
      </c>
      <c r="F37" s="56"/>
      <c r="G37" s="57">
        <f t="shared" si="0"/>
        <v>1338</v>
      </c>
      <c r="H37" s="56">
        <v>1338</v>
      </c>
      <c r="I37" s="57">
        <f t="shared" si="1"/>
        <v>0</v>
      </c>
      <c r="J37" s="57">
        <f t="shared" si="2"/>
        <v>0</v>
      </c>
      <c r="K37" s="58">
        <f t="shared" si="3"/>
        <v>0</v>
      </c>
      <c r="L37" s="351"/>
    </row>
    <row r="38" spans="1:12" x14ac:dyDescent="0.25">
      <c r="A38" s="106">
        <v>32</v>
      </c>
      <c r="B38" s="76" t="s">
        <v>18</v>
      </c>
      <c r="C38" s="77">
        <v>3000</v>
      </c>
      <c r="D38" s="78">
        <v>1336.5</v>
      </c>
      <c r="E38" s="56">
        <v>5341</v>
      </c>
      <c r="F38" s="56"/>
      <c r="G38" s="57">
        <f t="shared" si="0"/>
        <v>5341</v>
      </c>
      <c r="H38" s="56">
        <v>5341</v>
      </c>
      <c r="I38" s="57">
        <f t="shared" si="1"/>
        <v>0</v>
      </c>
      <c r="J38" s="57">
        <f t="shared" si="2"/>
        <v>0</v>
      </c>
      <c r="K38" s="58">
        <f t="shared" si="3"/>
        <v>0</v>
      </c>
      <c r="L38" s="351"/>
    </row>
    <row r="39" spans="1:12" x14ac:dyDescent="0.25">
      <c r="A39" s="106">
        <v>33</v>
      </c>
      <c r="B39" s="76" t="s">
        <v>18</v>
      </c>
      <c r="C39" s="77">
        <v>5000</v>
      </c>
      <c r="D39" s="78">
        <v>1336.5</v>
      </c>
      <c r="E39" s="56">
        <v>5341</v>
      </c>
      <c r="F39" s="56"/>
      <c r="G39" s="57">
        <f t="shared" si="0"/>
        <v>5341</v>
      </c>
      <c r="H39" s="56">
        <v>5341</v>
      </c>
      <c r="I39" s="57">
        <f t="shared" si="1"/>
        <v>0</v>
      </c>
      <c r="J39" s="57">
        <f t="shared" si="2"/>
        <v>0</v>
      </c>
      <c r="K39" s="58">
        <f t="shared" si="3"/>
        <v>0</v>
      </c>
      <c r="L39" s="351"/>
    </row>
    <row r="40" spans="1:12" x14ac:dyDescent="0.25">
      <c r="A40" s="106">
        <v>34</v>
      </c>
      <c r="B40" s="76" t="s">
        <v>18</v>
      </c>
      <c r="C40" s="77">
        <v>10000</v>
      </c>
      <c r="D40" s="78">
        <v>1336.5</v>
      </c>
      <c r="E40" s="56">
        <v>5341</v>
      </c>
      <c r="F40" s="56"/>
      <c r="G40" s="57">
        <f t="shared" si="0"/>
        <v>5341</v>
      </c>
      <c r="H40" s="56">
        <v>5341</v>
      </c>
      <c r="I40" s="57">
        <f t="shared" si="1"/>
        <v>0</v>
      </c>
      <c r="J40" s="57">
        <f t="shared" si="2"/>
        <v>0</v>
      </c>
      <c r="K40" s="58">
        <f t="shared" si="3"/>
        <v>0</v>
      </c>
      <c r="L40" s="351"/>
    </row>
    <row r="41" spans="1:12" x14ac:dyDescent="0.25">
      <c r="A41" s="106">
        <v>35</v>
      </c>
      <c r="B41" s="76" t="s">
        <v>18</v>
      </c>
      <c r="C41" s="77">
        <v>20000</v>
      </c>
      <c r="D41" s="78">
        <v>1336.5</v>
      </c>
      <c r="E41" s="56">
        <v>5341</v>
      </c>
      <c r="F41" s="56"/>
      <c r="G41" s="57">
        <f t="shared" si="0"/>
        <v>5341</v>
      </c>
      <c r="H41" s="56">
        <v>5341</v>
      </c>
      <c r="I41" s="57">
        <f t="shared" si="1"/>
        <v>0</v>
      </c>
      <c r="J41" s="57">
        <f t="shared" si="2"/>
        <v>0</v>
      </c>
      <c r="K41" s="58">
        <f t="shared" si="3"/>
        <v>0</v>
      </c>
      <c r="L41" s="351"/>
    </row>
    <row r="42" spans="1:12" x14ac:dyDescent="0.25">
      <c r="A42" s="106">
        <v>36</v>
      </c>
      <c r="B42" s="76" t="s">
        <v>18</v>
      </c>
      <c r="C42" s="77">
        <v>25000</v>
      </c>
      <c r="D42" s="78">
        <v>1336.5</v>
      </c>
      <c r="E42" s="56">
        <v>5341</v>
      </c>
      <c r="F42" s="56"/>
      <c r="G42" s="57">
        <f t="shared" si="0"/>
        <v>5341</v>
      </c>
      <c r="H42" s="56">
        <v>5341</v>
      </c>
      <c r="I42" s="57">
        <f t="shared" si="1"/>
        <v>0</v>
      </c>
      <c r="J42" s="57">
        <f t="shared" si="2"/>
        <v>0</v>
      </c>
      <c r="K42" s="58">
        <f t="shared" si="3"/>
        <v>0</v>
      </c>
      <c r="L42" s="351"/>
    </row>
    <row r="43" spans="1:12" ht="15.75" thickBot="1" x14ac:dyDescent="0.3">
      <c r="A43" s="106">
        <v>37</v>
      </c>
      <c r="B43" s="107" t="s">
        <v>18</v>
      </c>
      <c r="C43" s="108">
        <v>30000</v>
      </c>
      <c r="D43" s="109">
        <v>1336.5</v>
      </c>
      <c r="E43" s="110">
        <v>5337</v>
      </c>
      <c r="F43" s="110"/>
      <c r="G43" s="111">
        <f t="shared" si="0"/>
        <v>5337</v>
      </c>
      <c r="H43" s="110">
        <v>5337</v>
      </c>
      <c r="I43" s="111">
        <f t="shared" si="1"/>
        <v>0</v>
      </c>
      <c r="J43" s="111">
        <f t="shared" si="2"/>
        <v>0</v>
      </c>
      <c r="K43" s="112">
        <f t="shared" si="3"/>
        <v>0</v>
      </c>
      <c r="L43" s="351"/>
    </row>
    <row r="44" spans="1:12" ht="15.75" thickBot="1" x14ac:dyDescent="0.3">
      <c r="A44" s="79"/>
      <c r="B44" s="113" t="s">
        <v>658</v>
      </c>
      <c r="C44" s="114"/>
      <c r="D44" s="115"/>
      <c r="E44" s="116">
        <f t="shared" ref="E44:K44" si="4">SUM(E7:E43)</f>
        <v>40070</v>
      </c>
      <c r="F44" s="116">
        <f t="shared" si="4"/>
        <v>0</v>
      </c>
      <c r="G44" s="116">
        <f t="shared" si="4"/>
        <v>40070</v>
      </c>
      <c r="H44" s="116">
        <f t="shared" si="4"/>
        <v>40070</v>
      </c>
      <c r="I44" s="116">
        <f t="shared" si="4"/>
        <v>0</v>
      </c>
      <c r="J44" s="116">
        <f t="shared" si="4"/>
        <v>0</v>
      </c>
      <c r="K44" s="117">
        <f t="shared" si="4"/>
        <v>0</v>
      </c>
      <c r="L44" s="166"/>
    </row>
    <row r="45" spans="1:12" ht="15.75" thickBot="1" x14ac:dyDescent="0.3">
      <c r="B45" s="95"/>
      <c r="C45" s="96"/>
      <c r="D45" s="97"/>
      <c r="E45" s="98"/>
      <c r="F45" s="63"/>
      <c r="G45" s="98"/>
      <c r="H45" s="98"/>
      <c r="I45" s="98"/>
      <c r="J45" s="98"/>
      <c r="K45" s="98"/>
      <c r="L45" s="167"/>
    </row>
    <row r="46" spans="1:12" ht="15.75" thickBot="1" x14ac:dyDescent="0.3">
      <c r="A46" s="365" t="s">
        <v>657</v>
      </c>
      <c r="B46" s="372" t="s">
        <v>0</v>
      </c>
      <c r="C46" s="372" t="s">
        <v>1</v>
      </c>
      <c r="D46" s="373" t="s">
        <v>649</v>
      </c>
      <c r="E46" s="374" t="s">
        <v>19</v>
      </c>
      <c r="F46" s="374"/>
      <c r="G46" s="374"/>
      <c r="H46" s="374"/>
      <c r="I46" s="374"/>
      <c r="J46" s="368" t="s">
        <v>21</v>
      </c>
      <c r="K46" s="370" t="s">
        <v>602</v>
      </c>
      <c r="L46" s="349"/>
    </row>
    <row r="47" spans="1:12" ht="30.75" thickBot="1" x14ac:dyDescent="0.3">
      <c r="A47" s="366"/>
      <c r="B47" s="372"/>
      <c r="C47" s="372"/>
      <c r="D47" s="373"/>
      <c r="E47" s="69" t="s">
        <v>22</v>
      </c>
      <c r="F47" s="69" t="s">
        <v>600</v>
      </c>
      <c r="G47" s="69" t="s">
        <v>601</v>
      </c>
      <c r="H47" s="69" t="s">
        <v>589</v>
      </c>
      <c r="I47" s="69" t="s">
        <v>601</v>
      </c>
      <c r="J47" s="369"/>
      <c r="K47" s="371"/>
      <c r="L47" s="349"/>
    </row>
    <row r="48" spans="1:12" ht="15.75" thickBot="1" x14ac:dyDescent="0.3">
      <c r="A48" s="367"/>
      <c r="B48" s="70">
        <v>1</v>
      </c>
      <c r="C48" s="70">
        <v>2</v>
      </c>
      <c r="D48" s="70">
        <v>3</v>
      </c>
      <c r="E48" s="71">
        <v>4</v>
      </c>
      <c r="F48" s="71">
        <f>+E48+1</f>
        <v>5</v>
      </c>
      <c r="G48" s="71" t="s">
        <v>652</v>
      </c>
      <c r="H48" s="71">
        <v>7</v>
      </c>
      <c r="I48" s="72" t="s">
        <v>651</v>
      </c>
      <c r="J48" s="42" t="s">
        <v>650</v>
      </c>
      <c r="K48" s="42" t="s">
        <v>653</v>
      </c>
      <c r="L48" s="350"/>
    </row>
    <row r="49" spans="1:13" x14ac:dyDescent="0.25">
      <c r="A49" s="73"/>
      <c r="B49" s="73" t="s">
        <v>659</v>
      </c>
      <c r="C49" s="74"/>
      <c r="D49" s="75"/>
      <c r="E49" s="55"/>
      <c r="F49" s="55"/>
      <c r="G49" s="55"/>
      <c r="H49" s="55"/>
      <c r="I49" s="55"/>
      <c r="J49" s="55"/>
      <c r="K49" s="55"/>
      <c r="L49" s="135"/>
    </row>
    <row r="50" spans="1:13" x14ac:dyDescent="0.25">
      <c r="A50" s="123">
        <v>1</v>
      </c>
      <c r="B50" s="80" t="s">
        <v>23</v>
      </c>
      <c r="C50" s="81">
        <v>1500</v>
      </c>
      <c r="D50" s="82">
        <v>44.73</v>
      </c>
      <c r="E50" s="60">
        <v>0</v>
      </c>
      <c r="F50" s="60"/>
      <c r="G50" s="57">
        <f t="shared" ref="G50:G61" si="5">+E50+F50</f>
        <v>0</v>
      </c>
      <c r="H50" s="56"/>
      <c r="I50" s="57">
        <f t="shared" ref="I50:I61" si="6">+G50-H50</f>
        <v>0</v>
      </c>
      <c r="J50" s="57">
        <f t="shared" ref="J50:J61" si="7">I50*C50</f>
        <v>0</v>
      </c>
      <c r="K50" s="58">
        <f t="shared" ref="K50:K61" si="8">+D50*I50</f>
        <v>0</v>
      </c>
      <c r="L50" s="351"/>
    </row>
    <row r="51" spans="1:13" x14ac:dyDescent="0.25">
      <c r="A51" s="123">
        <v>2</v>
      </c>
      <c r="B51" s="80" t="s">
        <v>24</v>
      </c>
      <c r="C51" s="81">
        <v>1500</v>
      </c>
      <c r="D51" s="82">
        <v>69.78</v>
      </c>
      <c r="E51" s="44">
        <v>0</v>
      </c>
      <c r="F51" s="60"/>
      <c r="G51" s="57">
        <f t="shared" si="5"/>
        <v>0</v>
      </c>
      <c r="H51" s="56">
        <f>10200-10200</f>
        <v>0</v>
      </c>
      <c r="I51" s="57">
        <f t="shared" si="6"/>
        <v>0</v>
      </c>
      <c r="J51" s="57">
        <f t="shared" si="7"/>
        <v>0</v>
      </c>
      <c r="K51" s="58">
        <f t="shared" si="8"/>
        <v>0</v>
      </c>
      <c r="L51" s="351"/>
    </row>
    <row r="52" spans="1:13" x14ac:dyDescent="0.25">
      <c r="A52" s="123">
        <v>3</v>
      </c>
      <c r="B52" s="80" t="s">
        <v>25</v>
      </c>
      <c r="C52" s="81">
        <v>1500</v>
      </c>
      <c r="D52" s="82">
        <v>54.07</v>
      </c>
      <c r="E52" s="60">
        <v>0</v>
      </c>
      <c r="F52" s="60"/>
      <c r="G52" s="57">
        <f t="shared" si="5"/>
        <v>0</v>
      </c>
      <c r="H52" s="56"/>
      <c r="I52" s="57">
        <f t="shared" si="6"/>
        <v>0</v>
      </c>
      <c r="J52" s="57">
        <f t="shared" si="7"/>
        <v>0</v>
      </c>
      <c r="K52" s="58">
        <f t="shared" si="8"/>
        <v>0</v>
      </c>
      <c r="L52" s="351"/>
    </row>
    <row r="53" spans="1:13" x14ac:dyDescent="0.25">
      <c r="A53" s="123">
        <v>4</v>
      </c>
      <c r="B53" s="80" t="s">
        <v>26</v>
      </c>
      <c r="C53" s="81">
        <v>1500</v>
      </c>
      <c r="D53" s="82">
        <v>54.07</v>
      </c>
      <c r="E53" s="60">
        <v>0</v>
      </c>
      <c r="F53" s="60"/>
      <c r="G53" s="57">
        <f t="shared" si="5"/>
        <v>0</v>
      </c>
      <c r="H53" s="56"/>
      <c r="I53" s="57">
        <f t="shared" si="6"/>
        <v>0</v>
      </c>
      <c r="J53" s="57">
        <f t="shared" si="7"/>
        <v>0</v>
      </c>
      <c r="K53" s="58">
        <f t="shared" si="8"/>
        <v>0</v>
      </c>
      <c r="L53" s="351"/>
    </row>
    <row r="54" spans="1:13" x14ac:dyDescent="0.25">
      <c r="A54" s="123">
        <v>5</v>
      </c>
      <c r="B54" s="80" t="s">
        <v>27</v>
      </c>
      <c r="C54" s="81">
        <v>2500</v>
      </c>
      <c r="D54" s="82">
        <v>187.2</v>
      </c>
      <c r="E54" s="60">
        <v>0</v>
      </c>
      <c r="F54" s="60"/>
      <c r="G54" s="57">
        <f t="shared" si="5"/>
        <v>0</v>
      </c>
      <c r="H54" s="337">
        <f>1260-1260</f>
        <v>0</v>
      </c>
      <c r="I54" s="57">
        <f t="shared" si="6"/>
        <v>0</v>
      </c>
      <c r="J54" s="57">
        <f t="shared" si="7"/>
        <v>0</v>
      </c>
      <c r="K54" s="58">
        <f t="shared" si="8"/>
        <v>0</v>
      </c>
      <c r="L54" s="351"/>
      <c r="M54" t="s">
        <v>931</v>
      </c>
    </row>
    <row r="55" spans="1:13" x14ac:dyDescent="0.25">
      <c r="A55" s="123">
        <v>6</v>
      </c>
      <c r="B55" s="80" t="s">
        <v>28</v>
      </c>
      <c r="C55" s="81">
        <v>2500</v>
      </c>
      <c r="D55" s="82">
        <v>132.19</v>
      </c>
      <c r="E55" s="60">
        <v>0</v>
      </c>
      <c r="F55" s="60"/>
      <c r="G55" s="57">
        <f t="shared" si="5"/>
        <v>0</v>
      </c>
      <c r="H55" s="56"/>
      <c r="I55" s="57">
        <f t="shared" si="6"/>
        <v>0</v>
      </c>
      <c r="J55" s="57">
        <f t="shared" si="7"/>
        <v>0</v>
      </c>
      <c r="K55" s="58">
        <f t="shared" si="8"/>
        <v>0</v>
      </c>
      <c r="L55" s="351"/>
    </row>
    <row r="56" spans="1:13" x14ac:dyDescent="0.25">
      <c r="A56" s="123">
        <v>7</v>
      </c>
      <c r="B56" s="80" t="s">
        <v>29</v>
      </c>
      <c r="C56" s="81">
        <v>1500</v>
      </c>
      <c r="D56" s="82">
        <v>54.07</v>
      </c>
      <c r="E56" s="60">
        <v>0</v>
      </c>
      <c r="F56" s="60"/>
      <c r="G56" s="57">
        <f t="shared" si="5"/>
        <v>0</v>
      </c>
      <c r="H56" s="56"/>
      <c r="I56" s="57">
        <f t="shared" si="6"/>
        <v>0</v>
      </c>
      <c r="J56" s="57">
        <f t="shared" si="7"/>
        <v>0</v>
      </c>
      <c r="K56" s="58">
        <f t="shared" si="8"/>
        <v>0</v>
      </c>
      <c r="L56" s="351"/>
    </row>
    <row r="57" spans="1:13" x14ac:dyDescent="0.25">
      <c r="A57" s="123">
        <v>8</v>
      </c>
      <c r="B57" s="80" t="s">
        <v>30</v>
      </c>
      <c r="C57" s="81">
        <v>1500</v>
      </c>
      <c r="D57" s="82">
        <v>63.44</v>
      </c>
      <c r="E57" s="60">
        <v>0</v>
      </c>
      <c r="F57" s="60"/>
      <c r="G57" s="57">
        <f t="shared" si="5"/>
        <v>0</v>
      </c>
      <c r="H57" s="56"/>
      <c r="I57" s="57">
        <f t="shared" si="6"/>
        <v>0</v>
      </c>
      <c r="J57" s="57">
        <f t="shared" si="7"/>
        <v>0</v>
      </c>
      <c r="K57" s="58">
        <f t="shared" si="8"/>
        <v>0</v>
      </c>
      <c r="L57" s="351"/>
    </row>
    <row r="58" spans="1:13" x14ac:dyDescent="0.25">
      <c r="A58" s="123">
        <v>9</v>
      </c>
      <c r="B58" s="80" t="s">
        <v>31</v>
      </c>
      <c r="C58" s="81">
        <v>2500</v>
      </c>
      <c r="D58" s="82">
        <v>174.44</v>
      </c>
      <c r="E58" s="60">
        <v>0</v>
      </c>
      <c r="F58" s="60"/>
      <c r="G58" s="57">
        <f t="shared" si="5"/>
        <v>0</v>
      </c>
      <c r="H58" s="56"/>
      <c r="I58" s="57">
        <f t="shared" si="6"/>
        <v>0</v>
      </c>
      <c r="J58" s="57">
        <f t="shared" si="7"/>
        <v>0</v>
      </c>
      <c r="K58" s="58">
        <f t="shared" si="8"/>
        <v>0</v>
      </c>
      <c r="L58" s="351"/>
    </row>
    <row r="59" spans="1:13" x14ac:dyDescent="0.25">
      <c r="A59" s="123">
        <v>10</v>
      </c>
      <c r="B59" s="80" t="s">
        <v>32</v>
      </c>
      <c r="C59" s="81">
        <v>1500</v>
      </c>
      <c r="D59" s="82">
        <v>77.53</v>
      </c>
      <c r="E59" s="60">
        <v>0</v>
      </c>
      <c r="F59" s="60"/>
      <c r="G59" s="57">
        <f t="shared" si="5"/>
        <v>0</v>
      </c>
      <c r="H59" s="56">
        <f>1840-1840</f>
        <v>0</v>
      </c>
      <c r="I59" s="57">
        <f t="shared" si="6"/>
        <v>0</v>
      </c>
      <c r="J59" s="57">
        <f t="shared" si="7"/>
        <v>0</v>
      </c>
      <c r="K59" s="58">
        <f t="shared" si="8"/>
        <v>0</v>
      </c>
      <c r="L59" s="351"/>
    </row>
    <row r="60" spans="1:13" x14ac:dyDescent="0.25">
      <c r="A60" s="123">
        <v>11</v>
      </c>
      <c r="B60" s="80" t="s">
        <v>33</v>
      </c>
      <c r="C60" s="81">
        <v>1500</v>
      </c>
      <c r="D60" s="82">
        <v>59.49</v>
      </c>
      <c r="E60" s="60">
        <v>0</v>
      </c>
      <c r="F60" s="60"/>
      <c r="G60" s="57">
        <f t="shared" si="5"/>
        <v>0</v>
      </c>
      <c r="H60" s="56"/>
      <c r="I60" s="57">
        <f t="shared" si="6"/>
        <v>0</v>
      </c>
      <c r="J60" s="57">
        <f t="shared" si="7"/>
        <v>0</v>
      </c>
      <c r="K60" s="58">
        <f t="shared" si="8"/>
        <v>0</v>
      </c>
      <c r="L60" s="351"/>
    </row>
    <row r="61" spans="1:13" ht="15.75" thickBot="1" x14ac:dyDescent="0.3">
      <c r="A61" s="123">
        <v>12</v>
      </c>
      <c r="B61" s="118" t="s">
        <v>34</v>
      </c>
      <c r="C61" s="119">
        <v>1500</v>
      </c>
      <c r="D61" s="120">
        <v>59.49</v>
      </c>
      <c r="E61" s="121">
        <v>0</v>
      </c>
      <c r="F61" s="121"/>
      <c r="G61" s="111">
        <f t="shared" si="5"/>
        <v>0</v>
      </c>
      <c r="H61" s="110"/>
      <c r="I61" s="111">
        <f t="shared" si="6"/>
        <v>0</v>
      </c>
      <c r="J61" s="111">
        <f t="shared" si="7"/>
        <v>0</v>
      </c>
      <c r="K61" s="112">
        <f t="shared" si="8"/>
        <v>0</v>
      </c>
      <c r="L61" s="351"/>
    </row>
    <row r="62" spans="1:13" ht="15.75" thickBot="1" x14ac:dyDescent="0.3">
      <c r="A62" s="84"/>
      <c r="B62" s="122" t="s">
        <v>660</v>
      </c>
      <c r="C62" s="85"/>
      <c r="D62" s="86"/>
      <c r="E62" s="87">
        <f t="shared" ref="E62:K62" si="9">SUM(E50:E61)</f>
        <v>0</v>
      </c>
      <c r="F62" s="87">
        <f t="shared" si="9"/>
        <v>0</v>
      </c>
      <c r="G62" s="87">
        <f t="shared" si="9"/>
        <v>0</v>
      </c>
      <c r="H62" s="87">
        <f t="shared" si="9"/>
        <v>0</v>
      </c>
      <c r="I62" s="87">
        <f t="shared" si="9"/>
        <v>0</v>
      </c>
      <c r="J62" s="87">
        <f t="shared" si="9"/>
        <v>0</v>
      </c>
      <c r="K62" s="88">
        <f t="shared" si="9"/>
        <v>0</v>
      </c>
      <c r="L62" s="352"/>
    </row>
    <row r="63" spans="1:13" ht="15.75" thickBot="1" x14ac:dyDescent="0.3">
      <c r="B63" s="95"/>
      <c r="C63" s="96"/>
      <c r="D63" s="97"/>
      <c r="E63" s="98"/>
      <c r="F63" s="63"/>
      <c r="G63" s="98"/>
      <c r="H63" s="98"/>
      <c r="I63" s="98"/>
      <c r="J63" s="98"/>
      <c r="K63" s="98"/>
      <c r="L63" s="167"/>
    </row>
    <row r="64" spans="1:13" ht="15.75" thickBot="1" x14ac:dyDescent="0.3">
      <c r="A64" s="365" t="s">
        <v>657</v>
      </c>
      <c r="B64" s="372" t="s">
        <v>0</v>
      </c>
      <c r="C64" s="372" t="s">
        <v>1</v>
      </c>
      <c r="D64" s="373" t="s">
        <v>649</v>
      </c>
      <c r="E64" s="374" t="s">
        <v>19</v>
      </c>
      <c r="F64" s="374"/>
      <c r="G64" s="374"/>
      <c r="H64" s="374"/>
      <c r="I64" s="374"/>
      <c r="J64" s="368" t="s">
        <v>21</v>
      </c>
      <c r="K64" s="370" t="s">
        <v>602</v>
      </c>
      <c r="L64" s="349"/>
    </row>
    <row r="65" spans="1:12" ht="30.75" thickBot="1" x14ac:dyDescent="0.3">
      <c r="A65" s="366"/>
      <c r="B65" s="372"/>
      <c r="C65" s="372"/>
      <c r="D65" s="373"/>
      <c r="E65" s="69" t="s">
        <v>22</v>
      </c>
      <c r="F65" s="69" t="s">
        <v>600</v>
      </c>
      <c r="G65" s="69" t="s">
        <v>601</v>
      </c>
      <c r="H65" s="69" t="s">
        <v>589</v>
      </c>
      <c r="I65" s="69" t="s">
        <v>601</v>
      </c>
      <c r="J65" s="369"/>
      <c r="K65" s="371"/>
      <c r="L65" s="349"/>
    </row>
    <row r="66" spans="1:12" ht="15.75" thickBot="1" x14ac:dyDescent="0.3">
      <c r="A66" s="367"/>
      <c r="B66" s="70">
        <v>1</v>
      </c>
      <c r="C66" s="70">
        <v>2</v>
      </c>
      <c r="D66" s="70">
        <v>3</v>
      </c>
      <c r="E66" s="71">
        <v>4</v>
      </c>
      <c r="F66" s="71">
        <f>+E66+1</f>
        <v>5</v>
      </c>
      <c r="G66" s="71" t="s">
        <v>652</v>
      </c>
      <c r="H66" s="71">
        <v>7</v>
      </c>
      <c r="I66" s="72" t="s">
        <v>651</v>
      </c>
      <c r="J66" s="42" t="s">
        <v>650</v>
      </c>
      <c r="K66" s="42" t="s">
        <v>653</v>
      </c>
      <c r="L66" s="350"/>
    </row>
    <row r="67" spans="1:12" x14ac:dyDescent="0.25">
      <c r="A67" s="73"/>
      <c r="B67" s="73" t="s">
        <v>661</v>
      </c>
      <c r="C67" s="74"/>
      <c r="D67" s="75"/>
      <c r="E67" s="55"/>
      <c r="F67" s="55"/>
      <c r="G67" s="55"/>
      <c r="H67" s="55"/>
      <c r="I67" s="55"/>
      <c r="J67" s="55"/>
      <c r="K67" s="55"/>
      <c r="L67" s="135"/>
    </row>
    <row r="68" spans="1:12" x14ac:dyDescent="0.25">
      <c r="A68" s="123">
        <v>1</v>
      </c>
      <c r="B68" s="80" t="s">
        <v>35</v>
      </c>
      <c r="C68" s="81">
        <v>1500</v>
      </c>
      <c r="D68" s="82">
        <v>116.66</v>
      </c>
      <c r="E68" s="43">
        <v>0</v>
      </c>
      <c r="F68" s="61"/>
      <c r="G68" s="57">
        <f t="shared" ref="G68:G80" si="10">+E68+F68</f>
        <v>0</v>
      </c>
      <c r="H68" s="56">
        <f>20000-20000</f>
        <v>0</v>
      </c>
      <c r="I68" s="57">
        <f t="shared" ref="I68:I80" si="11">+G68-H68</f>
        <v>0</v>
      </c>
      <c r="J68" s="57">
        <f t="shared" ref="J68:J80" si="12">I68*C68</f>
        <v>0</v>
      </c>
      <c r="K68" s="58">
        <f t="shared" ref="K68:K80" si="13">+D68*I68</f>
        <v>0</v>
      </c>
      <c r="L68" s="351"/>
    </row>
    <row r="69" spans="1:12" x14ac:dyDescent="0.25">
      <c r="A69" s="123">
        <v>2</v>
      </c>
      <c r="B69" s="80" t="s">
        <v>36</v>
      </c>
      <c r="C69" s="81">
        <v>2500</v>
      </c>
      <c r="D69" s="82">
        <v>201.63</v>
      </c>
      <c r="E69" s="43">
        <v>0</v>
      </c>
      <c r="F69" s="61"/>
      <c r="G69" s="57">
        <f t="shared" si="10"/>
        <v>0</v>
      </c>
      <c r="H69" s="56"/>
      <c r="I69" s="57">
        <f t="shared" si="11"/>
        <v>0</v>
      </c>
      <c r="J69" s="57">
        <f t="shared" si="12"/>
        <v>0</v>
      </c>
      <c r="K69" s="58">
        <f t="shared" si="13"/>
        <v>0</v>
      </c>
      <c r="L69" s="351"/>
    </row>
    <row r="70" spans="1:12" x14ac:dyDescent="0.25">
      <c r="A70" s="123">
        <v>3</v>
      </c>
      <c r="B70" s="80" t="s">
        <v>37</v>
      </c>
      <c r="C70" s="81">
        <v>1800</v>
      </c>
      <c r="D70" s="82">
        <v>58.93</v>
      </c>
      <c r="E70" s="43">
        <v>0</v>
      </c>
      <c r="F70" s="61"/>
      <c r="G70" s="57">
        <f t="shared" si="10"/>
        <v>0</v>
      </c>
      <c r="H70" s="56">
        <f>600+16274-16874</f>
        <v>0</v>
      </c>
      <c r="I70" s="57">
        <f t="shared" si="11"/>
        <v>0</v>
      </c>
      <c r="J70" s="57">
        <f t="shared" si="12"/>
        <v>0</v>
      </c>
      <c r="K70" s="58">
        <f t="shared" si="13"/>
        <v>0</v>
      </c>
      <c r="L70" s="351"/>
    </row>
    <row r="71" spans="1:12" x14ac:dyDescent="0.25">
      <c r="A71" s="123">
        <v>4</v>
      </c>
      <c r="B71" s="80" t="s">
        <v>38</v>
      </c>
      <c r="C71" s="81">
        <v>1500</v>
      </c>
      <c r="D71" s="82">
        <v>82.02</v>
      </c>
      <c r="E71" s="43">
        <v>0</v>
      </c>
      <c r="F71" s="61"/>
      <c r="G71" s="57">
        <f t="shared" si="10"/>
        <v>0</v>
      </c>
      <c r="H71" s="56"/>
      <c r="I71" s="57">
        <f t="shared" si="11"/>
        <v>0</v>
      </c>
      <c r="J71" s="57">
        <f t="shared" si="12"/>
        <v>0</v>
      </c>
      <c r="K71" s="58">
        <f t="shared" si="13"/>
        <v>0</v>
      </c>
      <c r="L71" s="351"/>
    </row>
    <row r="72" spans="1:12" x14ac:dyDescent="0.25">
      <c r="A72" s="123">
        <v>5</v>
      </c>
      <c r="B72" s="80" t="s">
        <v>39</v>
      </c>
      <c r="C72" s="81">
        <v>2500</v>
      </c>
      <c r="D72" s="82">
        <v>129.71</v>
      </c>
      <c r="E72" s="43">
        <v>0</v>
      </c>
      <c r="F72" s="61"/>
      <c r="G72" s="57">
        <f t="shared" si="10"/>
        <v>0</v>
      </c>
      <c r="H72" s="56"/>
      <c r="I72" s="57">
        <f t="shared" si="11"/>
        <v>0</v>
      </c>
      <c r="J72" s="57">
        <f t="shared" si="12"/>
        <v>0</v>
      </c>
      <c r="K72" s="58">
        <f t="shared" si="13"/>
        <v>0</v>
      </c>
      <c r="L72" s="351"/>
    </row>
    <row r="73" spans="1:12" x14ac:dyDescent="0.25">
      <c r="A73" s="123">
        <v>6</v>
      </c>
      <c r="B73" s="80" t="s">
        <v>40</v>
      </c>
      <c r="C73" s="81">
        <v>1500</v>
      </c>
      <c r="D73" s="82">
        <v>71.36</v>
      </c>
      <c r="E73" s="43">
        <v>0</v>
      </c>
      <c r="F73" s="61"/>
      <c r="G73" s="57">
        <f t="shared" si="10"/>
        <v>0</v>
      </c>
      <c r="H73" s="56">
        <f>2000-2000</f>
        <v>0</v>
      </c>
      <c r="I73" s="57">
        <f t="shared" si="11"/>
        <v>0</v>
      </c>
      <c r="J73" s="57">
        <f t="shared" si="12"/>
        <v>0</v>
      </c>
      <c r="K73" s="58">
        <f t="shared" si="13"/>
        <v>0</v>
      </c>
      <c r="L73" s="351"/>
    </row>
    <row r="74" spans="1:12" x14ac:dyDescent="0.25">
      <c r="A74" s="123">
        <v>7</v>
      </c>
      <c r="B74" s="80" t="s">
        <v>41</v>
      </c>
      <c r="C74" s="81">
        <v>1500</v>
      </c>
      <c r="D74" s="82">
        <v>250.98</v>
      </c>
      <c r="E74" s="61">
        <v>0</v>
      </c>
      <c r="F74" s="61"/>
      <c r="G74" s="57">
        <f t="shared" si="10"/>
        <v>0</v>
      </c>
      <c r="H74" s="56"/>
      <c r="I74" s="57">
        <f t="shared" si="11"/>
        <v>0</v>
      </c>
      <c r="J74" s="57">
        <f t="shared" si="12"/>
        <v>0</v>
      </c>
      <c r="K74" s="58">
        <f t="shared" si="13"/>
        <v>0</v>
      </c>
      <c r="L74" s="351"/>
    </row>
    <row r="75" spans="1:12" x14ac:dyDescent="0.25">
      <c r="A75" s="123">
        <v>8</v>
      </c>
      <c r="B75" s="80" t="s">
        <v>41</v>
      </c>
      <c r="C75" s="81">
        <v>2500</v>
      </c>
      <c r="D75" s="82">
        <v>250.98</v>
      </c>
      <c r="E75" s="61">
        <v>0</v>
      </c>
      <c r="F75" s="61"/>
      <c r="G75" s="57">
        <f t="shared" si="10"/>
        <v>0</v>
      </c>
      <c r="H75" s="56"/>
      <c r="I75" s="57">
        <f t="shared" si="11"/>
        <v>0</v>
      </c>
      <c r="J75" s="57">
        <f t="shared" si="12"/>
        <v>0</v>
      </c>
      <c r="K75" s="58">
        <f t="shared" si="13"/>
        <v>0</v>
      </c>
      <c r="L75" s="351"/>
    </row>
    <row r="76" spans="1:12" x14ac:dyDescent="0.25">
      <c r="A76" s="123">
        <v>9</v>
      </c>
      <c r="B76" s="80" t="s">
        <v>42</v>
      </c>
      <c r="C76" s="81">
        <v>1500</v>
      </c>
      <c r="D76" s="82">
        <f>139.77/3</f>
        <v>46.59</v>
      </c>
      <c r="E76" s="61">
        <v>0</v>
      </c>
      <c r="F76" s="61"/>
      <c r="G76" s="57">
        <f t="shared" si="10"/>
        <v>0</v>
      </c>
      <c r="H76" s="56"/>
      <c r="I76" s="57">
        <f t="shared" si="11"/>
        <v>0</v>
      </c>
      <c r="J76" s="57">
        <f t="shared" si="12"/>
        <v>0</v>
      </c>
      <c r="K76" s="58">
        <f t="shared" si="13"/>
        <v>0</v>
      </c>
      <c r="L76" s="351"/>
    </row>
    <row r="77" spans="1:12" x14ac:dyDescent="0.25">
      <c r="A77" s="123">
        <v>10</v>
      </c>
      <c r="B77" s="80" t="s">
        <v>42</v>
      </c>
      <c r="C77" s="81">
        <v>2000</v>
      </c>
      <c r="D77" s="82">
        <v>46.59</v>
      </c>
      <c r="E77" s="61">
        <v>0</v>
      </c>
      <c r="F77" s="61"/>
      <c r="G77" s="57">
        <f t="shared" si="10"/>
        <v>0</v>
      </c>
      <c r="H77" s="56"/>
      <c r="I77" s="57">
        <f t="shared" si="11"/>
        <v>0</v>
      </c>
      <c r="J77" s="57">
        <f t="shared" si="12"/>
        <v>0</v>
      </c>
      <c r="K77" s="58">
        <f t="shared" si="13"/>
        <v>0</v>
      </c>
      <c r="L77" s="351"/>
    </row>
    <row r="78" spans="1:12" x14ac:dyDescent="0.25">
      <c r="A78" s="123">
        <v>11</v>
      </c>
      <c r="B78" s="80" t="s">
        <v>42</v>
      </c>
      <c r="C78" s="81">
        <v>2500</v>
      </c>
      <c r="D78" s="82">
        <v>46.59</v>
      </c>
      <c r="E78" s="61">
        <v>0</v>
      </c>
      <c r="F78" s="61"/>
      <c r="G78" s="57">
        <f t="shared" si="10"/>
        <v>0</v>
      </c>
      <c r="H78" s="56"/>
      <c r="I78" s="57">
        <f t="shared" si="11"/>
        <v>0</v>
      </c>
      <c r="J78" s="57">
        <f t="shared" si="12"/>
        <v>0</v>
      </c>
      <c r="K78" s="58">
        <f t="shared" si="13"/>
        <v>0</v>
      </c>
      <c r="L78" s="351"/>
    </row>
    <row r="79" spans="1:12" x14ac:dyDescent="0.25">
      <c r="A79" s="123">
        <v>12</v>
      </c>
      <c r="B79" s="80" t="s">
        <v>43</v>
      </c>
      <c r="C79" s="81">
        <v>1500</v>
      </c>
      <c r="D79" s="82">
        <v>139.77000000000001</v>
      </c>
      <c r="E79" s="61">
        <v>0</v>
      </c>
      <c r="F79" s="61"/>
      <c r="G79" s="57">
        <f t="shared" si="10"/>
        <v>0</v>
      </c>
      <c r="H79" s="56"/>
      <c r="I79" s="57">
        <f t="shared" si="11"/>
        <v>0</v>
      </c>
      <c r="J79" s="57">
        <f t="shared" si="12"/>
        <v>0</v>
      </c>
      <c r="K79" s="58">
        <f t="shared" si="13"/>
        <v>0</v>
      </c>
      <c r="L79" s="351"/>
    </row>
    <row r="80" spans="1:12" ht="15.75" thickBot="1" x14ac:dyDescent="0.3">
      <c r="A80" s="123">
        <v>13</v>
      </c>
      <c r="B80" s="118" t="s">
        <v>44</v>
      </c>
      <c r="C80" s="119">
        <v>1500</v>
      </c>
      <c r="D80" s="120">
        <f>465.68/4</f>
        <v>116.42</v>
      </c>
      <c r="E80" s="124">
        <v>0</v>
      </c>
      <c r="F80" s="124"/>
      <c r="G80" s="111">
        <f t="shared" si="10"/>
        <v>0</v>
      </c>
      <c r="H80" s="110"/>
      <c r="I80" s="111">
        <f t="shared" si="11"/>
        <v>0</v>
      </c>
      <c r="J80" s="111">
        <f t="shared" si="12"/>
        <v>0</v>
      </c>
      <c r="K80" s="112">
        <f t="shared" si="13"/>
        <v>0</v>
      </c>
      <c r="L80" s="351"/>
    </row>
    <row r="81" spans="1:12" ht="15.75" thickBot="1" x14ac:dyDescent="0.3">
      <c r="A81" s="84"/>
      <c r="B81" s="122" t="s">
        <v>662</v>
      </c>
      <c r="C81" s="85"/>
      <c r="D81" s="87"/>
      <c r="E81" s="87">
        <f>SUM(E68:E80)</f>
        <v>0</v>
      </c>
      <c r="F81" s="87">
        <f>SUM(F68:F80)</f>
        <v>0</v>
      </c>
      <c r="G81" s="87">
        <f>SUM(G68:G80)</f>
        <v>0</v>
      </c>
      <c r="H81" s="87">
        <f>SUM(H68:H80)</f>
        <v>0</v>
      </c>
      <c r="I81" s="87">
        <f>SUM(I68:I80)</f>
        <v>0</v>
      </c>
      <c r="J81" s="87">
        <f t="shared" ref="J81:K81" si="14">SUM(J68:J80)</f>
        <v>0</v>
      </c>
      <c r="K81" s="88">
        <f t="shared" si="14"/>
        <v>0</v>
      </c>
      <c r="L81" s="352"/>
    </row>
    <row r="82" spans="1:12" ht="15.75" thickBot="1" x14ac:dyDescent="0.3">
      <c r="B82" s="95"/>
      <c r="C82" s="96"/>
      <c r="D82" s="97"/>
      <c r="E82" s="98"/>
      <c r="F82" s="63"/>
      <c r="G82" s="98"/>
      <c r="H82" s="98"/>
      <c r="I82" s="98"/>
      <c r="J82" s="98"/>
      <c r="K82" s="98"/>
      <c r="L82" s="167"/>
    </row>
    <row r="83" spans="1:12" ht="15.75" thickBot="1" x14ac:dyDescent="0.3">
      <c r="A83" s="365" t="s">
        <v>657</v>
      </c>
      <c r="B83" s="372" t="s">
        <v>0</v>
      </c>
      <c r="C83" s="372" t="s">
        <v>1</v>
      </c>
      <c r="D83" s="373" t="s">
        <v>649</v>
      </c>
      <c r="E83" s="374" t="s">
        <v>19</v>
      </c>
      <c r="F83" s="374"/>
      <c r="G83" s="374"/>
      <c r="H83" s="374"/>
      <c r="I83" s="374"/>
      <c r="J83" s="368" t="s">
        <v>21</v>
      </c>
      <c r="K83" s="370" t="s">
        <v>602</v>
      </c>
      <c r="L83" s="349"/>
    </row>
    <row r="84" spans="1:12" ht="30.75" thickBot="1" x14ac:dyDescent="0.3">
      <c r="A84" s="366"/>
      <c r="B84" s="372"/>
      <c r="C84" s="372"/>
      <c r="D84" s="373"/>
      <c r="E84" s="69" t="s">
        <v>22</v>
      </c>
      <c r="F84" s="69" t="s">
        <v>600</v>
      </c>
      <c r="G84" s="69" t="s">
        <v>601</v>
      </c>
      <c r="H84" s="69" t="s">
        <v>589</v>
      </c>
      <c r="I84" s="69" t="s">
        <v>601</v>
      </c>
      <c r="J84" s="369"/>
      <c r="K84" s="371"/>
      <c r="L84" s="349"/>
    </row>
    <row r="85" spans="1:12" ht="15.75" thickBot="1" x14ac:dyDescent="0.3">
      <c r="A85" s="367"/>
      <c r="B85" s="70">
        <v>1</v>
      </c>
      <c r="C85" s="70">
        <v>2</v>
      </c>
      <c r="D85" s="70">
        <v>3</v>
      </c>
      <c r="E85" s="71">
        <v>4</v>
      </c>
      <c r="F85" s="71">
        <f>+E85+1</f>
        <v>5</v>
      </c>
      <c r="G85" s="71" t="s">
        <v>652</v>
      </c>
      <c r="H85" s="71">
        <v>7</v>
      </c>
      <c r="I85" s="72" t="s">
        <v>651</v>
      </c>
      <c r="J85" s="42" t="s">
        <v>650</v>
      </c>
      <c r="K85" s="42" t="s">
        <v>653</v>
      </c>
      <c r="L85" s="350"/>
    </row>
    <row r="86" spans="1:12" x14ac:dyDescent="0.25">
      <c r="A86" s="73"/>
      <c r="B86" s="73" t="s">
        <v>663</v>
      </c>
      <c r="C86" s="74"/>
      <c r="D86" s="75"/>
      <c r="E86" s="55"/>
      <c r="F86" s="55"/>
      <c r="G86" s="55"/>
      <c r="H86" s="55"/>
      <c r="I86" s="55"/>
      <c r="J86" s="55"/>
      <c r="K86" s="55"/>
      <c r="L86" s="135"/>
    </row>
    <row r="87" spans="1:12" x14ac:dyDescent="0.25">
      <c r="A87" s="123">
        <v>1</v>
      </c>
      <c r="B87" s="80" t="s">
        <v>45</v>
      </c>
      <c r="C87" s="81">
        <v>1500</v>
      </c>
      <c r="D87" s="82">
        <v>79.569999999999993</v>
      </c>
      <c r="E87" s="43">
        <v>0</v>
      </c>
      <c r="F87" s="61"/>
      <c r="G87" s="57">
        <f t="shared" ref="G87:G101" si="15">+E87+F87</f>
        <v>0</v>
      </c>
      <c r="H87" s="56">
        <f>928-928</f>
        <v>0</v>
      </c>
      <c r="I87" s="57">
        <f t="shared" ref="I87:I101" si="16">+G87-H87</f>
        <v>0</v>
      </c>
      <c r="J87" s="57">
        <f t="shared" ref="J87:J101" si="17">I87*C87</f>
        <v>0</v>
      </c>
      <c r="K87" s="58">
        <f t="shared" ref="K87:K101" si="18">+D87*I87</f>
        <v>0</v>
      </c>
      <c r="L87" s="351"/>
    </row>
    <row r="88" spans="1:12" x14ac:dyDescent="0.25">
      <c r="A88" s="123">
        <v>2</v>
      </c>
      <c r="B88" s="80" t="s">
        <v>46</v>
      </c>
      <c r="C88" s="81">
        <v>42000</v>
      </c>
      <c r="D88" s="89">
        <v>122.5</v>
      </c>
      <c r="E88" s="43">
        <v>0</v>
      </c>
      <c r="F88" s="61"/>
      <c r="G88" s="57">
        <f t="shared" si="15"/>
        <v>0</v>
      </c>
      <c r="H88" s="56"/>
      <c r="I88" s="57">
        <f t="shared" si="16"/>
        <v>0</v>
      </c>
      <c r="J88" s="57">
        <f t="shared" si="17"/>
        <v>0</v>
      </c>
      <c r="K88" s="58">
        <f t="shared" si="18"/>
        <v>0</v>
      </c>
      <c r="L88" s="351"/>
    </row>
    <row r="89" spans="1:12" x14ac:dyDescent="0.25">
      <c r="A89" s="123">
        <v>3</v>
      </c>
      <c r="B89" s="80" t="s">
        <v>47</v>
      </c>
      <c r="C89" s="81">
        <v>2500</v>
      </c>
      <c r="D89" s="90">
        <v>539</v>
      </c>
      <c r="E89" s="43">
        <v>0</v>
      </c>
      <c r="F89" s="61"/>
      <c r="G89" s="57">
        <f t="shared" si="15"/>
        <v>0</v>
      </c>
      <c r="H89" s="56">
        <f>3744-3744</f>
        <v>0</v>
      </c>
      <c r="I89" s="57">
        <f t="shared" si="16"/>
        <v>0</v>
      </c>
      <c r="J89" s="57">
        <f t="shared" si="17"/>
        <v>0</v>
      </c>
      <c r="K89" s="58">
        <f t="shared" si="18"/>
        <v>0</v>
      </c>
      <c r="L89" s="351"/>
    </row>
    <row r="90" spans="1:12" x14ac:dyDescent="0.25">
      <c r="A90" s="123">
        <v>4</v>
      </c>
      <c r="B90" s="80" t="s">
        <v>48</v>
      </c>
      <c r="C90" s="81">
        <v>10000</v>
      </c>
      <c r="D90" s="91">
        <v>539</v>
      </c>
      <c r="E90" s="43">
        <v>0</v>
      </c>
      <c r="F90" s="61"/>
      <c r="G90" s="57">
        <f t="shared" si="15"/>
        <v>0</v>
      </c>
      <c r="H90" s="56"/>
      <c r="I90" s="57">
        <f t="shared" si="16"/>
        <v>0</v>
      </c>
      <c r="J90" s="57">
        <f t="shared" si="17"/>
        <v>0</v>
      </c>
      <c r="K90" s="58">
        <f t="shared" si="18"/>
        <v>0</v>
      </c>
      <c r="L90" s="351"/>
    </row>
    <row r="91" spans="1:12" x14ac:dyDescent="0.25">
      <c r="A91" s="123">
        <v>5</v>
      </c>
      <c r="B91" s="80" t="s">
        <v>49</v>
      </c>
      <c r="C91" s="81">
        <v>40000</v>
      </c>
      <c r="D91" s="91">
        <v>2156</v>
      </c>
      <c r="E91" s="43">
        <v>0</v>
      </c>
      <c r="F91" s="61"/>
      <c r="G91" s="57">
        <f t="shared" si="15"/>
        <v>0</v>
      </c>
      <c r="H91" s="56"/>
      <c r="I91" s="57">
        <f t="shared" si="16"/>
        <v>0</v>
      </c>
      <c r="J91" s="57">
        <f t="shared" si="17"/>
        <v>0</v>
      </c>
      <c r="K91" s="58">
        <f t="shared" si="18"/>
        <v>0</v>
      </c>
      <c r="L91" s="351"/>
    </row>
    <row r="92" spans="1:12" x14ac:dyDescent="0.25">
      <c r="A92" s="123">
        <v>6</v>
      </c>
      <c r="B92" s="80" t="s">
        <v>50</v>
      </c>
      <c r="C92" s="81">
        <v>1500</v>
      </c>
      <c r="D92" s="82">
        <v>58.89</v>
      </c>
      <c r="E92" s="43">
        <v>0</v>
      </c>
      <c r="F92" s="61"/>
      <c r="G92" s="57">
        <f t="shared" si="15"/>
        <v>0</v>
      </c>
      <c r="H92" s="56"/>
      <c r="I92" s="57">
        <f t="shared" si="16"/>
        <v>0</v>
      </c>
      <c r="J92" s="57">
        <f t="shared" si="17"/>
        <v>0</v>
      </c>
      <c r="K92" s="58">
        <f t="shared" si="18"/>
        <v>0</v>
      </c>
      <c r="L92" s="351"/>
    </row>
    <row r="93" spans="1:12" x14ac:dyDescent="0.25">
      <c r="A93" s="123">
        <v>7</v>
      </c>
      <c r="B93" s="80" t="s">
        <v>51</v>
      </c>
      <c r="C93" s="81">
        <v>1500</v>
      </c>
      <c r="D93" s="82">
        <v>64.84</v>
      </c>
      <c r="E93" s="43">
        <v>0</v>
      </c>
      <c r="F93" s="61"/>
      <c r="G93" s="57">
        <f t="shared" si="15"/>
        <v>0</v>
      </c>
      <c r="H93" s="56">
        <f>22000-22000</f>
        <v>0</v>
      </c>
      <c r="I93" s="57">
        <f t="shared" si="16"/>
        <v>0</v>
      </c>
      <c r="J93" s="57">
        <f t="shared" si="17"/>
        <v>0</v>
      </c>
      <c r="K93" s="58">
        <f t="shared" si="18"/>
        <v>0</v>
      </c>
      <c r="L93" s="351"/>
    </row>
    <row r="94" spans="1:12" x14ac:dyDescent="0.25">
      <c r="A94" s="123">
        <v>8</v>
      </c>
      <c r="B94" s="80" t="s">
        <v>52</v>
      </c>
      <c r="C94" s="81">
        <v>1500</v>
      </c>
      <c r="D94" s="82">
        <f>136.1/2</f>
        <v>68.05</v>
      </c>
      <c r="E94" s="43">
        <v>0</v>
      </c>
      <c r="F94" s="61"/>
      <c r="G94" s="57">
        <f t="shared" si="15"/>
        <v>0</v>
      </c>
      <c r="H94" s="56"/>
      <c r="I94" s="57">
        <f t="shared" si="16"/>
        <v>0</v>
      </c>
      <c r="J94" s="57">
        <f t="shared" si="17"/>
        <v>0</v>
      </c>
      <c r="K94" s="58">
        <f t="shared" si="18"/>
        <v>0</v>
      </c>
      <c r="L94" s="351"/>
    </row>
    <row r="95" spans="1:12" x14ac:dyDescent="0.25">
      <c r="A95" s="123">
        <v>9</v>
      </c>
      <c r="B95" s="80" t="s">
        <v>53</v>
      </c>
      <c r="C95" s="81">
        <v>1500</v>
      </c>
      <c r="D95" s="82">
        <f>170.12/4</f>
        <v>42.53</v>
      </c>
      <c r="E95" s="43">
        <v>0</v>
      </c>
      <c r="F95" s="61"/>
      <c r="G95" s="57">
        <f t="shared" si="15"/>
        <v>0</v>
      </c>
      <c r="H95" s="56"/>
      <c r="I95" s="57">
        <f t="shared" si="16"/>
        <v>0</v>
      </c>
      <c r="J95" s="57">
        <f t="shared" si="17"/>
        <v>0</v>
      </c>
      <c r="K95" s="58">
        <f t="shared" si="18"/>
        <v>0</v>
      </c>
      <c r="L95" s="351"/>
    </row>
    <row r="96" spans="1:12" x14ac:dyDescent="0.25">
      <c r="A96" s="123">
        <v>10</v>
      </c>
      <c r="B96" s="80" t="s">
        <v>54</v>
      </c>
      <c r="C96" s="81">
        <v>1500</v>
      </c>
      <c r="D96" s="82">
        <f>788.59/16</f>
        <v>49.286875000000002</v>
      </c>
      <c r="E96" s="43">
        <v>0</v>
      </c>
      <c r="F96" s="61"/>
      <c r="G96" s="57">
        <f t="shared" si="15"/>
        <v>0</v>
      </c>
      <c r="H96" s="56"/>
      <c r="I96" s="57">
        <f t="shared" si="16"/>
        <v>0</v>
      </c>
      <c r="J96" s="57">
        <f t="shared" si="17"/>
        <v>0</v>
      </c>
      <c r="K96" s="58">
        <f t="shared" si="18"/>
        <v>0</v>
      </c>
      <c r="L96" s="351"/>
    </row>
    <row r="97" spans="1:14" x14ac:dyDescent="0.25">
      <c r="A97" s="123">
        <v>11</v>
      </c>
      <c r="B97" s="80" t="s">
        <v>55</v>
      </c>
      <c r="C97" s="81">
        <v>2500</v>
      </c>
      <c r="D97" s="82">
        <f>159.14/2</f>
        <v>79.569999999999993</v>
      </c>
      <c r="E97" s="43">
        <v>0</v>
      </c>
      <c r="F97" s="61"/>
      <c r="G97" s="57">
        <f t="shared" si="15"/>
        <v>0</v>
      </c>
      <c r="H97" s="56">
        <f>2036-2036</f>
        <v>0</v>
      </c>
      <c r="I97" s="57">
        <f t="shared" si="16"/>
        <v>0</v>
      </c>
      <c r="J97" s="57">
        <f t="shared" si="17"/>
        <v>0</v>
      </c>
      <c r="K97" s="58">
        <f t="shared" si="18"/>
        <v>0</v>
      </c>
      <c r="L97" s="351"/>
    </row>
    <row r="98" spans="1:14" x14ac:dyDescent="0.25">
      <c r="A98" s="123">
        <v>12</v>
      </c>
      <c r="B98" s="80" t="s">
        <v>56</v>
      </c>
      <c r="C98" s="81">
        <v>1500</v>
      </c>
      <c r="D98" s="82">
        <f>151.67/8</f>
        <v>18.958749999999998</v>
      </c>
      <c r="E98" s="43">
        <v>0</v>
      </c>
      <c r="F98" s="61"/>
      <c r="G98" s="57">
        <f t="shared" si="15"/>
        <v>0</v>
      </c>
      <c r="H98" s="56">
        <f>19824-19824</f>
        <v>0</v>
      </c>
      <c r="I98" s="57">
        <f t="shared" si="16"/>
        <v>0</v>
      </c>
      <c r="J98" s="57">
        <f t="shared" si="17"/>
        <v>0</v>
      </c>
      <c r="K98" s="58">
        <f t="shared" si="18"/>
        <v>0</v>
      </c>
      <c r="L98" s="351"/>
    </row>
    <row r="99" spans="1:14" x14ac:dyDescent="0.25">
      <c r="A99" s="123">
        <v>13</v>
      </c>
      <c r="B99" s="80" t="s">
        <v>57</v>
      </c>
      <c r="C99" s="81">
        <v>15000</v>
      </c>
      <c r="D99" s="91">
        <v>15000</v>
      </c>
      <c r="E99" s="43">
        <v>0</v>
      </c>
      <c r="F99" s="61"/>
      <c r="G99" s="57">
        <f t="shared" si="15"/>
        <v>0</v>
      </c>
      <c r="H99" s="56"/>
      <c r="I99" s="57">
        <f t="shared" si="16"/>
        <v>0</v>
      </c>
      <c r="J99" s="57">
        <f t="shared" si="17"/>
        <v>0</v>
      </c>
      <c r="K99" s="58">
        <f t="shared" si="18"/>
        <v>0</v>
      </c>
      <c r="L99" s="351"/>
    </row>
    <row r="100" spans="1:14" x14ac:dyDescent="0.25">
      <c r="A100" s="123">
        <v>14</v>
      </c>
      <c r="B100" s="80" t="s">
        <v>58</v>
      </c>
      <c r="C100" s="81">
        <v>1500</v>
      </c>
      <c r="D100" s="82">
        <v>88.42</v>
      </c>
      <c r="E100" s="43">
        <v>0</v>
      </c>
      <c r="F100" s="61"/>
      <c r="G100" s="57">
        <f t="shared" si="15"/>
        <v>0</v>
      </c>
      <c r="H100" s="56">
        <f>4432-4432</f>
        <v>0</v>
      </c>
      <c r="I100" s="57">
        <f t="shared" si="16"/>
        <v>0</v>
      </c>
      <c r="J100" s="57">
        <f t="shared" si="17"/>
        <v>0</v>
      </c>
      <c r="K100" s="58">
        <f t="shared" si="18"/>
        <v>0</v>
      </c>
      <c r="L100" s="351"/>
      <c r="N100" t="s">
        <v>964</v>
      </c>
    </row>
    <row r="101" spans="1:14" ht="15.75" thickBot="1" x14ac:dyDescent="0.3">
      <c r="A101" s="123">
        <v>15</v>
      </c>
      <c r="B101" s="118" t="s">
        <v>59</v>
      </c>
      <c r="C101" s="119">
        <v>1500</v>
      </c>
      <c r="D101" s="120">
        <v>82.68</v>
      </c>
      <c r="E101" s="125">
        <v>0</v>
      </c>
      <c r="F101" s="124"/>
      <c r="G101" s="111">
        <f t="shared" si="15"/>
        <v>0</v>
      </c>
      <c r="H101" s="110"/>
      <c r="I101" s="111">
        <f t="shared" si="16"/>
        <v>0</v>
      </c>
      <c r="J101" s="111">
        <f t="shared" si="17"/>
        <v>0</v>
      </c>
      <c r="K101" s="112">
        <f t="shared" si="18"/>
        <v>0</v>
      </c>
      <c r="L101" s="351"/>
    </row>
    <row r="102" spans="1:14" ht="15.75" thickBot="1" x14ac:dyDescent="0.3">
      <c r="A102" s="84"/>
      <c r="B102" s="122" t="s">
        <v>664</v>
      </c>
      <c r="C102" s="92"/>
      <c r="D102" s="87"/>
      <c r="E102" s="87">
        <f>SUM(E87:E101)</f>
        <v>0</v>
      </c>
      <c r="F102" s="87">
        <f>SUM(F87:F101)</f>
        <v>0</v>
      </c>
      <c r="G102" s="87">
        <f>SUM(G87:G101)</f>
        <v>0</v>
      </c>
      <c r="H102" s="87">
        <f>SUM(H87:H101)</f>
        <v>0</v>
      </c>
      <c r="I102" s="87">
        <f>SUM(I87:I101)</f>
        <v>0</v>
      </c>
      <c r="J102" s="87">
        <f t="shared" ref="J102:K102" si="19">SUM(J87:J101)</f>
        <v>0</v>
      </c>
      <c r="K102" s="88">
        <f t="shared" si="19"/>
        <v>0</v>
      </c>
      <c r="L102" s="352"/>
    </row>
    <row r="103" spans="1:14" ht="15.75" thickBot="1" x14ac:dyDescent="0.3">
      <c r="B103" s="95"/>
      <c r="C103" s="96"/>
      <c r="D103" s="97"/>
      <c r="E103" s="98"/>
      <c r="F103" s="63"/>
      <c r="G103" s="98"/>
      <c r="H103" s="98"/>
      <c r="I103" s="98"/>
      <c r="J103" s="98"/>
      <c r="K103" s="98"/>
      <c r="L103" s="167"/>
    </row>
    <row r="104" spans="1:14" ht="15.75" thickBot="1" x14ac:dyDescent="0.3">
      <c r="A104" s="365" t="s">
        <v>657</v>
      </c>
      <c r="B104" s="372" t="s">
        <v>0</v>
      </c>
      <c r="C104" s="372" t="s">
        <v>1</v>
      </c>
      <c r="D104" s="373" t="s">
        <v>649</v>
      </c>
      <c r="E104" s="374" t="s">
        <v>19</v>
      </c>
      <c r="F104" s="374"/>
      <c r="G104" s="374"/>
      <c r="H104" s="374"/>
      <c r="I104" s="374"/>
      <c r="J104" s="368" t="s">
        <v>21</v>
      </c>
      <c r="K104" s="370" t="s">
        <v>602</v>
      </c>
      <c r="L104" s="349"/>
    </row>
    <row r="105" spans="1:14" ht="30.75" thickBot="1" x14ac:dyDescent="0.3">
      <c r="A105" s="366"/>
      <c r="B105" s="372"/>
      <c r="C105" s="372"/>
      <c r="D105" s="373"/>
      <c r="E105" s="69" t="s">
        <v>22</v>
      </c>
      <c r="F105" s="69" t="s">
        <v>600</v>
      </c>
      <c r="G105" s="69" t="s">
        <v>601</v>
      </c>
      <c r="H105" s="69" t="s">
        <v>589</v>
      </c>
      <c r="I105" s="69" t="s">
        <v>601</v>
      </c>
      <c r="J105" s="369"/>
      <c r="K105" s="371"/>
      <c r="L105" s="349"/>
    </row>
    <row r="106" spans="1:14" ht="15.75" thickBot="1" x14ac:dyDescent="0.3">
      <c r="A106" s="367"/>
      <c r="B106" s="70">
        <v>1</v>
      </c>
      <c r="C106" s="70">
        <v>2</v>
      </c>
      <c r="D106" s="70">
        <v>3</v>
      </c>
      <c r="E106" s="71">
        <v>4</v>
      </c>
      <c r="F106" s="71">
        <f>+E106+1</f>
        <v>5</v>
      </c>
      <c r="G106" s="71" t="s">
        <v>652</v>
      </c>
      <c r="H106" s="71">
        <v>7</v>
      </c>
      <c r="I106" s="72" t="s">
        <v>651</v>
      </c>
      <c r="J106" s="42" t="s">
        <v>650</v>
      </c>
      <c r="K106" s="42" t="s">
        <v>653</v>
      </c>
      <c r="L106" s="350"/>
    </row>
    <row r="107" spans="1:14" x14ac:dyDescent="0.25">
      <c r="A107" s="73"/>
      <c r="B107" s="73" t="s">
        <v>665</v>
      </c>
      <c r="C107" s="74"/>
      <c r="D107" s="75"/>
      <c r="E107" s="55"/>
      <c r="F107" s="55"/>
      <c r="G107" s="55"/>
      <c r="H107" s="55"/>
      <c r="I107" s="55"/>
      <c r="J107" s="55"/>
      <c r="K107" s="55"/>
      <c r="L107" s="135"/>
    </row>
    <row r="108" spans="1:14" x14ac:dyDescent="0.25">
      <c r="A108" s="123">
        <v>1</v>
      </c>
      <c r="B108" s="80" t="s">
        <v>60</v>
      </c>
      <c r="C108" s="81">
        <v>1500</v>
      </c>
      <c r="D108" s="82">
        <v>88.42</v>
      </c>
      <c r="E108" s="60">
        <v>0</v>
      </c>
      <c r="F108" s="60"/>
      <c r="G108" s="57">
        <f t="shared" ref="G108:G123" si="20">+E108+F108</f>
        <v>0</v>
      </c>
      <c r="H108" s="56">
        <f>50+218-268</f>
        <v>0</v>
      </c>
      <c r="I108" s="57">
        <f t="shared" ref="I108:I123" si="21">+G108-H108</f>
        <v>0</v>
      </c>
      <c r="J108" s="57">
        <f t="shared" ref="J108:J123" si="22">I108*C108</f>
        <v>0</v>
      </c>
      <c r="K108" s="58">
        <f t="shared" ref="K108:K123" si="23">+D108*I108</f>
        <v>0</v>
      </c>
      <c r="L108" s="351"/>
    </row>
    <row r="109" spans="1:14" x14ac:dyDescent="0.25">
      <c r="A109" s="123">
        <v>2</v>
      </c>
      <c r="B109" s="80" t="s">
        <v>61</v>
      </c>
      <c r="C109" s="81">
        <v>2500</v>
      </c>
      <c r="D109" s="82">
        <v>88.42</v>
      </c>
      <c r="E109" s="60">
        <v>0</v>
      </c>
      <c r="F109" s="60"/>
      <c r="G109" s="57">
        <f t="shared" si="20"/>
        <v>0</v>
      </c>
      <c r="H109" s="56"/>
      <c r="I109" s="57">
        <f t="shared" si="21"/>
        <v>0</v>
      </c>
      <c r="J109" s="57">
        <f t="shared" si="22"/>
        <v>0</v>
      </c>
      <c r="K109" s="58">
        <f t="shared" si="23"/>
        <v>0</v>
      </c>
      <c r="L109" s="351"/>
    </row>
    <row r="110" spans="1:14" x14ac:dyDescent="0.25">
      <c r="A110" s="123">
        <v>3</v>
      </c>
      <c r="B110" s="80" t="s">
        <v>62</v>
      </c>
      <c r="C110" s="81">
        <v>1500</v>
      </c>
      <c r="D110" s="82">
        <v>88.42</v>
      </c>
      <c r="E110" s="60">
        <v>0</v>
      </c>
      <c r="F110" s="60"/>
      <c r="G110" s="57">
        <f t="shared" si="20"/>
        <v>0</v>
      </c>
      <c r="H110" s="56">
        <f>5932-5932</f>
        <v>0</v>
      </c>
      <c r="I110" s="57">
        <f t="shared" si="21"/>
        <v>0</v>
      </c>
      <c r="J110" s="57">
        <f t="shared" si="22"/>
        <v>0</v>
      </c>
      <c r="K110" s="58">
        <f t="shared" si="23"/>
        <v>0</v>
      </c>
      <c r="L110" s="351"/>
    </row>
    <row r="111" spans="1:14" x14ac:dyDescent="0.25">
      <c r="A111" s="123">
        <v>4</v>
      </c>
      <c r="B111" s="80" t="s">
        <v>63</v>
      </c>
      <c r="C111" s="81">
        <v>1500</v>
      </c>
      <c r="D111" s="82">
        <v>88.42</v>
      </c>
      <c r="E111" s="60">
        <v>0</v>
      </c>
      <c r="F111" s="60"/>
      <c r="G111" s="57">
        <f t="shared" si="20"/>
        <v>0</v>
      </c>
      <c r="H111" s="56"/>
      <c r="I111" s="57">
        <f t="shared" si="21"/>
        <v>0</v>
      </c>
      <c r="J111" s="57">
        <f t="shared" si="22"/>
        <v>0</v>
      </c>
      <c r="K111" s="58">
        <f t="shared" si="23"/>
        <v>0</v>
      </c>
      <c r="L111" s="351"/>
    </row>
    <row r="112" spans="1:14" x14ac:dyDescent="0.25">
      <c r="A112" s="123">
        <v>5</v>
      </c>
      <c r="B112" s="80" t="s">
        <v>50</v>
      </c>
      <c r="C112" s="81">
        <v>1500</v>
      </c>
      <c r="D112" s="82">
        <v>64.78</v>
      </c>
      <c r="E112" s="60">
        <v>0</v>
      </c>
      <c r="F112" s="60"/>
      <c r="G112" s="57">
        <f t="shared" si="20"/>
        <v>0</v>
      </c>
      <c r="H112" s="56"/>
      <c r="I112" s="57">
        <f t="shared" si="21"/>
        <v>0</v>
      </c>
      <c r="J112" s="57">
        <f t="shared" si="22"/>
        <v>0</v>
      </c>
      <c r="K112" s="58">
        <f t="shared" si="23"/>
        <v>0</v>
      </c>
      <c r="L112" s="351"/>
    </row>
    <row r="113" spans="1:12" x14ac:dyDescent="0.25">
      <c r="A113" s="123">
        <v>6</v>
      </c>
      <c r="B113" s="80" t="s">
        <v>64</v>
      </c>
      <c r="C113" s="81">
        <v>1500</v>
      </c>
      <c r="D113" s="82">
        <v>64.78</v>
      </c>
      <c r="E113" s="60">
        <v>0</v>
      </c>
      <c r="F113" s="60"/>
      <c r="G113" s="57">
        <f t="shared" si="20"/>
        <v>0</v>
      </c>
      <c r="H113" s="56"/>
      <c r="I113" s="57">
        <f t="shared" si="21"/>
        <v>0</v>
      </c>
      <c r="J113" s="57">
        <f t="shared" si="22"/>
        <v>0</v>
      </c>
      <c r="K113" s="58">
        <f t="shared" si="23"/>
        <v>0</v>
      </c>
      <c r="L113" s="351"/>
    </row>
    <row r="114" spans="1:12" x14ac:dyDescent="0.25">
      <c r="A114" s="123">
        <v>7</v>
      </c>
      <c r="B114" s="80" t="s">
        <v>51</v>
      </c>
      <c r="C114" s="81">
        <v>1500</v>
      </c>
      <c r="D114" s="82">
        <v>64.78</v>
      </c>
      <c r="E114" s="60">
        <v>0</v>
      </c>
      <c r="F114" s="60"/>
      <c r="G114" s="57">
        <f t="shared" si="20"/>
        <v>0</v>
      </c>
      <c r="H114" s="56"/>
      <c r="I114" s="57">
        <f t="shared" si="21"/>
        <v>0</v>
      </c>
      <c r="J114" s="57">
        <f t="shared" si="22"/>
        <v>0</v>
      </c>
      <c r="K114" s="58">
        <f t="shared" si="23"/>
        <v>0</v>
      </c>
      <c r="L114" s="351"/>
    </row>
    <row r="115" spans="1:12" x14ac:dyDescent="0.25">
      <c r="A115" s="123">
        <v>8</v>
      </c>
      <c r="B115" s="80" t="s">
        <v>65</v>
      </c>
      <c r="C115" s="81">
        <v>2500</v>
      </c>
      <c r="D115" s="82">
        <v>32.39</v>
      </c>
      <c r="E115" s="60">
        <v>0</v>
      </c>
      <c r="F115" s="60"/>
      <c r="G115" s="57">
        <f t="shared" si="20"/>
        <v>0</v>
      </c>
      <c r="H115" s="56">
        <f>12-12</f>
        <v>0</v>
      </c>
      <c r="I115" s="57">
        <f t="shared" si="21"/>
        <v>0</v>
      </c>
      <c r="J115" s="57">
        <f t="shared" si="22"/>
        <v>0</v>
      </c>
      <c r="K115" s="58">
        <f t="shared" si="23"/>
        <v>0</v>
      </c>
      <c r="L115" s="351"/>
    </row>
    <row r="116" spans="1:12" x14ac:dyDescent="0.25">
      <c r="A116" s="123">
        <v>9</v>
      </c>
      <c r="B116" s="80" t="s">
        <v>66</v>
      </c>
      <c r="C116" s="81">
        <v>15000</v>
      </c>
      <c r="D116" s="82">
        <v>194.34</v>
      </c>
      <c r="E116" s="60">
        <v>0</v>
      </c>
      <c r="F116" s="60"/>
      <c r="G116" s="57">
        <f t="shared" si="20"/>
        <v>0</v>
      </c>
      <c r="H116" s="56"/>
      <c r="I116" s="57">
        <f t="shared" si="21"/>
        <v>0</v>
      </c>
      <c r="J116" s="57">
        <f t="shared" si="22"/>
        <v>0</v>
      </c>
      <c r="K116" s="58">
        <f t="shared" si="23"/>
        <v>0</v>
      </c>
      <c r="L116" s="351"/>
    </row>
    <row r="117" spans="1:12" x14ac:dyDescent="0.25">
      <c r="A117" s="123">
        <v>10</v>
      </c>
      <c r="B117" s="80" t="s">
        <v>67</v>
      </c>
      <c r="C117" s="81">
        <v>1500</v>
      </c>
      <c r="D117" s="82">
        <v>64.78</v>
      </c>
      <c r="E117" s="60">
        <v>0</v>
      </c>
      <c r="F117" s="60"/>
      <c r="G117" s="57">
        <f t="shared" si="20"/>
        <v>0</v>
      </c>
      <c r="H117" s="56"/>
      <c r="I117" s="57">
        <f t="shared" si="21"/>
        <v>0</v>
      </c>
      <c r="J117" s="57">
        <f t="shared" si="22"/>
        <v>0</v>
      </c>
      <c r="K117" s="58">
        <f t="shared" si="23"/>
        <v>0</v>
      </c>
      <c r="L117" s="351"/>
    </row>
    <row r="118" spans="1:12" x14ac:dyDescent="0.25">
      <c r="A118" s="123">
        <v>11</v>
      </c>
      <c r="B118" s="80" t="s">
        <v>68</v>
      </c>
      <c r="C118" s="81">
        <v>1500</v>
      </c>
      <c r="D118" s="82">
        <v>70.77</v>
      </c>
      <c r="E118" s="60">
        <v>0</v>
      </c>
      <c r="F118" s="60"/>
      <c r="G118" s="57">
        <f t="shared" si="20"/>
        <v>0</v>
      </c>
      <c r="H118" s="56"/>
      <c r="I118" s="57">
        <f t="shared" si="21"/>
        <v>0</v>
      </c>
      <c r="J118" s="57">
        <f t="shared" si="22"/>
        <v>0</v>
      </c>
      <c r="K118" s="58">
        <f t="shared" si="23"/>
        <v>0</v>
      </c>
      <c r="L118" s="351"/>
    </row>
    <row r="119" spans="1:12" x14ac:dyDescent="0.25">
      <c r="A119" s="123">
        <v>12</v>
      </c>
      <c r="B119" s="80" t="s">
        <v>69</v>
      </c>
      <c r="C119" s="81">
        <v>1500</v>
      </c>
      <c r="D119" s="82">
        <v>88.72</v>
      </c>
      <c r="E119" s="60">
        <v>0</v>
      </c>
      <c r="F119" s="60"/>
      <c r="G119" s="57">
        <f t="shared" si="20"/>
        <v>0</v>
      </c>
      <c r="H119" s="56"/>
      <c r="I119" s="57">
        <f t="shared" si="21"/>
        <v>0</v>
      </c>
      <c r="J119" s="57">
        <f t="shared" si="22"/>
        <v>0</v>
      </c>
      <c r="K119" s="58">
        <f t="shared" si="23"/>
        <v>0</v>
      </c>
      <c r="L119" s="351"/>
    </row>
    <row r="120" spans="1:12" x14ac:dyDescent="0.25">
      <c r="A120" s="123">
        <v>13</v>
      </c>
      <c r="B120" s="80" t="s">
        <v>70</v>
      </c>
      <c r="C120" s="81">
        <v>1500</v>
      </c>
      <c r="D120" s="82">
        <v>70.77</v>
      </c>
      <c r="E120" s="60">
        <v>0</v>
      </c>
      <c r="F120" s="60"/>
      <c r="G120" s="57">
        <f t="shared" si="20"/>
        <v>0</v>
      </c>
      <c r="H120" s="56"/>
      <c r="I120" s="57">
        <f t="shared" si="21"/>
        <v>0</v>
      </c>
      <c r="J120" s="57">
        <f t="shared" si="22"/>
        <v>0</v>
      </c>
      <c r="K120" s="58">
        <f t="shared" si="23"/>
        <v>0</v>
      </c>
      <c r="L120" s="351"/>
    </row>
    <row r="121" spans="1:12" x14ac:dyDescent="0.25">
      <c r="A121" s="123">
        <v>14</v>
      </c>
      <c r="B121" s="80" t="s">
        <v>71</v>
      </c>
      <c r="C121" s="81">
        <v>2500</v>
      </c>
      <c r="D121" s="82">
        <v>70.77</v>
      </c>
      <c r="E121" s="60">
        <v>0</v>
      </c>
      <c r="F121" s="60"/>
      <c r="G121" s="57">
        <f t="shared" si="20"/>
        <v>0</v>
      </c>
      <c r="H121" s="56"/>
      <c r="I121" s="57">
        <f t="shared" si="21"/>
        <v>0</v>
      </c>
      <c r="J121" s="57">
        <f t="shared" si="22"/>
        <v>0</v>
      </c>
      <c r="K121" s="58">
        <f t="shared" si="23"/>
        <v>0</v>
      </c>
      <c r="L121" s="351"/>
    </row>
    <row r="122" spans="1:12" x14ac:dyDescent="0.25">
      <c r="A122" s="123">
        <v>15</v>
      </c>
      <c r="B122" s="80" t="s">
        <v>72</v>
      </c>
      <c r="C122" s="81">
        <v>1500</v>
      </c>
      <c r="D122" s="82">
        <v>70.77</v>
      </c>
      <c r="E122" s="60">
        <v>0</v>
      </c>
      <c r="F122" s="60"/>
      <c r="G122" s="57">
        <f t="shared" si="20"/>
        <v>0</v>
      </c>
      <c r="H122" s="56">
        <f>369-369</f>
        <v>0</v>
      </c>
      <c r="I122" s="57">
        <f t="shared" si="21"/>
        <v>0</v>
      </c>
      <c r="J122" s="57">
        <f t="shared" si="22"/>
        <v>0</v>
      </c>
      <c r="K122" s="58">
        <f t="shared" si="23"/>
        <v>0</v>
      </c>
      <c r="L122" s="351"/>
    </row>
    <row r="123" spans="1:12" ht="15.75" thickBot="1" x14ac:dyDescent="0.3">
      <c r="A123" s="123">
        <v>16</v>
      </c>
      <c r="B123" s="118" t="s">
        <v>654</v>
      </c>
      <c r="C123" s="119">
        <v>6000</v>
      </c>
      <c r="D123" s="120">
        <v>70.77</v>
      </c>
      <c r="E123" s="121">
        <v>0</v>
      </c>
      <c r="F123" s="121"/>
      <c r="G123" s="111">
        <f t="shared" si="20"/>
        <v>0</v>
      </c>
      <c r="H123" s="56">
        <f>49-49</f>
        <v>0</v>
      </c>
      <c r="I123" s="111">
        <f t="shared" si="21"/>
        <v>0</v>
      </c>
      <c r="J123" s="111">
        <f t="shared" si="22"/>
        <v>0</v>
      </c>
      <c r="K123" s="112">
        <f t="shared" si="23"/>
        <v>0</v>
      </c>
      <c r="L123" s="351"/>
    </row>
    <row r="124" spans="1:12" ht="15.75" thickBot="1" x14ac:dyDescent="0.3">
      <c r="A124" s="84"/>
      <c r="B124" s="122" t="s">
        <v>666</v>
      </c>
      <c r="C124" s="92"/>
      <c r="D124" s="36"/>
      <c r="E124" s="62">
        <f t="shared" ref="E124:K124" si="24">SUM(E108:E123)</f>
        <v>0</v>
      </c>
      <c r="F124" s="62">
        <f t="shared" si="24"/>
        <v>0</v>
      </c>
      <c r="G124" s="62">
        <f t="shared" si="24"/>
        <v>0</v>
      </c>
      <c r="H124" s="46">
        <f t="shared" si="24"/>
        <v>0</v>
      </c>
      <c r="I124" s="46">
        <f t="shared" si="24"/>
        <v>0</v>
      </c>
      <c r="J124" s="46">
        <f t="shared" si="24"/>
        <v>0</v>
      </c>
      <c r="K124" s="47">
        <f t="shared" si="24"/>
        <v>0</v>
      </c>
      <c r="L124" s="218"/>
    </row>
    <row r="125" spans="1:12" ht="15.75" thickBot="1" x14ac:dyDescent="0.3">
      <c r="B125" s="95"/>
      <c r="C125" s="96"/>
      <c r="D125" s="97"/>
      <c r="E125" s="98"/>
      <c r="F125" s="63"/>
      <c r="G125" s="98"/>
      <c r="H125" s="98"/>
      <c r="I125" s="98"/>
      <c r="J125" s="98"/>
      <c r="K125" s="97"/>
      <c r="L125" s="166"/>
    </row>
    <row r="126" spans="1:12" ht="15.75" thickBot="1" x14ac:dyDescent="0.3">
      <c r="A126" s="365" t="s">
        <v>657</v>
      </c>
      <c r="B126" s="372" t="s">
        <v>0</v>
      </c>
      <c r="C126" s="372" t="s">
        <v>1</v>
      </c>
      <c r="D126" s="373" t="s">
        <v>649</v>
      </c>
      <c r="E126" s="374" t="s">
        <v>19</v>
      </c>
      <c r="F126" s="374"/>
      <c r="G126" s="374"/>
      <c r="H126" s="374"/>
      <c r="I126" s="374"/>
      <c r="J126" s="368" t="s">
        <v>21</v>
      </c>
      <c r="K126" s="370" t="s">
        <v>602</v>
      </c>
      <c r="L126" s="349"/>
    </row>
    <row r="127" spans="1:12" ht="30.75" thickBot="1" x14ac:dyDescent="0.3">
      <c r="A127" s="366"/>
      <c r="B127" s="372"/>
      <c r="C127" s="372"/>
      <c r="D127" s="373"/>
      <c r="E127" s="69" t="s">
        <v>22</v>
      </c>
      <c r="F127" s="69" t="s">
        <v>600</v>
      </c>
      <c r="G127" s="69" t="s">
        <v>601</v>
      </c>
      <c r="H127" s="69" t="s">
        <v>589</v>
      </c>
      <c r="I127" s="69" t="s">
        <v>601</v>
      </c>
      <c r="J127" s="369"/>
      <c r="K127" s="371"/>
      <c r="L127" s="349"/>
    </row>
    <row r="128" spans="1:12" ht="15.75" thickBot="1" x14ac:dyDescent="0.3">
      <c r="A128" s="367"/>
      <c r="B128" s="70">
        <v>1</v>
      </c>
      <c r="C128" s="70">
        <v>2</v>
      </c>
      <c r="D128" s="70">
        <v>3</v>
      </c>
      <c r="E128" s="71">
        <v>4</v>
      </c>
      <c r="F128" s="71">
        <f>+E128+1</f>
        <v>5</v>
      </c>
      <c r="G128" s="71" t="s">
        <v>652</v>
      </c>
      <c r="H128" s="71">
        <v>7</v>
      </c>
      <c r="I128" s="72" t="s">
        <v>651</v>
      </c>
      <c r="J128" s="42" t="s">
        <v>650</v>
      </c>
      <c r="K128" s="42" t="s">
        <v>653</v>
      </c>
      <c r="L128" s="350"/>
    </row>
    <row r="129" spans="1:12" x14ac:dyDescent="0.25">
      <c r="A129" s="73"/>
      <c r="B129" s="73" t="s">
        <v>667</v>
      </c>
      <c r="C129" s="93"/>
      <c r="D129" s="75"/>
      <c r="E129" s="55"/>
      <c r="F129" s="55"/>
      <c r="G129" s="55"/>
      <c r="H129" s="55"/>
      <c r="I129" s="55"/>
      <c r="J129" s="55"/>
      <c r="K129" s="55"/>
      <c r="L129" s="135"/>
    </row>
    <row r="130" spans="1:12" x14ac:dyDescent="0.25">
      <c r="A130" s="123">
        <v>1</v>
      </c>
      <c r="B130" s="80" t="s">
        <v>73</v>
      </c>
      <c r="C130" s="81">
        <v>2000</v>
      </c>
      <c r="D130" s="82">
        <v>145.15</v>
      </c>
      <c r="E130" s="61">
        <v>0</v>
      </c>
      <c r="F130" s="61"/>
      <c r="G130" s="57">
        <f t="shared" ref="G130:G159" si="25">+E130+F130</f>
        <v>0</v>
      </c>
      <c r="H130" s="56"/>
      <c r="I130" s="57">
        <f t="shared" ref="I130:I159" si="26">+G130-H130</f>
        <v>0</v>
      </c>
      <c r="J130" s="57">
        <f t="shared" ref="J130:J159" si="27">I130*C130</f>
        <v>0</v>
      </c>
      <c r="K130" s="58">
        <f t="shared" ref="K130:K159" si="28">+D130*I130</f>
        <v>0</v>
      </c>
      <c r="L130" s="351"/>
    </row>
    <row r="131" spans="1:12" x14ac:dyDescent="0.25">
      <c r="A131" s="123">
        <v>2</v>
      </c>
      <c r="B131" s="80" t="s">
        <v>74</v>
      </c>
      <c r="C131" s="81">
        <v>2500</v>
      </c>
      <c r="D131" s="82">
        <v>208.86</v>
      </c>
      <c r="E131" s="61">
        <v>0</v>
      </c>
      <c r="F131" s="61"/>
      <c r="G131" s="57">
        <f t="shared" si="25"/>
        <v>0</v>
      </c>
      <c r="H131" s="56"/>
      <c r="I131" s="57">
        <f t="shared" si="26"/>
        <v>0</v>
      </c>
      <c r="J131" s="57">
        <f t="shared" si="27"/>
        <v>0</v>
      </c>
      <c r="K131" s="58">
        <f t="shared" si="28"/>
        <v>0</v>
      </c>
      <c r="L131" s="351"/>
    </row>
    <row r="132" spans="1:12" x14ac:dyDescent="0.25">
      <c r="A132" s="123">
        <v>3</v>
      </c>
      <c r="B132" s="80" t="s">
        <v>75</v>
      </c>
      <c r="C132" s="81">
        <v>5000</v>
      </c>
      <c r="D132" s="82"/>
      <c r="E132" s="61">
        <v>0</v>
      </c>
      <c r="F132" s="61"/>
      <c r="G132" s="57">
        <f t="shared" si="25"/>
        <v>0</v>
      </c>
      <c r="H132" s="56"/>
      <c r="I132" s="57">
        <f t="shared" si="26"/>
        <v>0</v>
      </c>
      <c r="J132" s="57">
        <f t="shared" si="27"/>
        <v>0</v>
      </c>
      <c r="K132" s="58">
        <f t="shared" si="28"/>
        <v>0</v>
      </c>
      <c r="L132" s="351"/>
    </row>
    <row r="133" spans="1:12" x14ac:dyDescent="0.25">
      <c r="A133" s="123">
        <v>4</v>
      </c>
      <c r="B133" s="80" t="s">
        <v>76</v>
      </c>
      <c r="C133" s="81"/>
      <c r="D133" s="82"/>
      <c r="E133" s="61">
        <v>0</v>
      </c>
      <c r="F133" s="61"/>
      <c r="G133" s="57">
        <f t="shared" si="25"/>
        <v>0</v>
      </c>
      <c r="H133" s="56"/>
      <c r="I133" s="57">
        <f t="shared" si="26"/>
        <v>0</v>
      </c>
      <c r="J133" s="57">
        <f t="shared" si="27"/>
        <v>0</v>
      </c>
      <c r="K133" s="58">
        <f t="shared" si="28"/>
        <v>0</v>
      </c>
      <c r="L133" s="351"/>
    </row>
    <row r="134" spans="1:12" x14ac:dyDescent="0.25">
      <c r="A134" s="123">
        <v>5</v>
      </c>
      <c r="B134" s="94" t="s">
        <v>77</v>
      </c>
      <c r="C134" s="81">
        <v>2500</v>
      </c>
      <c r="D134" s="82">
        <v>198.18</v>
      </c>
      <c r="E134" s="61">
        <v>0</v>
      </c>
      <c r="F134" s="61"/>
      <c r="G134" s="57">
        <f t="shared" si="25"/>
        <v>0</v>
      </c>
      <c r="H134" s="56"/>
      <c r="I134" s="57">
        <f t="shared" si="26"/>
        <v>0</v>
      </c>
      <c r="J134" s="57">
        <f t="shared" si="27"/>
        <v>0</v>
      </c>
      <c r="K134" s="58">
        <f t="shared" si="28"/>
        <v>0</v>
      </c>
      <c r="L134" s="351"/>
    </row>
    <row r="135" spans="1:12" x14ac:dyDescent="0.25">
      <c r="A135" s="123">
        <v>6</v>
      </c>
      <c r="B135" s="94" t="s">
        <v>78</v>
      </c>
      <c r="C135" s="81">
        <v>2500</v>
      </c>
      <c r="D135" s="82">
        <v>198.18</v>
      </c>
      <c r="E135" s="61">
        <v>0</v>
      </c>
      <c r="F135" s="61"/>
      <c r="G135" s="57">
        <f t="shared" si="25"/>
        <v>0</v>
      </c>
      <c r="H135" s="56"/>
      <c r="I135" s="57">
        <f t="shared" si="26"/>
        <v>0</v>
      </c>
      <c r="J135" s="57">
        <f t="shared" si="27"/>
        <v>0</v>
      </c>
      <c r="K135" s="58">
        <f t="shared" si="28"/>
        <v>0</v>
      </c>
      <c r="L135" s="351"/>
    </row>
    <row r="136" spans="1:12" x14ac:dyDescent="0.25">
      <c r="A136" s="123">
        <v>7</v>
      </c>
      <c r="B136" s="94" t="s">
        <v>79</v>
      </c>
      <c r="C136" s="81">
        <v>2500</v>
      </c>
      <c r="D136" s="82">
        <v>198.18</v>
      </c>
      <c r="E136" s="61">
        <v>0</v>
      </c>
      <c r="F136" s="61"/>
      <c r="G136" s="57">
        <f t="shared" si="25"/>
        <v>0</v>
      </c>
      <c r="H136" s="56"/>
      <c r="I136" s="57">
        <f t="shared" si="26"/>
        <v>0</v>
      </c>
      <c r="J136" s="57">
        <f t="shared" si="27"/>
        <v>0</v>
      </c>
      <c r="K136" s="58">
        <f t="shared" si="28"/>
        <v>0</v>
      </c>
      <c r="L136" s="351"/>
    </row>
    <row r="137" spans="1:12" x14ac:dyDescent="0.25">
      <c r="A137" s="123">
        <v>8</v>
      </c>
      <c r="B137" s="94" t="s">
        <v>80</v>
      </c>
      <c r="C137" s="81">
        <v>2500</v>
      </c>
      <c r="D137" s="82">
        <v>198.18</v>
      </c>
      <c r="E137" s="61">
        <v>0</v>
      </c>
      <c r="F137" s="61"/>
      <c r="G137" s="57">
        <f t="shared" si="25"/>
        <v>0</v>
      </c>
      <c r="H137" s="56"/>
      <c r="I137" s="57">
        <f t="shared" si="26"/>
        <v>0</v>
      </c>
      <c r="J137" s="57">
        <f t="shared" si="27"/>
        <v>0</v>
      </c>
      <c r="K137" s="58">
        <f t="shared" si="28"/>
        <v>0</v>
      </c>
      <c r="L137" s="351"/>
    </row>
    <row r="138" spans="1:12" x14ac:dyDescent="0.25">
      <c r="A138" s="123">
        <v>9</v>
      </c>
      <c r="B138" s="94" t="s">
        <v>81</v>
      </c>
      <c r="C138" s="81">
        <v>2500</v>
      </c>
      <c r="D138" s="82">
        <v>198.18</v>
      </c>
      <c r="E138" s="61">
        <v>0</v>
      </c>
      <c r="F138" s="61"/>
      <c r="G138" s="57">
        <f t="shared" si="25"/>
        <v>0</v>
      </c>
      <c r="H138" s="56"/>
      <c r="I138" s="57">
        <f t="shared" si="26"/>
        <v>0</v>
      </c>
      <c r="J138" s="57">
        <f t="shared" si="27"/>
        <v>0</v>
      </c>
      <c r="K138" s="58">
        <f t="shared" si="28"/>
        <v>0</v>
      </c>
      <c r="L138" s="351"/>
    </row>
    <row r="139" spans="1:12" x14ac:dyDescent="0.25">
      <c r="A139" s="123">
        <v>10</v>
      </c>
      <c r="B139" s="80" t="s">
        <v>82</v>
      </c>
      <c r="C139" s="81">
        <v>1500</v>
      </c>
      <c r="D139" s="82">
        <v>186.3</v>
      </c>
      <c r="E139" s="61">
        <v>0</v>
      </c>
      <c r="F139" s="61"/>
      <c r="G139" s="57">
        <f t="shared" si="25"/>
        <v>0</v>
      </c>
      <c r="H139" s="56"/>
      <c r="I139" s="57">
        <f t="shared" si="26"/>
        <v>0</v>
      </c>
      <c r="J139" s="57">
        <f t="shared" si="27"/>
        <v>0</v>
      </c>
      <c r="K139" s="58">
        <f t="shared" si="28"/>
        <v>0</v>
      </c>
      <c r="L139" s="351"/>
    </row>
    <row r="140" spans="1:12" x14ac:dyDescent="0.25">
      <c r="A140" s="123">
        <v>11</v>
      </c>
      <c r="B140" s="80" t="s">
        <v>83</v>
      </c>
      <c r="C140" s="81">
        <v>4500</v>
      </c>
      <c r="D140" s="82">
        <v>293.11</v>
      </c>
      <c r="E140" s="61">
        <v>0</v>
      </c>
      <c r="F140" s="61"/>
      <c r="G140" s="57">
        <f t="shared" si="25"/>
        <v>0</v>
      </c>
      <c r="H140" s="56">
        <f>716-716</f>
        <v>0</v>
      </c>
      <c r="I140" s="57">
        <f t="shared" si="26"/>
        <v>0</v>
      </c>
      <c r="J140" s="57">
        <f t="shared" si="27"/>
        <v>0</v>
      </c>
      <c r="K140" s="58">
        <f t="shared" si="28"/>
        <v>0</v>
      </c>
      <c r="L140" s="351"/>
    </row>
    <row r="141" spans="1:12" x14ac:dyDescent="0.25">
      <c r="A141" s="123">
        <v>12</v>
      </c>
      <c r="B141" s="94" t="s">
        <v>84</v>
      </c>
      <c r="C141" s="81">
        <v>1500</v>
      </c>
      <c r="D141" s="82">
        <v>143.13</v>
      </c>
      <c r="E141" s="61">
        <v>0</v>
      </c>
      <c r="F141" s="61"/>
      <c r="G141" s="57">
        <f t="shared" si="25"/>
        <v>0</v>
      </c>
      <c r="H141" s="56"/>
      <c r="I141" s="57">
        <f t="shared" si="26"/>
        <v>0</v>
      </c>
      <c r="J141" s="57">
        <f t="shared" si="27"/>
        <v>0</v>
      </c>
      <c r="K141" s="58">
        <f t="shared" si="28"/>
        <v>0</v>
      </c>
      <c r="L141" s="351"/>
    </row>
    <row r="142" spans="1:12" x14ac:dyDescent="0.25">
      <c r="A142" s="123">
        <v>13</v>
      </c>
      <c r="B142" s="80" t="s">
        <v>85</v>
      </c>
      <c r="C142" s="81">
        <v>1500</v>
      </c>
      <c r="D142" s="82">
        <v>122.5</v>
      </c>
      <c r="E142" s="61">
        <v>0</v>
      </c>
      <c r="F142" s="61"/>
      <c r="G142" s="57">
        <f t="shared" si="25"/>
        <v>0</v>
      </c>
      <c r="H142" s="56"/>
      <c r="I142" s="57">
        <f t="shared" si="26"/>
        <v>0</v>
      </c>
      <c r="J142" s="57">
        <f t="shared" si="27"/>
        <v>0</v>
      </c>
      <c r="K142" s="58">
        <f t="shared" si="28"/>
        <v>0</v>
      </c>
      <c r="L142" s="351"/>
    </row>
    <row r="143" spans="1:12" x14ac:dyDescent="0.25">
      <c r="A143" s="123">
        <v>14</v>
      </c>
      <c r="B143" s="80" t="s">
        <v>86</v>
      </c>
      <c r="C143" s="81">
        <v>1500</v>
      </c>
      <c r="D143" s="82">
        <v>219.53</v>
      </c>
      <c r="E143" s="61">
        <v>0</v>
      </c>
      <c r="F143" s="61"/>
      <c r="G143" s="57">
        <f t="shared" si="25"/>
        <v>0</v>
      </c>
      <c r="H143" s="56"/>
      <c r="I143" s="57">
        <f t="shared" si="26"/>
        <v>0</v>
      </c>
      <c r="J143" s="57">
        <f t="shared" si="27"/>
        <v>0</v>
      </c>
      <c r="K143" s="58">
        <f t="shared" si="28"/>
        <v>0</v>
      </c>
      <c r="L143" s="351"/>
    </row>
    <row r="144" spans="1:12" x14ac:dyDescent="0.25">
      <c r="A144" s="123">
        <v>15</v>
      </c>
      <c r="B144" s="80" t="s">
        <v>87</v>
      </c>
      <c r="C144" s="81">
        <v>1500</v>
      </c>
      <c r="D144" s="82">
        <v>125.53</v>
      </c>
      <c r="E144" s="61">
        <v>0</v>
      </c>
      <c r="F144" s="61"/>
      <c r="G144" s="57">
        <f t="shared" si="25"/>
        <v>0</v>
      </c>
      <c r="H144" s="56"/>
      <c r="I144" s="57">
        <f t="shared" si="26"/>
        <v>0</v>
      </c>
      <c r="J144" s="57">
        <f t="shared" si="27"/>
        <v>0</v>
      </c>
      <c r="K144" s="58">
        <f t="shared" si="28"/>
        <v>0</v>
      </c>
      <c r="L144" s="351"/>
    </row>
    <row r="145" spans="1:12" x14ac:dyDescent="0.25">
      <c r="A145" s="123">
        <v>16</v>
      </c>
      <c r="B145" s="80" t="s">
        <v>88</v>
      </c>
      <c r="C145" s="81">
        <v>10000</v>
      </c>
      <c r="D145" s="91">
        <v>10000</v>
      </c>
      <c r="E145" s="61"/>
      <c r="F145" s="61"/>
      <c r="G145" s="57">
        <f t="shared" si="25"/>
        <v>0</v>
      </c>
      <c r="H145" s="56"/>
      <c r="I145" s="57">
        <f t="shared" si="26"/>
        <v>0</v>
      </c>
      <c r="J145" s="57">
        <f t="shared" si="27"/>
        <v>0</v>
      </c>
      <c r="K145" s="58">
        <f t="shared" si="28"/>
        <v>0</v>
      </c>
      <c r="L145" s="351"/>
    </row>
    <row r="146" spans="1:12" x14ac:dyDescent="0.25">
      <c r="A146" s="123">
        <v>17</v>
      </c>
      <c r="B146" s="80" t="s">
        <v>89</v>
      </c>
      <c r="C146" s="81">
        <v>1500</v>
      </c>
      <c r="D146" s="82">
        <v>198.18</v>
      </c>
      <c r="E146" s="61"/>
      <c r="F146" s="61"/>
      <c r="G146" s="57">
        <f t="shared" si="25"/>
        <v>0</v>
      </c>
      <c r="H146" s="56"/>
      <c r="I146" s="57">
        <f t="shared" si="26"/>
        <v>0</v>
      </c>
      <c r="J146" s="57">
        <f t="shared" si="27"/>
        <v>0</v>
      </c>
      <c r="K146" s="58">
        <f t="shared" si="28"/>
        <v>0</v>
      </c>
      <c r="L146" s="351"/>
    </row>
    <row r="147" spans="1:12" x14ac:dyDescent="0.25">
      <c r="A147" s="123">
        <v>18</v>
      </c>
      <c r="B147" s="80" t="s">
        <v>90</v>
      </c>
      <c r="C147" s="81">
        <v>1500</v>
      </c>
      <c r="D147" s="82">
        <v>198.18</v>
      </c>
      <c r="E147" s="61"/>
      <c r="F147" s="61"/>
      <c r="G147" s="57">
        <f t="shared" si="25"/>
        <v>0</v>
      </c>
      <c r="H147" s="56"/>
      <c r="I147" s="57">
        <f t="shared" si="26"/>
        <v>0</v>
      </c>
      <c r="J147" s="57">
        <f t="shared" si="27"/>
        <v>0</v>
      </c>
      <c r="K147" s="58">
        <f t="shared" si="28"/>
        <v>0</v>
      </c>
      <c r="L147" s="351"/>
    </row>
    <row r="148" spans="1:12" x14ac:dyDescent="0.25">
      <c r="A148" s="123">
        <v>19</v>
      </c>
      <c r="B148" s="80" t="s">
        <v>91</v>
      </c>
      <c r="C148" s="81">
        <v>1500</v>
      </c>
      <c r="D148" s="82">
        <v>198.18</v>
      </c>
      <c r="E148" s="61"/>
      <c r="F148" s="61"/>
      <c r="G148" s="57">
        <f t="shared" si="25"/>
        <v>0</v>
      </c>
      <c r="H148" s="56"/>
      <c r="I148" s="57">
        <f t="shared" si="26"/>
        <v>0</v>
      </c>
      <c r="J148" s="57">
        <f t="shared" si="27"/>
        <v>0</v>
      </c>
      <c r="K148" s="58">
        <f t="shared" si="28"/>
        <v>0</v>
      </c>
      <c r="L148" s="351"/>
    </row>
    <row r="149" spans="1:12" x14ac:dyDescent="0.25">
      <c r="A149" s="123">
        <v>20</v>
      </c>
      <c r="B149" s="80" t="s">
        <v>92</v>
      </c>
      <c r="C149" s="81">
        <v>1500</v>
      </c>
      <c r="D149" s="82">
        <v>198.18</v>
      </c>
      <c r="E149" s="61"/>
      <c r="F149" s="61"/>
      <c r="G149" s="57">
        <f t="shared" si="25"/>
        <v>0</v>
      </c>
      <c r="H149" s="56"/>
      <c r="I149" s="57">
        <f t="shared" si="26"/>
        <v>0</v>
      </c>
      <c r="J149" s="57">
        <f t="shared" si="27"/>
        <v>0</v>
      </c>
      <c r="K149" s="58">
        <f t="shared" si="28"/>
        <v>0</v>
      </c>
      <c r="L149" s="351"/>
    </row>
    <row r="150" spans="1:12" x14ac:dyDescent="0.25">
      <c r="A150" s="123">
        <v>21</v>
      </c>
      <c r="B150" s="80" t="s">
        <v>93</v>
      </c>
      <c r="C150" s="81">
        <v>1500</v>
      </c>
      <c r="D150" s="82">
        <v>198.18</v>
      </c>
      <c r="E150" s="61"/>
      <c r="F150" s="61"/>
      <c r="G150" s="57">
        <f t="shared" si="25"/>
        <v>0</v>
      </c>
      <c r="H150" s="56"/>
      <c r="I150" s="57">
        <f t="shared" si="26"/>
        <v>0</v>
      </c>
      <c r="J150" s="57">
        <f t="shared" si="27"/>
        <v>0</v>
      </c>
      <c r="K150" s="58">
        <f t="shared" si="28"/>
        <v>0</v>
      </c>
      <c r="L150" s="351"/>
    </row>
    <row r="151" spans="1:12" x14ac:dyDescent="0.25">
      <c r="A151" s="123">
        <v>22</v>
      </c>
      <c r="B151" s="80" t="s">
        <v>94</v>
      </c>
      <c r="C151" s="81">
        <v>1500</v>
      </c>
      <c r="D151" s="82">
        <v>198.18</v>
      </c>
      <c r="E151" s="61"/>
      <c r="F151" s="61"/>
      <c r="G151" s="57">
        <f t="shared" si="25"/>
        <v>0</v>
      </c>
      <c r="H151" s="56"/>
      <c r="I151" s="57">
        <f t="shared" si="26"/>
        <v>0</v>
      </c>
      <c r="J151" s="57">
        <f t="shared" si="27"/>
        <v>0</v>
      </c>
      <c r="K151" s="58">
        <f t="shared" si="28"/>
        <v>0</v>
      </c>
      <c r="L151" s="351"/>
    </row>
    <row r="152" spans="1:12" x14ac:dyDescent="0.25">
      <c r="A152" s="123">
        <v>23</v>
      </c>
      <c r="B152" s="80" t="s">
        <v>95</v>
      </c>
      <c r="C152" s="81">
        <v>1500</v>
      </c>
      <c r="D152" s="82">
        <v>198.18</v>
      </c>
      <c r="E152" s="61"/>
      <c r="F152" s="61"/>
      <c r="G152" s="57">
        <f t="shared" si="25"/>
        <v>0</v>
      </c>
      <c r="H152" s="56"/>
      <c r="I152" s="57">
        <f t="shared" si="26"/>
        <v>0</v>
      </c>
      <c r="J152" s="57">
        <f t="shared" si="27"/>
        <v>0</v>
      </c>
      <c r="K152" s="58">
        <f t="shared" si="28"/>
        <v>0</v>
      </c>
      <c r="L152" s="351"/>
    </row>
    <row r="153" spans="1:12" x14ac:dyDescent="0.25">
      <c r="A153" s="123">
        <v>24</v>
      </c>
      <c r="B153" s="80" t="s">
        <v>96</v>
      </c>
      <c r="C153" s="81">
        <v>1500</v>
      </c>
      <c r="D153" s="82">
        <v>198.18</v>
      </c>
      <c r="E153" s="61"/>
      <c r="F153" s="61"/>
      <c r="G153" s="57">
        <f t="shared" si="25"/>
        <v>0</v>
      </c>
      <c r="H153" s="56"/>
      <c r="I153" s="57">
        <f t="shared" si="26"/>
        <v>0</v>
      </c>
      <c r="J153" s="57">
        <f t="shared" si="27"/>
        <v>0</v>
      </c>
      <c r="K153" s="58">
        <f t="shared" si="28"/>
        <v>0</v>
      </c>
      <c r="L153" s="351"/>
    </row>
    <row r="154" spans="1:12" x14ac:dyDescent="0.25">
      <c r="A154" s="123">
        <v>25</v>
      </c>
      <c r="B154" s="80" t="s">
        <v>97</v>
      </c>
      <c r="C154" s="81">
        <v>1500</v>
      </c>
      <c r="D154" s="82">
        <v>198.18</v>
      </c>
      <c r="E154" s="61"/>
      <c r="F154" s="61"/>
      <c r="G154" s="57">
        <f t="shared" si="25"/>
        <v>0</v>
      </c>
      <c r="H154" s="56"/>
      <c r="I154" s="57">
        <f t="shared" si="26"/>
        <v>0</v>
      </c>
      <c r="J154" s="57">
        <f t="shared" si="27"/>
        <v>0</v>
      </c>
      <c r="K154" s="58">
        <f t="shared" si="28"/>
        <v>0</v>
      </c>
      <c r="L154" s="351"/>
    </row>
    <row r="155" spans="1:12" x14ac:dyDescent="0.25">
      <c r="A155" s="123">
        <v>26</v>
      </c>
      <c r="B155" s="80" t="s">
        <v>98</v>
      </c>
      <c r="C155" s="81">
        <v>1500</v>
      </c>
      <c r="D155" s="82">
        <v>198.18</v>
      </c>
      <c r="E155" s="61"/>
      <c r="F155" s="61"/>
      <c r="G155" s="57">
        <f t="shared" si="25"/>
        <v>0</v>
      </c>
      <c r="H155" s="56"/>
      <c r="I155" s="57">
        <f t="shared" si="26"/>
        <v>0</v>
      </c>
      <c r="J155" s="57">
        <f t="shared" si="27"/>
        <v>0</v>
      </c>
      <c r="K155" s="58">
        <f t="shared" si="28"/>
        <v>0</v>
      </c>
      <c r="L155" s="351"/>
    </row>
    <row r="156" spans="1:12" x14ac:dyDescent="0.25">
      <c r="A156" s="123">
        <v>27</v>
      </c>
      <c r="B156" s="80" t="s">
        <v>99</v>
      </c>
      <c r="C156" s="81">
        <v>1500</v>
      </c>
      <c r="D156" s="82">
        <v>198.18</v>
      </c>
      <c r="E156" s="61"/>
      <c r="F156" s="61"/>
      <c r="G156" s="57">
        <f t="shared" si="25"/>
        <v>0</v>
      </c>
      <c r="H156" s="56"/>
      <c r="I156" s="57">
        <f t="shared" si="26"/>
        <v>0</v>
      </c>
      <c r="J156" s="57">
        <f t="shared" si="27"/>
        <v>0</v>
      </c>
      <c r="K156" s="58">
        <f t="shared" si="28"/>
        <v>0</v>
      </c>
      <c r="L156" s="351"/>
    </row>
    <row r="157" spans="1:12" x14ac:dyDescent="0.25">
      <c r="A157" s="123">
        <v>28</v>
      </c>
      <c r="B157" s="80" t="s">
        <v>100</v>
      </c>
      <c r="C157" s="81">
        <v>2500</v>
      </c>
      <c r="D157" s="82">
        <v>136.46</v>
      </c>
      <c r="E157" s="61"/>
      <c r="F157" s="61"/>
      <c r="G157" s="57">
        <f t="shared" si="25"/>
        <v>0</v>
      </c>
      <c r="H157" s="56"/>
      <c r="I157" s="57">
        <f t="shared" si="26"/>
        <v>0</v>
      </c>
      <c r="J157" s="57">
        <f t="shared" si="27"/>
        <v>0</v>
      </c>
      <c r="K157" s="58">
        <f t="shared" si="28"/>
        <v>0</v>
      </c>
      <c r="L157" s="351"/>
    </row>
    <row r="158" spans="1:12" x14ac:dyDescent="0.25">
      <c r="A158" s="123">
        <v>29</v>
      </c>
      <c r="B158" s="80" t="s">
        <v>101</v>
      </c>
      <c r="C158" s="81">
        <v>1500</v>
      </c>
      <c r="D158" s="82">
        <v>124.5</v>
      </c>
      <c r="E158" s="61"/>
      <c r="F158" s="61"/>
      <c r="G158" s="57">
        <f t="shared" si="25"/>
        <v>0</v>
      </c>
      <c r="H158" s="56"/>
      <c r="I158" s="57">
        <f t="shared" si="26"/>
        <v>0</v>
      </c>
      <c r="J158" s="57">
        <f t="shared" si="27"/>
        <v>0</v>
      </c>
      <c r="K158" s="58">
        <f t="shared" si="28"/>
        <v>0</v>
      </c>
      <c r="L158" s="351"/>
    </row>
    <row r="159" spans="1:12" ht="15.75" thickBot="1" x14ac:dyDescent="0.3">
      <c r="A159" s="126">
        <v>30</v>
      </c>
      <c r="B159" s="118" t="s">
        <v>102</v>
      </c>
      <c r="C159" s="119">
        <v>1500</v>
      </c>
      <c r="D159" s="120">
        <v>95.83</v>
      </c>
      <c r="E159" s="124"/>
      <c r="F159" s="124"/>
      <c r="G159" s="111">
        <f t="shared" si="25"/>
        <v>0</v>
      </c>
      <c r="H159" s="110"/>
      <c r="I159" s="111">
        <f t="shared" si="26"/>
        <v>0</v>
      </c>
      <c r="J159" s="111">
        <f t="shared" si="27"/>
        <v>0</v>
      </c>
      <c r="K159" s="112">
        <f t="shared" si="28"/>
        <v>0</v>
      </c>
      <c r="L159" s="351"/>
    </row>
    <row r="160" spans="1:12" ht="15.75" thickBot="1" x14ac:dyDescent="0.3">
      <c r="A160" s="84"/>
      <c r="B160" s="122" t="s">
        <v>669</v>
      </c>
      <c r="C160" s="92"/>
      <c r="D160" s="36"/>
      <c r="E160" s="36">
        <f>SUM(E130:E159)</f>
        <v>0</v>
      </c>
      <c r="F160" s="36">
        <f>SUM(F130:F159)</f>
        <v>0</v>
      </c>
      <c r="G160" s="36">
        <f>SUM(G130:G159)</f>
        <v>0</v>
      </c>
      <c r="H160" s="29">
        <f>SUM(H130:H159)</f>
        <v>0</v>
      </c>
      <c r="I160" s="29">
        <f>SUM(I130:I159)</f>
        <v>0</v>
      </c>
      <c r="J160" s="29">
        <f t="shared" ref="J160:K160" si="29">SUM(J130:J159)</f>
        <v>0</v>
      </c>
      <c r="K160" s="47">
        <f t="shared" si="29"/>
        <v>0</v>
      </c>
      <c r="L160" s="218"/>
    </row>
    <row r="161" spans="1:12" ht="15.75" thickBot="1" x14ac:dyDescent="0.3">
      <c r="B161" s="95"/>
      <c r="C161" s="96"/>
      <c r="D161" s="97"/>
      <c r="E161" s="98"/>
      <c r="F161" s="63"/>
      <c r="G161" s="98"/>
      <c r="H161" s="98"/>
      <c r="I161" s="98"/>
      <c r="J161" s="98"/>
      <c r="K161" s="97"/>
      <c r="L161" s="166"/>
    </row>
    <row r="162" spans="1:12" ht="15.75" thickBot="1" x14ac:dyDescent="0.3">
      <c r="A162" s="365" t="s">
        <v>657</v>
      </c>
      <c r="B162" s="372" t="s">
        <v>0</v>
      </c>
      <c r="C162" s="372" t="s">
        <v>1</v>
      </c>
      <c r="D162" s="373" t="s">
        <v>649</v>
      </c>
      <c r="E162" s="374" t="s">
        <v>19</v>
      </c>
      <c r="F162" s="374"/>
      <c r="G162" s="374"/>
      <c r="H162" s="374"/>
      <c r="I162" s="374"/>
      <c r="J162" s="368" t="s">
        <v>21</v>
      </c>
      <c r="K162" s="370" t="s">
        <v>602</v>
      </c>
      <c r="L162" s="349"/>
    </row>
    <row r="163" spans="1:12" ht="30.75" thickBot="1" x14ac:dyDescent="0.3">
      <c r="A163" s="366"/>
      <c r="B163" s="372"/>
      <c r="C163" s="372"/>
      <c r="D163" s="373"/>
      <c r="E163" s="69" t="s">
        <v>22</v>
      </c>
      <c r="F163" s="69" t="s">
        <v>600</v>
      </c>
      <c r="G163" s="69" t="s">
        <v>601</v>
      </c>
      <c r="H163" s="69" t="s">
        <v>589</v>
      </c>
      <c r="I163" s="69" t="s">
        <v>601</v>
      </c>
      <c r="J163" s="369"/>
      <c r="K163" s="371"/>
      <c r="L163" s="349"/>
    </row>
    <row r="164" spans="1:12" ht="15.75" thickBot="1" x14ac:dyDescent="0.3">
      <c r="A164" s="367"/>
      <c r="B164" s="70">
        <v>1</v>
      </c>
      <c r="C164" s="70">
        <v>2</v>
      </c>
      <c r="D164" s="70">
        <v>3</v>
      </c>
      <c r="E164" s="71">
        <v>4</v>
      </c>
      <c r="F164" s="71">
        <f>+E164+1</f>
        <v>5</v>
      </c>
      <c r="G164" s="71" t="s">
        <v>652</v>
      </c>
      <c r="H164" s="71">
        <v>7</v>
      </c>
      <c r="I164" s="72" t="s">
        <v>651</v>
      </c>
      <c r="J164" s="42" t="s">
        <v>650</v>
      </c>
      <c r="K164" s="42" t="s">
        <v>653</v>
      </c>
      <c r="L164" s="350"/>
    </row>
    <row r="165" spans="1:12" x14ac:dyDescent="0.25">
      <c r="A165" s="73"/>
      <c r="B165" s="73" t="s">
        <v>668</v>
      </c>
      <c r="C165" s="99"/>
      <c r="D165" s="100"/>
      <c r="E165" s="101"/>
      <c r="F165" s="101"/>
      <c r="G165" s="101"/>
      <c r="H165" s="101"/>
      <c r="I165" s="102"/>
      <c r="J165" s="64"/>
      <c r="K165" s="64"/>
      <c r="L165" s="350"/>
    </row>
    <row r="166" spans="1:12" x14ac:dyDescent="0.25">
      <c r="A166" s="123">
        <v>1</v>
      </c>
      <c r="B166" s="80" t="s">
        <v>103</v>
      </c>
      <c r="C166" s="81">
        <v>1500</v>
      </c>
      <c r="D166" s="82">
        <v>198.48</v>
      </c>
      <c r="E166" s="60">
        <v>0</v>
      </c>
      <c r="F166" s="60"/>
      <c r="G166" s="57">
        <f t="shared" ref="G166:G171" si="30">+E166+F166</f>
        <v>0</v>
      </c>
      <c r="H166" s="56">
        <f>1000-1000</f>
        <v>0</v>
      </c>
      <c r="I166" s="57">
        <f t="shared" ref="I166:I171" si="31">+G166-H166</f>
        <v>0</v>
      </c>
      <c r="J166" s="57">
        <f t="shared" ref="J166:J171" si="32">I166*C166</f>
        <v>0</v>
      </c>
      <c r="K166" s="58">
        <f t="shared" ref="K166:K171" si="33">+D166*I166</f>
        <v>0</v>
      </c>
      <c r="L166" s="351"/>
    </row>
    <row r="167" spans="1:12" x14ac:dyDescent="0.25">
      <c r="A167" s="123">
        <v>2</v>
      </c>
      <c r="B167" s="80" t="s">
        <v>103</v>
      </c>
      <c r="C167" s="81">
        <v>2500</v>
      </c>
      <c r="D167" s="82">
        <v>198.48</v>
      </c>
      <c r="E167" s="60">
        <v>0</v>
      </c>
      <c r="F167" s="60"/>
      <c r="G167" s="57">
        <f t="shared" si="30"/>
        <v>0</v>
      </c>
      <c r="H167" s="56">
        <f>1000-1000</f>
        <v>0</v>
      </c>
      <c r="I167" s="57">
        <f t="shared" si="31"/>
        <v>0</v>
      </c>
      <c r="J167" s="57">
        <f t="shared" si="32"/>
        <v>0</v>
      </c>
      <c r="K167" s="58">
        <f t="shared" si="33"/>
        <v>0</v>
      </c>
      <c r="L167" s="351"/>
    </row>
    <row r="168" spans="1:12" x14ac:dyDescent="0.25">
      <c r="A168" s="123">
        <v>3</v>
      </c>
      <c r="B168" s="80" t="s">
        <v>103</v>
      </c>
      <c r="C168" s="81">
        <v>4000</v>
      </c>
      <c r="D168" s="82">
        <v>198.48</v>
      </c>
      <c r="E168" s="60">
        <v>0</v>
      </c>
      <c r="F168" s="60"/>
      <c r="G168" s="57">
        <f t="shared" si="30"/>
        <v>0</v>
      </c>
      <c r="H168" s="56">
        <f>1000-1000</f>
        <v>0</v>
      </c>
      <c r="I168" s="57">
        <f t="shared" si="31"/>
        <v>0</v>
      </c>
      <c r="J168" s="57">
        <f t="shared" si="32"/>
        <v>0</v>
      </c>
      <c r="K168" s="58">
        <f t="shared" si="33"/>
        <v>0</v>
      </c>
      <c r="L168" s="351"/>
    </row>
    <row r="169" spans="1:12" x14ac:dyDescent="0.25">
      <c r="A169" s="123">
        <v>4</v>
      </c>
      <c r="B169" s="80" t="s">
        <v>103</v>
      </c>
      <c r="C169" s="81">
        <v>7500</v>
      </c>
      <c r="D169" s="82">
        <v>198.48</v>
      </c>
      <c r="E169" s="60">
        <v>0</v>
      </c>
      <c r="F169" s="60"/>
      <c r="G169" s="57">
        <f t="shared" si="30"/>
        <v>0</v>
      </c>
      <c r="H169" s="56">
        <f>1000-1000</f>
        <v>0</v>
      </c>
      <c r="I169" s="57">
        <f t="shared" si="31"/>
        <v>0</v>
      </c>
      <c r="J169" s="57">
        <f t="shared" si="32"/>
        <v>0</v>
      </c>
      <c r="K169" s="58">
        <f t="shared" si="33"/>
        <v>0</v>
      </c>
      <c r="L169" s="351"/>
    </row>
    <row r="170" spans="1:12" x14ac:dyDescent="0.25">
      <c r="A170" s="123">
        <v>5</v>
      </c>
      <c r="B170" s="80" t="s">
        <v>104</v>
      </c>
      <c r="C170" s="81">
        <v>1500</v>
      </c>
      <c r="D170" s="82">
        <v>104.08</v>
      </c>
      <c r="E170" s="60">
        <v>0</v>
      </c>
      <c r="F170" s="60"/>
      <c r="G170" s="57">
        <f t="shared" si="30"/>
        <v>0</v>
      </c>
      <c r="H170" s="56">
        <f>225-225</f>
        <v>0</v>
      </c>
      <c r="I170" s="57">
        <f t="shared" si="31"/>
        <v>0</v>
      </c>
      <c r="J170" s="57">
        <f t="shared" si="32"/>
        <v>0</v>
      </c>
      <c r="K170" s="58">
        <f t="shared" si="33"/>
        <v>0</v>
      </c>
      <c r="L170" s="351"/>
    </row>
    <row r="171" spans="1:12" ht="15.75" thickBot="1" x14ac:dyDescent="0.3">
      <c r="A171" s="123">
        <v>6</v>
      </c>
      <c r="B171" s="118" t="s">
        <v>104</v>
      </c>
      <c r="C171" s="119">
        <v>3000</v>
      </c>
      <c r="D171" s="120">
        <v>104.08</v>
      </c>
      <c r="E171" s="121">
        <v>0</v>
      </c>
      <c r="F171" s="121"/>
      <c r="G171" s="111">
        <f t="shared" si="30"/>
        <v>0</v>
      </c>
      <c r="H171" s="56">
        <f>225-225</f>
        <v>0</v>
      </c>
      <c r="I171" s="111">
        <f t="shared" si="31"/>
        <v>0</v>
      </c>
      <c r="J171" s="111">
        <f t="shared" si="32"/>
        <v>0</v>
      </c>
      <c r="K171" s="112">
        <f t="shared" si="33"/>
        <v>0</v>
      </c>
      <c r="L171" s="351"/>
    </row>
    <row r="172" spans="1:12" ht="15.75" thickBot="1" x14ac:dyDescent="0.3">
      <c r="A172" s="84"/>
      <c r="B172" s="122" t="s">
        <v>670</v>
      </c>
      <c r="C172" s="92"/>
      <c r="D172" s="36"/>
      <c r="E172" s="62">
        <f>SUM(E166:E171)</f>
        <v>0</v>
      </c>
      <c r="F172" s="62">
        <f>SUM(F166:F171)</f>
        <v>0</v>
      </c>
      <c r="G172" s="62">
        <f>SUM(G166:G171)</f>
        <v>0</v>
      </c>
      <c r="H172" s="46">
        <f>SUM(H166:H171)</f>
        <v>0</v>
      </c>
      <c r="I172" s="29">
        <f>SUM(I166:I171)</f>
        <v>0</v>
      </c>
      <c r="J172" s="29">
        <f t="shared" ref="J172:K172" si="34">SUM(J166:J171)</f>
        <v>0</v>
      </c>
      <c r="K172" s="47">
        <f t="shared" si="34"/>
        <v>0</v>
      </c>
      <c r="L172" s="218"/>
    </row>
    <row r="173" spans="1:12" ht="15.75" thickBot="1" x14ac:dyDescent="0.3">
      <c r="B173" s="95"/>
      <c r="C173" s="96"/>
      <c r="D173" s="97"/>
      <c r="E173" s="98"/>
      <c r="F173" s="63"/>
      <c r="G173" s="98"/>
      <c r="H173" s="98"/>
      <c r="I173" s="98"/>
      <c r="J173" s="98"/>
      <c r="K173" s="97"/>
      <c r="L173" s="166"/>
    </row>
    <row r="174" spans="1:12" ht="15.75" thickBot="1" x14ac:dyDescent="0.3">
      <c r="A174" s="365" t="s">
        <v>657</v>
      </c>
      <c r="B174" s="372" t="s">
        <v>0</v>
      </c>
      <c r="C174" s="372" t="s">
        <v>1</v>
      </c>
      <c r="D174" s="373" t="s">
        <v>649</v>
      </c>
      <c r="E174" s="374" t="s">
        <v>19</v>
      </c>
      <c r="F174" s="374"/>
      <c r="G174" s="374"/>
      <c r="H174" s="374"/>
      <c r="I174" s="374"/>
      <c r="J174" s="368" t="s">
        <v>21</v>
      </c>
      <c r="K174" s="370" t="s">
        <v>602</v>
      </c>
      <c r="L174" s="349"/>
    </row>
    <row r="175" spans="1:12" ht="30.75" thickBot="1" x14ac:dyDescent="0.3">
      <c r="A175" s="366"/>
      <c r="B175" s="372"/>
      <c r="C175" s="372"/>
      <c r="D175" s="373"/>
      <c r="E175" s="69" t="s">
        <v>22</v>
      </c>
      <c r="F175" s="69" t="s">
        <v>600</v>
      </c>
      <c r="G175" s="69" t="s">
        <v>601</v>
      </c>
      <c r="H175" s="69" t="s">
        <v>589</v>
      </c>
      <c r="I175" s="69" t="s">
        <v>601</v>
      </c>
      <c r="J175" s="369"/>
      <c r="K175" s="371"/>
      <c r="L175" s="349"/>
    </row>
    <row r="176" spans="1:12" ht="15.75" thickBot="1" x14ac:dyDescent="0.3">
      <c r="A176" s="367"/>
      <c r="B176" s="70">
        <v>1</v>
      </c>
      <c r="C176" s="70">
        <v>2</v>
      </c>
      <c r="D176" s="70">
        <v>3</v>
      </c>
      <c r="E176" s="71">
        <v>4</v>
      </c>
      <c r="F176" s="71">
        <f>+E176+1</f>
        <v>5</v>
      </c>
      <c r="G176" s="71" t="s">
        <v>652</v>
      </c>
      <c r="H176" s="71">
        <v>7</v>
      </c>
      <c r="I176" s="72" t="s">
        <v>651</v>
      </c>
      <c r="J176" s="42" t="s">
        <v>650</v>
      </c>
      <c r="K176" s="42" t="s">
        <v>653</v>
      </c>
      <c r="L176" s="350"/>
    </row>
    <row r="177" spans="1:13" x14ac:dyDescent="0.25">
      <c r="A177" s="73"/>
      <c r="B177" s="73" t="s">
        <v>671</v>
      </c>
      <c r="C177" s="55"/>
      <c r="D177" s="55"/>
      <c r="E177" s="55"/>
      <c r="F177" s="55"/>
      <c r="G177" s="55"/>
      <c r="H177" s="55"/>
      <c r="I177" s="55"/>
      <c r="J177" s="55"/>
      <c r="K177" s="55"/>
      <c r="L177" s="135"/>
    </row>
    <row r="178" spans="1:13" x14ac:dyDescent="0.25">
      <c r="A178" s="123">
        <v>1</v>
      </c>
      <c r="B178" s="80" t="s">
        <v>105</v>
      </c>
      <c r="C178" s="81">
        <v>1500</v>
      </c>
      <c r="D178" s="82">
        <v>88.96</v>
      </c>
      <c r="E178" s="43">
        <v>0</v>
      </c>
      <c r="F178" s="61"/>
      <c r="G178" s="57">
        <f t="shared" ref="G178:G186" si="35">+E178+F178</f>
        <v>0</v>
      </c>
      <c r="H178" s="56">
        <f>4080-4080</f>
        <v>0</v>
      </c>
      <c r="I178" s="57">
        <f t="shared" ref="I178:I186" si="36">+G178-H178</f>
        <v>0</v>
      </c>
      <c r="J178" s="57">
        <f t="shared" ref="J178:J186" si="37">I178*C178</f>
        <v>0</v>
      </c>
      <c r="K178" s="58">
        <f t="shared" ref="K178:K186" si="38">+D178*I178</f>
        <v>0</v>
      </c>
      <c r="L178" s="351"/>
    </row>
    <row r="179" spans="1:13" x14ac:dyDescent="0.25">
      <c r="A179" s="123">
        <v>2</v>
      </c>
      <c r="B179" s="80" t="s">
        <v>106</v>
      </c>
      <c r="C179" s="81">
        <v>1500</v>
      </c>
      <c r="D179" s="82">
        <v>176.31</v>
      </c>
      <c r="E179" s="43">
        <v>0</v>
      </c>
      <c r="F179" s="61"/>
      <c r="G179" s="57">
        <f t="shared" si="35"/>
        <v>0</v>
      </c>
      <c r="H179" s="56">
        <f>620-620</f>
        <v>0</v>
      </c>
      <c r="I179" s="57">
        <f t="shared" si="36"/>
        <v>0</v>
      </c>
      <c r="J179" s="57">
        <f t="shared" si="37"/>
        <v>0</v>
      </c>
      <c r="K179" s="58">
        <f t="shared" si="38"/>
        <v>0</v>
      </c>
      <c r="L179" s="351"/>
    </row>
    <row r="180" spans="1:13" x14ac:dyDescent="0.25">
      <c r="A180" s="123">
        <v>3</v>
      </c>
      <c r="B180" s="80" t="s">
        <v>50</v>
      </c>
      <c r="C180" s="81">
        <v>1500</v>
      </c>
      <c r="D180" s="82">
        <v>131.72</v>
      </c>
      <c r="E180" s="43">
        <v>0</v>
      </c>
      <c r="F180" s="61"/>
      <c r="G180" s="57">
        <f t="shared" si="35"/>
        <v>0</v>
      </c>
      <c r="H180" s="56">
        <f>645-645</f>
        <v>0</v>
      </c>
      <c r="I180" s="57">
        <f t="shared" si="36"/>
        <v>0</v>
      </c>
      <c r="J180" s="57">
        <f t="shared" si="37"/>
        <v>0</v>
      </c>
      <c r="K180" s="58">
        <f t="shared" si="38"/>
        <v>0</v>
      </c>
      <c r="L180" s="351"/>
    </row>
    <row r="181" spans="1:13" x14ac:dyDescent="0.25">
      <c r="A181" s="123">
        <v>4</v>
      </c>
      <c r="B181" s="80" t="s">
        <v>107</v>
      </c>
      <c r="C181" s="81">
        <v>1500</v>
      </c>
      <c r="D181" s="82">
        <v>170.53</v>
      </c>
      <c r="E181" s="43">
        <v>0</v>
      </c>
      <c r="F181" s="61"/>
      <c r="G181" s="57">
        <f t="shared" si="35"/>
        <v>0</v>
      </c>
      <c r="H181" s="56">
        <f>2400-2400</f>
        <v>0</v>
      </c>
      <c r="I181" s="57">
        <f t="shared" si="36"/>
        <v>0</v>
      </c>
      <c r="J181" s="57">
        <f t="shared" si="37"/>
        <v>0</v>
      </c>
      <c r="K181" s="58">
        <f t="shared" si="38"/>
        <v>0</v>
      </c>
      <c r="L181" s="351"/>
    </row>
    <row r="182" spans="1:13" x14ac:dyDescent="0.25">
      <c r="A182" s="123">
        <v>5</v>
      </c>
      <c r="B182" s="80" t="s">
        <v>108</v>
      </c>
      <c r="C182" s="81">
        <v>1500</v>
      </c>
      <c r="D182" s="82">
        <v>111.78</v>
      </c>
      <c r="E182" s="43">
        <v>0</v>
      </c>
      <c r="F182" s="61"/>
      <c r="G182" s="57">
        <f t="shared" si="35"/>
        <v>0</v>
      </c>
      <c r="H182" s="56">
        <f>4000-4000</f>
        <v>0</v>
      </c>
      <c r="I182" s="57">
        <f t="shared" si="36"/>
        <v>0</v>
      </c>
      <c r="J182" s="57">
        <f t="shared" si="37"/>
        <v>0</v>
      </c>
      <c r="K182" s="58">
        <f t="shared" si="38"/>
        <v>0</v>
      </c>
      <c r="L182" s="351"/>
    </row>
    <row r="183" spans="1:13" x14ac:dyDescent="0.25">
      <c r="A183" s="123">
        <v>6</v>
      </c>
      <c r="B183" s="80" t="s">
        <v>109</v>
      </c>
      <c r="C183" s="81">
        <v>2500</v>
      </c>
      <c r="D183" s="82">
        <v>164.08</v>
      </c>
      <c r="E183" s="43">
        <v>0</v>
      </c>
      <c r="F183" s="61"/>
      <c r="G183" s="57">
        <f t="shared" si="35"/>
        <v>0</v>
      </c>
      <c r="H183" s="56">
        <f>1200-1200</f>
        <v>0</v>
      </c>
      <c r="I183" s="57">
        <f t="shared" si="36"/>
        <v>0</v>
      </c>
      <c r="J183" s="57">
        <f t="shared" si="37"/>
        <v>0</v>
      </c>
      <c r="K183" s="58">
        <f t="shared" si="38"/>
        <v>0</v>
      </c>
      <c r="L183" s="351"/>
      <c r="M183" t="s">
        <v>930</v>
      </c>
    </row>
    <row r="184" spans="1:13" x14ac:dyDescent="0.25">
      <c r="A184" s="123">
        <v>7</v>
      </c>
      <c r="B184" s="80" t="s">
        <v>110</v>
      </c>
      <c r="C184" s="81">
        <v>1000</v>
      </c>
      <c r="D184" s="82">
        <v>182.09</v>
      </c>
      <c r="E184" s="43">
        <v>0</v>
      </c>
      <c r="F184" s="61"/>
      <c r="G184" s="57">
        <f t="shared" si="35"/>
        <v>0</v>
      </c>
      <c r="H184" s="56">
        <f>3200-3200</f>
        <v>0</v>
      </c>
      <c r="I184" s="57">
        <f t="shared" si="36"/>
        <v>0</v>
      </c>
      <c r="J184" s="57">
        <f t="shared" si="37"/>
        <v>0</v>
      </c>
      <c r="K184" s="58">
        <f t="shared" si="38"/>
        <v>0</v>
      </c>
      <c r="L184" s="351"/>
    </row>
    <row r="185" spans="1:13" x14ac:dyDescent="0.25">
      <c r="A185" s="123">
        <v>8</v>
      </c>
      <c r="B185" s="80" t="s">
        <v>111</v>
      </c>
      <c r="C185" s="81">
        <v>1500</v>
      </c>
      <c r="D185" s="82">
        <v>182.09</v>
      </c>
      <c r="E185" s="43">
        <v>0</v>
      </c>
      <c r="F185" s="61"/>
      <c r="G185" s="57">
        <f t="shared" si="35"/>
        <v>0</v>
      </c>
      <c r="H185" s="56">
        <f>3200-3200</f>
        <v>0</v>
      </c>
      <c r="I185" s="57">
        <f t="shared" si="36"/>
        <v>0</v>
      </c>
      <c r="J185" s="57">
        <f t="shared" si="37"/>
        <v>0</v>
      </c>
      <c r="K185" s="58">
        <f t="shared" si="38"/>
        <v>0</v>
      </c>
      <c r="L185" s="351"/>
    </row>
    <row r="186" spans="1:13" ht="15.75" thickBot="1" x14ac:dyDescent="0.3">
      <c r="A186" s="123">
        <v>9</v>
      </c>
      <c r="B186" s="118" t="s">
        <v>112</v>
      </c>
      <c r="C186" s="119">
        <v>1500</v>
      </c>
      <c r="D186" s="120">
        <v>136.57</v>
      </c>
      <c r="E186" s="125">
        <v>0</v>
      </c>
      <c r="F186" s="124"/>
      <c r="G186" s="111">
        <f t="shared" si="35"/>
        <v>0</v>
      </c>
      <c r="H186" s="56">
        <f>1600-1600</f>
        <v>0</v>
      </c>
      <c r="I186" s="111">
        <f t="shared" si="36"/>
        <v>0</v>
      </c>
      <c r="J186" s="111">
        <f t="shared" si="37"/>
        <v>0</v>
      </c>
      <c r="K186" s="112">
        <f t="shared" si="38"/>
        <v>0</v>
      </c>
      <c r="L186" s="351"/>
    </row>
    <row r="187" spans="1:13" ht="15.75" thickBot="1" x14ac:dyDescent="0.3">
      <c r="A187" s="84"/>
      <c r="B187" s="122" t="s">
        <v>673</v>
      </c>
      <c r="C187" s="36"/>
      <c r="D187" s="36"/>
      <c r="E187" s="29">
        <f>SUM(E178:E186)</f>
        <v>0</v>
      </c>
      <c r="F187" s="29">
        <f>SUM(F178:F186)</f>
        <v>0</v>
      </c>
      <c r="G187" s="29">
        <f>SUM(G178:G186)</f>
        <v>0</v>
      </c>
      <c r="H187" s="29">
        <f>SUM(H178:H186)</f>
        <v>0</v>
      </c>
      <c r="I187" s="29">
        <f>SUM(I178:I186)</f>
        <v>0</v>
      </c>
      <c r="J187" s="29">
        <f t="shared" ref="J187:K187" si="39">SUM(J178:J186)</f>
        <v>0</v>
      </c>
      <c r="K187" s="47">
        <f t="shared" si="39"/>
        <v>0</v>
      </c>
      <c r="L187" s="218"/>
    </row>
    <row r="188" spans="1:13" ht="15.75" thickBot="1" x14ac:dyDescent="0.3">
      <c r="B188" s="95"/>
      <c r="C188" s="96"/>
      <c r="D188" s="97"/>
      <c r="E188" s="98"/>
      <c r="F188" s="63"/>
      <c r="G188" s="98"/>
      <c r="H188" s="98"/>
      <c r="I188" s="98"/>
      <c r="J188" s="98"/>
      <c r="K188" s="97"/>
      <c r="L188" s="166"/>
    </row>
    <row r="189" spans="1:13" ht="15.75" thickBot="1" x14ac:dyDescent="0.3">
      <c r="A189" s="365" t="s">
        <v>657</v>
      </c>
      <c r="B189" s="372" t="s">
        <v>0</v>
      </c>
      <c r="C189" s="372" t="s">
        <v>1</v>
      </c>
      <c r="D189" s="373" t="s">
        <v>649</v>
      </c>
      <c r="E189" s="374" t="s">
        <v>19</v>
      </c>
      <c r="F189" s="374"/>
      <c r="G189" s="374"/>
      <c r="H189" s="374"/>
      <c r="I189" s="374"/>
      <c r="J189" s="368" t="s">
        <v>21</v>
      </c>
      <c r="K189" s="370" t="s">
        <v>602</v>
      </c>
      <c r="L189" s="349"/>
    </row>
    <row r="190" spans="1:13" ht="30.75" thickBot="1" x14ac:dyDescent="0.3">
      <c r="A190" s="366"/>
      <c r="B190" s="372"/>
      <c r="C190" s="372"/>
      <c r="D190" s="373"/>
      <c r="E190" s="69" t="s">
        <v>22</v>
      </c>
      <c r="F190" s="69" t="s">
        <v>600</v>
      </c>
      <c r="G190" s="69" t="s">
        <v>601</v>
      </c>
      <c r="H190" s="69" t="s">
        <v>589</v>
      </c>
      <c r="I190" s="69" t="s">
        <v>601</v>
      </c>
      <c r="J190" s="369"/>
      <c r="K190" s="371"/>
      <c r="L190" s="349"/>
    </row>
    <row r="191" spans="1:13" ht="15.75" thickBot="1" x14ac:dyDescent="0.3">
      <c r="A191" s="367"/>
      <c r="B191" s="70">
        <v>1</v>
      </c>
      <c r="C191" s="70">
        <v>2</v>
      </c>
      <c r="D191" s="70">
        <v>3</v>
      </c>
      <c r="E191" s="71">
        <v>4</v>
      </c>
      <c r="F191" s="71">
        <f>+E191+1</f>
        <v>5</v>
      </c>
      <c r="G191" s="71" t="s">
        <v>652</v>
      </c>
      <c r="H191" s="71">
        <v>7</v>
      </c>
      <c r="I191" s="72" t="s">
        <v>651</v>
      </c>
      <c r="J191" s="42" t="s">
        <v>650</v>
      </c>
      <c r="K191" s="42" t="s">
        <v>653</v>
      </c>
      <c r="L191" s="350"/>
    </row>
    <row r="192" spans="1:13" x14ac:dyDescent="0.25">
      <c r="A192" s="73"/>
      <c r="B192" s="73" t="s">
        <v>672</v>
      </c>
      <c r="C192" s="93"/>
      <c r="D192" s="75"/>
      <c r="E192" s="55"/>
      <c r="F192" s="55"/>
      <c r="G192" s="55"/>
      <c r="H192" s="55"/>
      <c r="I192" s="55"/>
      <c r="J192" s="55"/>
      <c r="K192" s="55"/>
      <c r="L192" s="135"/>
    </row>
    <row r="193" spans="1:13" x14ac:dyDescent="0.25">
      <c r="A193" s="123">
        <v>1</v>
      </c>
      <c r="B193" s="80" t="s">
        <v>113</v>
      </c>
      <c r="C193" s="81">
        <v>1500</v>
      </c>
      <c r="D193" s="82">
        <v>131.47999999999999</v>
      </c>
      <c r="E193" s="60">
        <v>0</v>
      </c>
      <c r="F193" s="61"/>
      <c r="G193" s="57">
        <f t="shared" ref="G193:G210" si="40">+E193+F193</f>
        <v>0</v>
      </c>
      <c r="H193" s="56">
        <f>2760-2760</f>
        <v>0</v>
      </c>
      <c r="I193" s="57">
        <f t="shared" ref="I193:I210" si="41">+G193-H193</f>
        <v>0</v>
      </c>
      <c r="J193" s="57">
        <f t="shared" ref="J193:J210" si="42">I193*C193</f>
        <v>0</v>
      </c>
      <c r="K193" s="58">
        <f t="shared" ref="K193:K210" si="43">+D193*I193</f>
        <v>0</v>
      </c>
      <c r="L193" s="351"/>
      <c r="M193" s="53">
        <v>2760</v>
      </c>
    </row>
    <row r="194" spans="1:13" x14ac:dyDescent="0.25">
      <c r="A194" s="123">
        <v>2</v>
      </c>
      <c r="B194" s="80" t="s">
        <v>113</v>
      </c>
      <c r="C194" s="81">
        <v>3000</v>
      </c>
      <c r="D194" s="82">
        <v>131.47999999999999</v>
      </c>
      <c r="E194" s="60">
        <v>0</v>
      </c>
      <c r="F194" s="61">
        <f>8000-8000</f>
        <v>0</v>
      </c>
      <c r="G194" s="57">
        <f t="shared" si="40"/>
        <v>0</v>
      </c>
      <c r="H194" s="56">
        <f t="shared" ref="H194:H195" si="44">2760-2760</f>
        <v>0</v>
      </c>
      <c r="I194" s="57">
        <f t="shared" si="41"/>
        <v>0</v>
      </c>
      <c r="J194" s="57">
        <f t="shared" si="42"/>
        <v>0</v>
      </c>
      <c r="K194" s="58">
        <f t="shared" si="43"/>
        <v>0</v>
      </c>
      <c r="L194" s="351"/>
      <c r="M194" s="53">
        <v>2760</v>
      </c>
    </row>
    <row r="195" spans="1:13" x14ac:dyDescent="0.25">
      <c r="A195" s="123">
        <v>3</v>
      </c>
      <c r="B195" s="80" t="s">
        <v>113</v>
      </c>
      <c r="C195" s="81">
        <v>4000</v>
      </c>
      <c r="D195" s="82">
        <v>131.47999999999999</v>
      </c>
      <c r="E195" s="60">
        <v>0</v>
      </c>
      <c r="F195" s="61"/>
      <c r="G195" s="57">
        <f t="shared" si="40"/>
        <v>0</v>
      </c>
      <c r="H195" s="56">
        <f t="shared" si="44"/>
        <v>0</v>
      </c>
      <c r="I195" s="57">
        <f t="shared" si="41"/>
        <v>0</v>
      </c>
      <c r="J195" s="57">
        <f t="shared" si="42"/>
        <v>0</v>
      </c>
      <c r="K195" s="58">
        <f t="shared" si="43"/>
        <v>0</v>
      </c>
      <c r="L195" s="351"/>
      <c r="M195" s="53">
        <v>2760</v>
      </c>
    </row>
    <row r="196" spans="1:13" x14ac:dyDescent="0.25">
      <c r="A196" s="123">
        <v>4</v>
      </c>
      <c r="B196" s="80" t="s">
        <v>114</v>
      </c>
      <c r="C196" s="81">
        <v>1500</v>
      </c>
      <c r="D196" s="82">
        <v>83.71</v>
      </c>
      <c r="E196" s="60">
        <v>0</v>
      </c>
      <c r="F196" s="61"/>
      <c r="G196" s="57">
        <f t="shared" si="40"/>
        <v>0</v>
      </c>
      <c r="H196" s="56">
        <f>20880-20880</f>
        <v>0</v>
      </c>
      <c r="I196" s="57">
        <f t="shared" si="41"/>
        <v>0</v>
      </c>
      <c r="J196" s="57">
        <f t="shared" si="42"/>
        <v>0</v>
      </c>
      <c r="K196" s="58">
        <f t="shared" si="43"/>
        <v>0</v>
      </c>
      <c r="L196" s="351"/>
    </row>
    <row r="197" spans="1:13" x14ac:dyDescent="0.25">
      <c r="A197" s="123">
        <v>5</v>
      </c>
      <c r="B197" s="80" t="s">
        <v>115</v>
      </c>
      <c r="C197" s="81">
        <v>1500</v>
      </c>
      <c r="D197" s="82">
        <v>173.2</v>
      </c>
      <c r="E197" s="60">
        <v>0</v>
      </c>
      <c r="F197" s="43"/>
      <c r="G197" s="57">
        <f t="shared" si="40"/>
        <v>0</v>
      </c>
      <c r="H197" s="56">
        <f>3200-3200</f>
        <v>0</v>
      </c>
      <c r="I197" s="57">
        <f t="shared" si="41"/>
        <v>0</v>
      </c>
      <c r="J197" s="57">
        <f t="shared" si="42"/>
        <v>0</v>
      </c>
      <c r="K197" s="58">
        <f t="shared" si="43"/>
        <v>0</v>
      </c>
      <c r="L197" s="351"/>
    </row>
    <row r="198" spans="1:13" x14ac:dyDescent="0.25">
      <c r="A198" s="123">
        <v>6</v>
      </c>
      <c r="B198" s="80" t="s">
        <v>115</v>
      </c>
      <c r="C198" s="81">
        <v>2500</v>
      </c>
      <c r="D198" s="82">
        <v>173.2</v>
      </c>
      <c r="E198" s="60">
        <v>0</v>
      </c>
      <c r="F198" s="61"/>
      <c r="G198" s="57">
        <f t="shared" si="40"/>
        <v>0</v>
      </c>
      <c r="H198" s="56">
        <f>3200-3200</f>
        <v>0</v>
      </c>
      <c r="I198" s="57">
        <f t="shared" si="41"/>
        <v>0</v>
      </c>
      <c r="J198" s="57">
        <f t="shared" si="42"/>
        <v>0</v>
      </c>
      <c r="K198" s="58">
        <f t="shared" si="43"/>
        <v>0</v>
      </c>
      <c r="L198" s="351"/>
      <c r="M198" t="s">
        <v>937</v>
      </c>
    </row>
    <row r="199" spans="1:13" x14ac:dyDescent="0.25">
      <c r="A199" s="123">
        <v>7</v>
      </c>
      <c r="B199" s="80" t="s">
        <v>116</v>
      </c>
      <c r="C199" s="81">
        <v>2500</v>
      </c>
      <c r="D199" s="82">
        <v>121.39</v>
      </c>
      <c r="E199" s="60">
        <v>0</v>
      </c>
      <c r="F199" s="61"/>
      <c r="G199" s="57">
        <f t="shared" si="40"/>
        <v>0</v>
      </c>
      <c r="H199" s="56">
        <f>8600-8600</f>
        <v>0</v>
      </c>
      <c r="I199" s="57">
        <f t="shared" si="41"/>
        <v>0</v>
      </c>
      <c r="J199" s="57">
        <f t="shared" si="42"/>
        <v>0</v>
      </c>
      <c r="K199" s="58">
        <f t="shared" si="43"/>
        <v>0</v>
      </c>
      <c r="L199" s="351"/>
    </row>
    <row r="200" spans="1:13" x14ac:dyDescent="0.25">
      <c r="A200" s="123">
        <v>8</v>
      </c>
      <c r="B200" s="80" t="s">
        <v>117</v>
      </c>
      <c r="C200" s="81">
        <v>2500</v>
      </c>
      <c r="D200" s="82">
        <v>121.03</v>
      </c>
      <c r="E200" s="60">
        <v>0</v>
      </c>
      <c r="F200" s="61"/>
      <c r="G200" s="57">
        <f t="shared" si="40"/>
        <v>0</v>
      </c>
      <c r="H200" s="56">
        <f>1000-1000</f>
        <v>0</v>
      </c>
      <c r="I200" s="57">
        <f t="shared" si="41"/>
        <v>0</v>
      </c>
      <c r="J200" s="57">
        <f t="shared" si="42"/>
        <v>0</v>
      </c>
      <c r="K200" s="58">
        <f t="shared" si="43"/>
        <v>0</v>
      </c>
      <c r="L200" s="351"/>
      <c r="M200" t="s">
        <v>936</v>
      </c>
    </row>
    <row r="201" spans="1:13" x14ac:dyDescent="0.25">
      <c r="A201" s="123">
        <v>9</v>
      </c>
      <c r="B201" s="80" t="s">
        <v>50</v>
      </c>
      <c r="C201" s="81">
        <v>2500</v>
      </c>
      <c r="D201" s="82">
        <v>97.69</v>
      </c>
      <c r="E201" s="60">
        <v>0</v>
      </c>
      <c r="F201" s="61">
        <f>2400-2400</f>
        <v>0</v>
      </c>
      <c r="G201" s="57">
        <f t="shared" si="40"/>
        <v>0</v>
      </c>
      <c r="H201" s="61">
        <f>3400-3400</f>
        <v>0</v>
      </c>
      <c r="I201" s="57">
        <f t="shared" si="41"/>
        <v>0</v>
      </c>
      <c r="J201" s="57">
        <f t="shared" si="42"/>
        <v>0</v>
      </c>
      <c r="K201" s="58">
        <f t="shared" si="43"/>
        <v>0</v>
      </c>
      <c r="L201" s="351"/>
      <c r="M201" t="s">
        <v>935</v>
      </c>
    </row>
    <row r="202" spans="1:13" x14ac:dyDescent="0.25">
      <c r="A202" s="123">
        <v>10</v>
      </c>
      <c r="B202" s="80" t="s">
        <v>118</v>
      </c>
      <c r="C202" s="81">
        <v>2500</v>
      </c>
      <c r="D202" s="82">
        <v>97.32</v>
      </c>
      <c r="E202" s="60">
        <v>0</v>
      </c>
      <c r="F202" s="61">
        <f>4800-4800</f>
        <v>0</v>
      </c>
      <c r="G202" s="57">
        <f t="shared" si="40"/>
        <v>0</v>
      </c>
      <c r="H202" s="61">
        <f>4800-4800</f>
        <v>0</v>
      </c>
      <c r="I202" s="57">
        <f t="shared" si="41"/>
        <v>0</v>
      </c>
      <c r="J202" s="57">
        <f t="shared" si="42"/>
        <v>0</v>
      </c>
      <c r="K202" s="58">
        <f t="shared" si="43"/>
        <v>0</v>
      </c>
      <c r="L202" s="351"/>
    </row>
    <row r="203" spans="1:13" x14ac:dyDescent="0.25">
      <c r="A203" s="123">
        <v>11</v>
      </c>
      <c r="B203" s="80" t="s">
        <v>119</v>
      </c>
      <c r="C203" s="81">
        <v>2500</v>
      </c>
      <c r="D203" s="82">
        <v>140.65</v>
      </c>
      <c r="E203" s="60">
        <v>0</v>
      </c>
      <c r="F203" s="61">
        <f>6400-6400</f>
        <v>0</v>
      </c>
      <c r="G203" s="57">
        <f t="shared" si="40"/>
        <v>0</v>
      </c>
      <c r="H203" s="61">
        <f>6400-6400+6400-6400</f>
        <v>0</v>
      </c>
      <c r="I203" s="57">
        <f t="shared" si="41"/>
        <v>0</v>
      </c>
      <c r="J203" s="57">
        <f t="shared" si="42"/>
        <v>0</v>
      </c>
      <c r="K203" s="58">
        <f t="shared" si="43"/>
        <v>0</v>
      </c>
      <c r="L203" s="351"/>
    </row>
    <row r="204" spans="1:13" x14ac:dyDescent="0.25">
      <c r="A204" s="123">
        <v>12</v>
      </c>
      <c r="B204" s="80" t="s">
        <v>53</v>
      </c>
      <c r="C204" s="81">
        <v>2500</v>
      </c>
      <c r="D204" s="82">
        <v>110.39</v>
      </c>
      <c r="E204" s="60">
        <v>0</v>
      </c>
      <c r="F204" s="61"/>
      <c r="G204" s="57">
        <f t="shared" si="40"/>
        <v>0</v>
      </c>
      <c r="H204" s="56">
        <f>11600-11600</f>
        <v>0</v>
      </c>
      <c r="I204" s="57">
        <f t="shared" si="41"/>
        <v>0</v>
      </c>
      <c r="J204" s="57">
        <f t="shared" si="42"/>
        <v>0</v>
      </c>
      <c r="K204" s="58">
        <f t="shared" si="43"/>
        <v>0</v>
      </c>
      <c r="L204" s="351"/>
      <c r="M204" t="s">
        <v>934</v>
      </c>
    </row>
    <row r="205" spans="1:13" x14ac:dyDescent="0.25">
      <c r="A205" s="123">
        <v>13</v>
      </c>
      <c r="B205" s="80" t="s">
        <v>120</v>
      </c>
      <c r="C205" s="81">
        <v>2500</v>
      </c>
      <c r="D205" s="82">
        <v>94.29</v>
      </c>
      <c r="E205" s="60">
        <v>0</v>
      </c>
      <c r="F205" s="61"/>
      <c r="G205" s="57">
        <f t="shared" si="40"/>
        <v>0</v>
      </c>
      <c r="H205" s="56"/>
      <c r="I205" s="57">
        <f t="shared" si="41"/>
        <v>0</v>
      </c>
      <c r="J205" s="57">
        <f t="shared" si="42"/>
        <v>0</v>
      </c>
      <c r="K205" s="58">
        <f t="shared" si="43"/>
        <v>0</v>
      </c>
      <c r="L205" s="351"/>
    </row>
    <row r="206" spans="1:13" x14ac:dyDescent="0.25">
      <c r="A206" s="123">
        <v>14</v>
      </c>
      <c r="B206" s="80" t="s">
        <v>121</v>
      </c>
      <c r="C206" s="81">
        <v>2500</v>
      </c>
      <c r="D206" s="82">
        <v>111.05</v>
      </c>
      <c r="E206" s="60">
        <v>0</v>
      </c>
      <c r="F206" s="61"/>
      <c r="G206" s="57">
        <f t="shared" si="40"/>
        <v>0</v>
      </c>
      <c r="H206" s="56">
        <f>6300-6300</f>
        <v>0</v>
      </c>
      <c r="I206" s="57">
        <f t="shared" si="41"/>
        <v>0</v>
      </c>
      <c r="J206" s="57">
        <f t="shared" si="42"/>
        <v>0</v>
      </c>
      <c r="K206" s="58">
        <f t="shared" si="43"/>
        <v>0</v>
      </c>
      <c r="L206" s="351"/>
    </row>
    <row r="207" spans="1:13" x14ac:dyDescent="0.25">
      <c r="A207" s="123">
        <v>15</v>
      </c>
      <c r="B207" s="80" t="s">
        <v>122</v>
      </c>
      <c r="C207" s="81">
        <v>2500</v>
      </c>
      <c r="D207" s="82">
        <v>111.05</v>
      </c>
      <c r="E207" s="60">
        <v>0</v>
      </c>
      <c r="F207" s="61"/>
      <c r="G207" s="57">
        <f t="shared" si="40"/>
        <v>0</v>
      </c>
      <c r="H207" s="56">
        <f>7665-7665</f>
        <v>0</v>
      </c>
      <c r="I207" s="57">
        <f t="shared" si="41"/>
        <v>0</v>
      </c>
      <c r="J207" s="57">
        <f t="shared" si="42"/>
        <v>0</v>
      </c>
      <c r="K207" s="58">
        <f t="shared" si="43"/>
        <v>0</v>
      </c>
      <c r="L207" s="351"/>
    </row>
    <row r="208" spans="1:13" x14ac:dyDescent="0.25">
      <c r="A208" s="123">
        <v>16</v>
      </c>
      <c r="B208" s="80" t="s">
        <v>123</v>
      </c>
      <c r="C208" s="81">
        <v>2500</v>
      </c>
      <c r="D208" s="82">
        <v>178.49</v>
      </c>
      <c r="E208" s="60">
        <v>0</v>
      </c>
      <c r="F208" s="61"/>
      <c r="G208" s="57">
        <f t="shared" si="40"/>
        <v>0</v>
      </c>
      <c r="H208" s="56">
        <f>18200-18200</f>
        <v>0</v>
      </c>
      <c r="I208" s="57">
        <f t="shared" si="41"/>
        <v>0</v>
      </c>
      <c r="J208" s="57">
        <f t="shared" si="42"/>
        <v>0</v>
      </c>
      <c r="K208" s="58">
        <f t="shared" si="43"/>
        <v>0</v>
      </c>
      <c r="L208" s="351"/>
      <c r="M208" t="s">
        <v>933</v>
      </c>
    </row>
    <row r="209" spans="1:12" x14ac:dyDescent="0.25">
      <c r="A209" s="123">
        <v>17</v>
      </c>
      <c r="B209" s="80" t="s">
        <v>124</v>
      </c>
      <c r="C209" s="81">
        <v>2500</v>
      </c>
      <c r="D209" s="82">
        <v>98.95</v>
      </c>
      <c r="E209" s="60">
        <v>0</v>
      </c>
      <c r="F209" s="61">
        <f>5280-5280</f>
        <v>0</v>
      </c>
      <c r="G209" s="57">
        <f t="shared" si="40"/>
        <v>0</v>
      </c>
      <c r="H209" s="61">
        <f>5280-5280</f>
        <v>0</v>
      </c>
      <c r="I209" s="57">
        <f t="shared" si="41"/>
        <v>0</v>
      </c>
      <c r="J209" s="57">
        <f t="shared" si="42"/>
        <v>0</v>
      </c>
      <c r="K209" s="58">
        <f t="shared" si="43"/>
        <v>0</v>
      </c>
      <c r="L209" s="351"/>
    </row>
    <row r="210" spans="1:12" ht="15.75" thickBot="1" x14ac:dyDescent="0.3">
      <c r="A210" s="123">
        <v>18</v>
      </c>
      <c r="B210" s="118" t="s">
        <v>125</v>
      </c>
      <c r="C210" s="119">
        <v>2500</v>
      </c>
      <c r="D210" s="120">
        <v>97.69</v>
      </c>
      <c r="E210" s="121">
        <v>0</v>
      </c>
      <c r="F210" s="124"/>
      <c r="G210" s="111">
        <f t="shared" si="40"/>
        <v>0</v>
      </c>
      <c r="H210" s="110">
        <f>2400-2400+9984-9984</f>
        <v>0</v>
      </c>
      <c r="I210" s="111">
        <f t="shared" si="41"/>
        <v>0</v>
      </c>
      <c r="J210" s="111">
        <f t="shared" si="42"/>
        <v>0</v>
      </c>
      <c r="K210" s="112">
        <f t="shared" si="43"/>
        <v>0</v>
      </c>
      <c r="L210" s="351"/>
    </row>
    <row r="211" spans="1:12" ht="15.75" thickBot="1" x14ac:dyDescent="0.3">
      <c r="A211" s="84"/>
      <c r="B211" s="122" t="s">
        <v>674</v>
      </c>
      <c r="C211" s="36"/>
      <c r="D211" s="29"/>
      <c r="E211" s="29">
        <f>SUM(E193:E210)</f>
        <v>0</v>
      </c>
      <c r="F211" s="29">
        <f>SUM(F193:F210)</f>
        <v>0</v>
      </c>
      <c r="G211" s="29">
        <f>SUM(G193:G210)</f>
        <v>0</v>
      </c>
      <c r="H211" s="29">
        <f>SUM(H193:H210)</f>
        <v>0</v>
      </c>
      <c r="I211" s="29">
        <f>SUM(I193:I210)</f>
        <v>0</v>
      </c>
      <c r="J211" s="29">
        <f t="shared" ref="J211:K211" si="45">SUM(J193:J210)</f>
        <v>0</v>
      </c>
      <c r="K211" s="47">
        <f t="shared" si="45"/>
        <v>0</v>
      </c>
      <c r="L211" s="218"/>
    </row>
    <row r="212" spans="1:12" ht="15.75" thickBot="1" x14ac:dyDescent="0.3">
      <c r="B212" s="95"/>
      <c r="C212" s="96"/>
      <c r="D212" s="97"/>
      <c r="E212" s="98"/>
      <c r="F212" s="63"/>
      <c r="G212" s="98"/>
      <c r="H212" s="98"/>
      <c r="I212" s="98"/>
      <c r="J212" s="98"/>
      <c r="K212" s="97"/>
      <c r="L212" s="166"/>
    </row>
    <row r="213" spans="1:12" ht="15.75" thickBot="1" x14ac:dyDescent="0.3">
      <c r="A213" s="365" t="s">
        <v>657</v>
      </c>
      <c r="B213" s="372" t="s">
        <v>0</v>
      </c>
      <c r="C213" s="372" t="s">
        <v>1</v>
      </c>
      <c r="D213" s="373" t="s">
        <v>649</v>
      </c>
      <c r="E213" s="374" t="s">
        <v>19</v>
      </c>
      <c r="F213" s="374"/>
      <c r="G213" s="374"/>
      <c r="H213" s="374"/>
      <c r="I213" s="374"/>
      <c r="J213" s="368" t="s">
        <v>21</v>
      </c>
      <c r="K213" s="370" t="s">
        <v>602</v>
      </c>
      <c r="L213" s="349"/>
    </row>
    <row r="214" spans="1:12" ht="30.75" thickBot="1" x14ac:dyDescent="0.3">
      <c r="A214" s="366"/>
      <c r="B214" s="372"/>
      <c r="C214" s="372"/>
      <c r="D214" s="373"/>
      <c r="E214" s="69" t="s">
        <v>22</v>
      </c>
      <c r="F214" s="69" t="s">
        <v>600</v>
      </c>
      <c r="G214" s="69" t="s">
        <v>601</v>
      </c>
      <c r="H214" s="69" t="s">
        <v>589</v>
      </c>
      <c r="I214" s="69" t="s">
        <v>601</v>
      </c>
      <c r="J214" s="369"/>
      <c r="K214" s="371"/>
      <c r="L214" s="349"/>
    </row>
    <row r="215" spans="1:12" ht="15.75" thickBot="1" x14ac:dyDescent="0.3">
      <c r="A215" s="367"/>
      <c r="B215" s="70">
        <v>1</v>
      </c>
      <c r="C215" s="70">
        <v>2</v>
      </c>
      <c r="D215" s="70">
        <v>3</v>
      </c>
      <c r="E215" s="71">
        <v>4</v>
      </c>
      <c r="F215" s="71">
        <f>+E215+1</f>
        <v>5</v>
      </c>
      <c r="G215" s="71" t="s">
        <v>652</v>
      </c>
      <c r="H215" s="71">
        <v>7</v>
      </c>
      <c r="I215" s="72" t="s">
        <v>651</v>
      </c>
      <c r="J215" s="42" t="s">
        <v>650</v>
      </c>
      <c r="K215" s="42" t="s">
        <v>653</v>
      </c>
      <c r="L215" s="350"/>
    </row>
    <row r="216" spans="1:12" x14ac:dyDescent="0.25">
      <c r="A216" s="73"/>
      <c r="B216" s="73" t="s">
        <v>675</v>
      </c>
      <c r="C216" s="55"/>
      <c r="D216" s="55"/>
      <c r="E216" s="55"/>
      <c r="F216" s="55"/>
      <c r="G216" s="55"/>
      <c r="H216" s="55"/>
      <c r="I216" s="55"/>
      <c r="J216" s="55"/>
      <c r="K216" s="55"/>
      <c r="L216" s="135"/>
    </row>
    <row r="217" spans="1:12" x14ac:dyDescent="0.25">
      <c r="A217" s="123">
        <v>1</v>
      </c>
      <c r="B217" s="80" t="s">
        <v>126</v>
      </c>
      <c r="C217" s="81">
        <v>2500</v>
      </c>
      <c r="D217" s="82">
        <v>98.35</v>
      </c>
      <c r="E217" s="60">
        <v>0</v>
      </c>
      <c r="F217" s="61"/>
      <c r="G217" s="57">
        <f t="shared" ref="G217:G230" si="46">+E217+F217</f>
        <v>0</v>
      </c>
      <c r="H217" s="56">
        <f>40200-40200</f>
        <v>0</v>
      </c>
      <c r="I217" s="57">
        <f t="shared" ref="I217:I230" si="47">+G217-H217</f>
        <v>0</v>
      </c>
      <c r="J217" s="57">
        <f t="shared" ref="J217:J230" si="48">I217*C217</f>
        <v>0</v>
      </c>
      <c r="K217" s="58">
        <f t="shared" ref="K217:K230" si="49">+D217*I217</f>
        <v>0</v>
      </c>
      <c r="L217" s="351"/>
    </row>
    <row r="218" spans="1:12" x14ac:dyDescent="0.25">
      <c r="A218" s="123">
        <v>2</v>
      </c>
      <c r="B218" s="80" t="s">
        <v>127</v>
      </c>
      <c r="C218" s="81">
        <v>2500</v>
      </c>
      <c r="D218" s="82">
        <v>97.69</v>
      </c>
      <c r="E218" s="60">
        <v>0</v>
      </c>
      <c r="F218" s="61">
        <f>4800-4800</f>
        <v>0</v>
      </c>
      <c r="G218" s="57">
        <f t="shared" si="46"/>
        <v>0</v>
      </c>
      <c r="H218" s="56">
        <f>4800-4800+45912-45912</f>
        <v>0</v>
      </c>
      <c r="I218" s="57">
        <f t="shared" si="47"/>
        <v>0</v>
      </c>
      <c r="J218" s="57">
        <f t="shared" si="48"/>
        <v>0</v>
      </c>
      <c r="K218" s="58">
        <f t="shared" si="49"/>
        <v>0</v>
      </c>
      <c r="L218" s="351"/>
    </row>
    <row r="219" spans="1:12" x14ac:dyDescent="0.25">
      <c r="A219" s="123">
        <v>3</v>
      </c>
      <c r="B219" s="80" t="s">
        <v>128</v>
      </c>
      <c r="C219" s="81">
        <v>25000</v>
      </c>
      <c r="D219" s="82">
        <v>178.49</v>
      </c>
      <c r="E219" s="60">
        <v>100</v>
      </c>
      <c r="F219" s="61"/>
      <c r="G219" s="57">
        <f t="shared" si="46"/>
        <v>100</v>
      </c>
      <c r="H219" s="56"/>
      <c r="I219" s="57">
        <f t="shared" si="47"/>
        <v>100</v>
      </c>
      <c r="J219" s="57">
        <f t="shared" si="48"/>
        <v>2500000</v>
      </c>
      <c r="K219" s="58">
        <f t="shared" si="49"/>
        <v>17849</v>
      </c>
      <c r="L219" s="351"/>
    </row>
    <row r="220" spans="1:12" x14ac:dyDescent="0.25">
      <c r="A220" s="123">
        <v>4</v>
      </c>
      <c r="B220" s="80" t="s">
        <v>129</v>
      </c>
      <c r="C220" s="81">
        <v>5000</v>
      </c>
      <c r="D220" s="82">
        <v>123.6</v>
      </c>
      <c r="E220" s="60">
        <v>0</v>
      </c>
      <c r="F220" s="61"/>
      <c r="G220" s="57">
        <f t="shared" si="46"/>
        <v>0</v>
      </c>
      <c r="H220" s="56">
        <f>25500-25500</f>
        <v>0</v>
      </c>
      <c r="I220" s="57">
        <f t="shared" si="47"/>
        <v>0</v>
      </c>
      <c r="J220" s="57">
        <f t="shared" si="48"/>
        <v>0</v>
      </c>
      <c r="K220" s="58">
        <f t="shared" si="49"/>
        <v>0</v>
      </c>
      <c r="L220" s="351"/>
    </row>
    <row r="221" spans="1:12" x14ac:dyDescent="0.25">
      <c r="A221" s="233">
        <v>5</v>
      </c>
      <c r="B221" s="80" t="s">
        <v>778</v>
      </c>
      <c r="C221" s="81">
        <v>2500</v>
      </c>
      <c r="D221" s="82">
        <v>106.59</v>
      </c>
      <c r="E221" s="60">
        <v>0</v>
      </c>
      <c r="F221" s="61"/>
      <c r="G221" s="57">
        <f t="shared" si="46"/>
        <v>0</v>
      </c>
      <c r="H221" s="142">
        <f>4800-4800+74400-74400+46416-46416</f>
        <v>0</v>
      </c>
      <c r="I221" s="57">
        <f t="shared" si="47"/>
        <v>0</v>
      </c>
      <c r="J221" s="57">
        <f t="shared" si="48"/>
        <v>0</v>
      </c>
      <c r="K221" s="58">
        <f t="shared" si="49"/>
        <v>0</v>
      </c>
      <c r="L221" s="351"/>
    </row>
    <row r="222" spans="1:12" x14ac:dyDescent="0.25">
      <c r="A222" s="123">
        <v>6</v>
      </c>
      <c r="B222" s="80" t="s">
        <v>130</v>
      </c>
      <c r="C222" s="81">
        <v>2000</v>
      </c>
      <c r="D222" s="82">
        <v>125.81</v>
      </c>
      <c r="E222" s="60">
        <v>9000</v>
      </c>
      <c r="F222" s="61"/>
      <c r="G222" s="57">
        <f t="shared" si="46"/>
        <v>9000</v>
      </c>
      <c r="H222" s="56"/>
      <c r="I222" s="57">
        <f t="shared" si="47"/>
        <v>9000</v>
      </c>
      <c r="J222" s="57">
        <f t="shared" si="48"/>
        <v>18000000</v>
      </c>
      <c r="K222" s="58">
        <f t="shared" si="49"/>
        <v>1132290</v>
      </c>
      <c r="L222" s="351"/>
    </row>
    <row r="223" spans="1:12" x14ac:dyDescent="0.25">
      <c r="A223" s="123">
        <v>7</v>
      </c>
      <c r="B223" s="80" t="s">
        <v>871</v>
      </c>
      <c r="C223" s="81">
        <v>2500</v>
      </c>
      <c r="D223" s="82">
        <v>122.34</v>
      </c>
      <c r="E223" s="60">
        <v>0</v>
      </c>
      <c r="F223" s="61">
        <f>2400+10000-12400</f>
        <v>0</v>
      </c>
      <c r="G223" s="57">
        <f t="shared" si="46"/>
        <v>0</v>
      </c>
      <c r="H223" s="56">
        <f>2400+10000-12400+11000-11000</f>
        <v>0</v>
      </c>
      <c r="I223" s="57">
        <f t="shared" si="47"/>
        <v>0</v>
      </c>
      <c r="J223" s="57">
        <f t="shared" si="48"/>
        <v>0</v>
      </c>
      <c r="K223" s="58">
        <f t="shared" si="49"/>
        <v>0</v>
      </c>
      <c r="L223" s="351"/>
    </row>
    <row r="224" spans="1:12" x14ac:dyDescent="0.25">
      <c r="A224" s="233">
        <v>8</v>
      </c>
      <c r="B224" s="80" t="s">
        <v>131</v>
      </c>
      <c r="C224" s="81">
        <f>10000-7500</f>
        <v>2500</v>
      </c>
      <c r="D224" s="82">
        <v>416.24</v>
      </c>
      <c r="E224" s="60">
        <v>9920</v>
      </c>
      <c r="F224" s="61"/>
      <c r="G224" s="57">
        <f t="shared" si="46"/>
        <v>9920</v>
      </c>
      <c r="H224" s="56"/>
      <c r="I224" s="57">
        <f t="shared" si="47"/>
        <v>9920</v>
      </c>
      <c r="J224" s="57">
        <f t="shared" si="48"/>
        <v>24800000</v>
      </c>
      <c r="K224" s="58">
        <f t="shared" si="49"/>
        <v>4129100.8000000003</v>
      </c>
      <c r="L224" s="351"/>
    </row>
    <row r="225" spans="1:15" x14ac:dyDescent="0.25">
      <c r="A225" s="123">
        <v>9</v>
      </c>
      <c r="B225" s="80" t="s">
        <v>132</v>
      </c>
      <c r="C225" s="81">
        <v>2500</v>
      </c>
      <c r="D225" s="82">
        <v>123.6</v>
      </c>
      <c r="E225" s="60">
        <v>0</v>
      </c>
      <c r="F225" s="61"/>
      <c r="G225" s="57">
        <f t="shared" si="46"/>
        <v>0</v>
      </c>
      <c r="H225" s="56">
        <f>25980-25980</f>
        <v>0</v>
      </c>
      <c r="I225" s="57">
        <f t="shared" si="47"/>
        <v>0</v>
      </c>
      <c r="J225" s="57">
        <f t="shared" si="48"/>
        <v>0</v>
      </c>
      <c r="K225" s="58">
        <f t="shared" si="49"/>
        <v>0</v>
      </c>
      <c r="L225" s="351"/>
    </row>
    <row r="226" spans="1:15" x14ac:dyDescent="0.25">
      <c r="A226" s="123">
        <v>10</v>
      </c>
      <c r="B226" s="80" t="s">
        <v>133</v>
      </c>
      <c r="C226" s="81">
        <v>2500</v>
      </c>
      <c r="D226" s="82">
        <v>104.06</v>
      </c>
      <c r="E226" s="60">
        <v>0</v>
      </c>
      <c r="F226" s="61">
        <f>2400-2400</f>
        <v>0</v>
      </c>
      <c r="G226" s="57">
        <f t="shared" si="46"/>
        <v>0</v>
      </c>
      <c r="H226" s="61">
        <f>2400-2400+9496-9496</f>
        <v>0</v>
      </c>
      <c r="I226" s="57">
        <f t="shared" si="47"/>
        <v>0</v>
      </c>
      <c r="J226" s="57">
        <f t="shared" si="48"/>
        <v>0</v>
      </c>
      <c r="K226" s="58">
        <f t="shared" si="49"/>
        <v>0</v>
      </c>
      <c r="L226" s="351"/>
    </row>
    <row r="227" spans="1:15" x14ac:dyDescent="0.25">
      <c r="A227" s="123">
        <v>11</v>
      </c>
      <c r="B227" s="80" t="s">
        <v>134</v>
      </c>
      <c r="C227" s="81">
        <v>2500</v>
      </c>
      <c r="D227" s="82">
        <v>123.6</v>
      </c>
      <c r="E227" s="60">
        <v>0</v>
      </c>
      <c r="F227" s="61">
        <f>2000-2000</f>
        <v>0</v>
      </c>
      <c r="G227" s="57">
        <f t="shared" si="46"/>
        <v>0</v>
      </c>
      <c r="H227" s="61">
        <f>2000-2000+54000-54000</f>
        <v>0</v>
      </c>
      <c r="I227" s="57">
        <f t="shared" si="47"/>
        <v>0</v>
      </c>
      <c r="J227" s="57">
        <f t="shared" si="48"/>
        <v>0</v>
      </c>
      <c r="K227" s="58">
        <f t="shared" si="49"/>
        <v>0</v>
      </c>
      <c r="L227" s="351"/>
    </row>
    <row r="228" spans="1:15" x14ac:dyDescent="0.25">
      <c r="A228" s="123">
        <v>12</v>
      </c>
      <c r="B228" s="80" t="s">
        <v>135</v>
      </c>
      <c r="C228" s="81">
        <v>2500</v>
      </c>
      <c r="D228" s="82">
        <v>104.06</v>
      </c>
      <c r="E228" s="60">
        <v>0</v>
      </c>
      <c r="F228" s="61"/>
      <c r="G228" s="57">
        <f t="shared" si="46"/>
        <v>0</v>
      </c>
      <c r="H228" s="56">
        <f>4800-4800+24000-24000</f>
        <v>0</v>
      </c>
      <c r="I228" s="57">
        <f t="shared" si="47"/>
        <v>0</v>
      </c>
      <c r="J228" s="57">
        <f t="shared" si="48"/>
        <v>0</v>
      </c>
      <c r="K228" s="58">
        <f t="shared" si="49"/>
        <v>0</v>
      </c>
      <c r="L228" s="351"/>
    </row>
    <row r="229" spans="1:15" x14ac:dyDescent="0.25">
      <c r="A229" s="123">
        <v>13</v>
      </c>
      <c r="B229" s="80" t="s">
        <v>136</v>
      </c>
      <c r="C229" s="81">
        <v>2500</v>
      </c>
      <c r="D229" s="82">
        <v>104.06</v>
      </c>
      <c r="E229" s="60">
        <v>0</v>
      </c>
      <c r="F229" s="61"/>
      <c r="G229" s="57">
        <f t="shared" si="46"/>
        <v>0</v>
      </c>
      <c r="H229" s="56">
        <f>5600-5600</f>
        <v>0</v>
      </c>
      <c r="I229" s="57">
        <f t="shared" si="47"/>
        <v>0</v>
      </c>
      <c r="J229" s="57">
        <f t="shared" si="48"/>
        <v>0</v>
      </c>
      <c r="K229" s="58">
        <f t="shared" si="49"/>
        <v>0</v>
      </c>
      <c r="L229" s="351"/>
    </row>
    <row r="230" spans="1:15" ht="15.75" thickBot="1" x14ac:dyDescent="0.3">
      <c r="A230" s="123">
        <v>14</v>
      </c>
      <c r="B230" s="118" t="s">
        <v>137</v>
      </c>
      <c r="C230" s="119">
        <v>2500</v>
      </c>
      <c r="D230" s="120">
        <v>104.06</v>
      </c>
      <c r="E230" s="121">
        <v>0</v>
      </c>
      <c r="F230" s="124"/>
      <c r="G230" s="111">
        <f t="shared" si="46"/>
        <v>0</v>
      </c>
      <c r="H230" s="110">
        <f>5600-5600</f>
        <v>0</v>
      </c>
      <c r="I230" s="111">
        <f t="shared" si="47"/>
        <v>0</v>
      </c>
      <c r="J230" s="111">
        <f t="shared" si="48"/>
        <v>0</v>
      </c>
      <c r="K230" s="112">
        <f t="shared" si="49"/>
        <v>0</v>
      </c>
      <c r="L230" s="351"/>
    </row>
    <row r="231" spans="1:15" ht="15.75" thickBot="1" x14ac:dyDescent="0.3">
      <c r="A231" s="84"/>
      <c r="B231" s="122" t="s">
        <v>676</v>
      </c>
      <c r="C231" s="36"/>
      <c r="D231" s="29"/>
      <c r="E231" s="29">
        <f>SUM(E217:E230)</f>
        <v>19020</v>
      </c>
      <c r="F231" s="29">
        <f>SUM(F217:F230)</f>
        <v>0</v>
      </c>
      <c r="G231" s="29">
        <f>SUM(G217:G230)</f>
        <v>19020</v>
      </c>
      <c r="H231" s="29">
        <f>SUM(H217:H230)</f>
        <v>0</v>
      </c>
      <c r="I231" s="29">
        <f>SUM(I217:I230)</f>
        <v>19020</v>
      </c>
      <c r="J231" s="29">
        <f t="shared" ref="J231:K231" si="50">SUM(J217:J230)</f>
        <v>45300000</v>
      </c>
      <c r="K231" s="47">
        <f t="shared" si="50"/>
        <v>5279239.8000000007</v>
      </c>
      <c r="L231" s="218"/>
    </row>
    <row r="232" spans="1:15" ht="15.75" thickBot="1" x14ac:dyDescent="0.3">
      <c r="B232" s="95"/>
      <c r="C232" s="96"/>
      <c r="D232" s="97"/>
      <c r="E232" s="98"/>
      <c r="F232" s="63"/>
      <c r="G232" s="98"/>
      <c r="H232" s="98"/>
      <c r="I232" s="98"/>
      <c r="J232" s="98"/>
      <c r="K232" s="97"/>
      <c r="L232" s="166"/>
    </row>
    <row r="233" spans="1:15" ht="15.75" thickBot="1" x14ac:dyDescent="0.3">
      <c r="A233" s="365" t="s">
        <v>657</v>
      </c>
      <c r="B233" s="372" t="s">
        <v>0</v>
      </c>
      <c r="C233" s="372" t="s">
        <v>1</v>
      </c>
      <c r="D233" s="373" t="s">
        <v>649</v>
      </c>
      <c r="E233" s="374" t="s">
        <v>19</v>
      </c>
      <c r="F233" s="374"/>
      <c r="G233" s="374"/>
      <c r="H233" s="374"/>
      <c r="I233" s="374"/>
      <c r="J233" s="368" t="s">
        <v>21</v>
      </c>
      <c r="K233" s="370" t="s">
        <v>602</v>
      </c>
      <c r="L233" s="349"/>
    </row>
    <row r="234" spans="1:15" ht="30.75" thickBot="1" x14ac:dyDescent="0.3">
      <c r="A234" s="366"/>
      <c r="B234" s="372"/>
      <c r="C234" s="372"/>
      <c r="D234" s="373"/>
      <c r="E234" s="69" t="s">
        <v>22</v>
      </c>
      <c r="F234" s="69" t="s">
        <v>600</v>
      </c>
      <c r="G234" s="69" t="s">
        <v>601</v>
      </c>
      <c r="H234" s="69" t="s">
        <v>589</v>
      </c>
      <c r="I234" s="69" t="s">
        <v>601</v>
      </c>
      <c r="J234" s="369"/>
      <c r="K234" s="371"/>
      <c r="L234" s="349"/>
    </row>
    <row r="235" spans="1:15" ht="15.75" thickBot="1" x14ac:dyDescent="0.3">
      <c r="A235" s="367"/>
      <c r="B235" s="70">
        <v>1</v>
      </c>
      <c r="C235" s="70">
        <v>2</v>
      </c>
      <c r="D235" s="70">
        <v>3</v>
      </c>
      <c r="E235" s="71">
        <v>4</v>
      </c>
      <c r="F235" s="71">
        <f>+E235+1</f>
        <v>5</v>
      </c>
      <c r="G235" s="71" t="s">
        <v>652</v>
      </c>
      <c r="H235" s="71">
        <v>7</v>
      </c>
      <c r="I235" s="72" t="s">
        <v>651</v>
      </c>
      <c r="J235" s="42" t="s">
        <v>650</v>
      </c>
      <c r="K235" s="42" t="s">
        <v>653</v>
      </c>
      <c r="L235" s="350"/>
    </row>
    <row r="236" spans="1:15" x14ac:dyDescent="0.25">
      <c r="A236" s="73"/>
      <c r="B236" s="73" t="s">
        <v>677</v>
      </c>
      <c r="C236" s="55"/>
      <c r="D236" s="55"/>
      <c r="E236" s="55"/>
      <c r="F236" s="55"/>
      <c r="G236" s="55"/>
      <c r="H236" s="55"/>
      <c r="I236" s="55"/>
      <c r="J236" s="55"/>
      <c r="K236" s="55"/>
      <c r="L236" s="135"/>
    </row>
    <row r="237" spans="1:15" x14ac:dyDescent="0.25">
      <c r="A237" s="123">
        <v>1</v>
      </c>
      <c r="B237" s="80" t="s">
        <v>678</v>
      </c>
      <c r="C237" s="81">
        <v>2500</v>
      </c>
      <c r="D237" s="103">
        <v>100.97</v>
      </c>
      <c r="E237" s="43">
        <v>36224</v>
      </c>
      <c r="F237" s="61"/>
      <c r="G237" s="57">
        <f t="shared" ref="G237:G250" si="51">+E237+F237</f>
        <v>36224</v>
      </c>
      <c r="H237" s="56">
        <f>72448-72448</f>
        <v>0</v>
      </c>
      <c r="I237" s="57">
        <f t="shared" ref="I237:I250" si="52">+G237-H237</f>
        <v>36224</v>
      </c>
      <c r="J237" s="57">
        <f t="shared" ref="J237:J250" si="53">I237*C237</f>
        <v>90560000</v>
      </c>
      <c r="K237" s="58">
        <f t="shared" ref="K237:K250" si="54">+D237*I237</f>
        <v>3657537.28</v>
      </c>
      <c r="L237" s="351"/>
      <c r="N237" s="53">
        <f>108672/3</f>
        <v>36224</v>
      </c>
      <c r="O237" s="189">
        <f>+E237-N237</f>
        <v>0</v>
      </c>
    </row>
    <row r="238" spans="1:15" x14ac:dyDescent="0.25">
      <c r="A238" s="123">
        <v>2</v>
      </c>
      <c r="B238" s="80" t="s">
        <v>678</v>
      </c>
      <c r="C238" s="81">
        <v>5000</v>
      </c>
      <c r="D238" s="103">
        <v>100.97</v>
      </c>
      <c r="E238" s="43">
        <v>36224</v>
      </c>
      <c r="F238" s="61"/>
      <c r="G238" s="57">
        <f t="shared" si="51"/>
        <v>36224</v>
      </c>
      <c r="H238" s="56">
        <f>72448-72448</f>
        <v>0</v>
      </c>
      <c r="I238" s="57">
        <f t="shared" si="52"/>
        <v>36224</v>
      </c>
      <c r="J238" s="57">
        <f t="shared" si="53"/>
        <v>181120000</v>
      </c>
      <c r="K238" s="58">
        <f t="shared" si="54"/>
        <v>3657537.28</v>
      </c>
      <c r="L238" s="351"/>
      <c r="N238" s="53">
        <f t="shared" ref="N238:N239" si="55">108672/3</f>
        <v>36224</v>
      </c>
    </row>
    <row r="239" spans="1:15" x14ac:dyDescent="0.25">
      <c r="A239" s="123">
        <v>3</v>
      </c>
      <c r="B239" s="80" t="s">
        <v>678</v>
      </c>
      <c r="C239" s="81">
        <v>7500</v>
      </c>
      <c r="D239" s="103">
        <v>100.97</v>
      </c>
      <c r="E239" s="43">
        <v>36224</v>
      </c>
      <c r="F239" s="61"/>
      <c r="G239" s="57">
        <f t="shared" si="51"/>
        <v>36224</v>
      </c>
      <c r="H239" s="56">
        <f>72448-72448</f>
        <v>0</v>
      </c>
      <c r="I239" s="57">
        <f t="shared" si="52"/>
        <v>36224</v>
      </c>
      <c r="J239" s="57">
        <f t="shared" si="53"/>
        <v>271680000</v>
      </c>
      <c r="K239" s="58">
        <f t="shared" si="54"/>
        <v>3657537.28</v>
      </c>
      <c r="L239" s="351"/>
      <c r="N239" s="53">
        <f t="shared" si="55"/>
        <v>36224</v>
      </c>
    </row>
    <row r="240" spans="1:15" x14ac:dyDescent="0.25">
      <c r="A240" s="233">
        <v>4</v>
      </c>
      <c r="B240" s="80" t="s">
        <v>779</v>
      </c>
      <c r="C240" s="81">
        <f>5000-2500</f>
        <v>2500</v>
      </c>
      <c r="D240" s="103">
        <f>2*130.08</f>
        <v>260.16000000000003</v>
      </c>
      <c r="E240" s="43">
        <v>0</v>
      </c>
      <c r="F240" s="61"/>
      <c r="G240" s="57">
        <f t="shared" si="51"/>
        <v>0</v>
      </c>
      <c r="H240" s="56">
        <f>3980-3980+10000-10000</f>
        <v>0</v>
      </c>
      <c r="I240" s="57">
        <f t="shared" si="52"/>
        <v>0</v>
      </c>
      <c r="J240" s="57">
        <f t="shared" si="53"/>
        <v>0</v>
      </c>
      <c r="K240" s="58">
        <f t="shared" si="54"/>
        <v>0</v>
      </c>
      <c r="L240" s="351"/>
    </row>
    <row r="241" spans="1:14" x14ac:dyDescent="0.25">
      <c r="A241" s="233">
        <v>5</v>
      </c>
      <c r="B241" s="80" t="s">
        <v>679</v>
      </c>
      <c r="C241" s="81">
        <f>+'[1]KEL A-2'!$H$5</f>
        <v>8000</v>
      </c>
      <c r="D241" s="82">
        <f>+'[2]Prangko Filateli '!$D$196</f>
        <v>226.62</v>
      </c>
      <c r="E241" s="43">
        <v>12000</v>
      </c>
      <c r="F241" s="61"/>
      <c r="G241" s="57">
        <f t="shared" si="51"/>
        <v>12000</v>
      </c>
      <c r="H241" s="56">
        <v>12000</v>
      </c>
      <c r="I241" s="57">
        <f t="shared" si="52"/>
        <v>0</v>
      </c>
      <c r="J241" s="57">
        <f t="shared" si="53"/>
        <v>0</v>
      </c>
      <c r="K241" s="58">
        <f t="shared" si="54"/>
        <v>0</v>
      </c>
      <c r="L241" s="351"/>
    </row>
    <row r="242" spans="1:14" x14ac:dyDescent="0.25">
      <c r="A242" s="123">
        <v>6</v>
      </c>
      <c r="B242" s="80" t="s">
        <v>142</v>
      </c>
      <c r="C242" s="81">
        <f>+'[3]KEL A-2'!$I$5</f>
        <v>30000</v>
      </c>
      <c r="D242" s="82">
        <f>118.67*11</f>
        <v>1305.3700000000001</v>
      </c>
      <c r="E242" s="43">
        <v>0</v>
      </c>
      <c r="F242" s="61"/>
      <c r="G242" s="57">
        <f t="shared" si="51"/>
        <v>0</v>
      </c>
      <c r="H242" s="169">
        <f>18800-18800</f>
        <v>0</v>
      </c>
      <c r="I242" s="57">
        <f t="shared" si="52"/>
        <v>0</v>
      </c>
      <c r="J242" s="57">
        <f t="shared" si="53"/>
        <v>0</v>
      </c>
      <c r="K242" s="58">
        <f t="shared" si="54"/>
        <v>0</v>
      </c>
      <c r="L242" s="351"/>
      <c r="N242" s="53" t="s">
        <v>951</v>
      </c>
    </row>
    <row r="243" spans="1:14" x14ac:dyDescent="0.25">
      <c r="A243" s="123">
        <v>7</v>
      </c>
      <c r="B243" s="80" t="s">
        <v>680</v>
      </c>
      <c r="C243" s="81">
        <v>2500</v>
      </c>
      <c r="D243" s="82">
        <f>+'[2]Prangko Filateli '!$D$201</f>
        <v>109.83</v>
      </c>
      <c r="E243" s="43">
        <v>0</v>
      </c>
      <c r="F243" s="61"/>
      <c r="G243" s="57">
        <f t="shared" si="51"/>
        <v>0</v>
      </c>
      <c r="H243" s="56">
        <f>3600-3600</f>
        <v>0</v>
      </c>
      <c r="I243" s="57">
        <f t="shared" si="52"/>
        <v>0</v>
      </c>
      <c r="J243" s="57">
        <f t="shared" si="53"/>
        <v>0</v>
      </c>
      <c r="K243" s="58">
        <f t="shared" si="54"/>
        <v>0</v>
      </c>
      <c r="L243" s="351"/>
    </row>
    <row r="244" spans="1:14" x14ac:dyDescent="0.25">
      <c r="A244" s="123">
        <v>8</v>
      </c>
      <c r="B244" s="219" t="s">
        <v>780</v>
      </c>
      <c r="C244" s="81">
        <f>7500-5000</f>
        <v>2500</v>
      </c>
      <c r="D244" s="82">
        <f>109.83*3</f>
        <v>329.49</v>
      </c>
      <c r="E244" s="43">
        <v>0</v>
      </c>
      <c r="F244" s="61"/>
      <c r="G244" s="57">
        <f t="shared" si="51"/>
        <v>0</v>
      </c>
      <c r="H244" s="56">
        <f>2400*3-7200+2400-2400</f>
        <v>0</v>
      </c>
      <c r="I244" s="57">
        <f t="shared" si="52"/>
        <v>0</v>
      </c>
      <c r="J244" s="57">
        <f t="shared" si="53"/>
        <v>0</v>
      </c>
      <c r="K244" s="58">
        <f t="shared" si="54"/>
        <v>0</v>
      </c>
      <c r="L244" s="351"/>
    </row>
    <row r="245" spans="1:14" x14ac:dyDescent="0.25">
      <c r="A245" s="123">
        <v>9</v>
      </c>
      <c r="B245" s="80" t="s">
        <v>681</v>
      </c>
      <c r="C245" s="81">
        <v>5000</v>
      </c>
      <c r="D245" s="82">
        <f>142.22*2</f>
        <v>284.44</v>
      </c>
      <c r="E245" s="43">
        <v>0</v>
      </c>
      <c r="F245" s="61"/>
      <c r="G245" s="57">
        <f t="shared" si="51"/>
        <v>0</v>
      </c>
      <c r="H245" s="56">
        <f>78926-78926</f>
        <v>0</v>
      </c>
      <c r="I245" s="57">
        <f t="shared" si="52"/>
        <v>0</v>
      </c>
      <c r="J245" s="57">
        <f t="shared" si="53"/>
        <v>0</v>
      </c>
      <c r="K245" s="58">
        <f t="shared" si="54"/>
        <v>0</v>
      </c>
      <c r="L245" s="351"/>
      <c r="N245" s="53" t="s">
        <v>870</v>
      </c>
    </row>
    <row r="246" spans="1:14" x14ac:dyDescent="0.25">
      <c r="A246" s="123">
        <v>10</v>
      </c>
      <c r="B246" s="80" t="s">
        <v>682</v>
      </c>
      <c r="C246" s="81">
        <v>5000</v>
      </c>
      <c r="D246" s="82">
        <f>129.27*2</f>
        <v>258.54000000000002</v>
      </c>
      <c r="E246" s="43">
        <v>0</v>
      </c>
      <c r="F246" s="61"/>
      <c r="G246" s="57">
        <f t="shared" si="51"/>
        <v>0</v>
      </c>
      <c r="H246" s="56">
        <f>9000-9000</f>
        <v>0</v>
      </c>
      <c r="I246" s="57">
        <f t="shared" si="52"/>
        <v>0</v>
      </c>
      <c r="J246" s="57">
        <f t="shared" si="53"/>
        <v>0</v>
      </c>
      <c r="K246" s="58">
        <f t="shared" si="54"/>
        <v>0</v>
      </c>
      <c r="L246" s="351"/>
      <c r="N246" s="53" t="s">
        <v>950</v>
      </c>
    </row>
    <row r="247" spans="1:14" x14ac:dyDescent="0.25">
      <c r="A247" s="123">
        <v>11</v>
      </c>
      <c r="B247" s="80" t="s">
        <v>683</v>
      </c>
      <c r="C247" s="81">
        <f>+'[4]KEL A-2'!$L$5</f>
        <v>6000</v>
      </c>
      <c r="D247" s="82">
        <f>120.4*2</f>
        <v>240.8</v>
      </c>
      <c r="E247" s="43">
        <v>0</v>
      </c>
      <c r="F247" s="61"/>
      <c r="G247" s="57">
        <f t="shared" si="51"/>
        <v>0</v>
      </c>
      <c r="H247" s="56"/>
      <c r="I247" s="57">
        <f t="shared" si="52"/>
        <v>0</v>
      </c>
      <c r="J247" s="57">
        <f t="shared" si="53"/>
        <v>0</v>
      </c>
      <c r="K247" s="58">
        <f t="shared" si="54"/>
        <v>0</v>
      </c>
      <c r="L247" s="351"/>
    </row>
    <row r="248" spans="1:14" x14ac:dyDescent="0.25">
      <c r="A248" s="123">
        <v>12</v>
      </c>
      <c r="B248" s="80" t="s">
        <v>138</v>
      </c>
      <c r="C248" s="81">
        <v>2500</v>
      </c>
      <c r="D248" s="103">
        <v>130.53</v>
      </c>
      <c r="E248" s="43">
        <v>0</v>
      </c>
      <c r="F248" s="61"/>
      <c r="G248" s="57">
        <f t="shared" si="51"/>
        <v>0</v>
      </c>
      <c r="H248" s="56">
        <f>9000-9000</f>
        <v>0</v>
      </c>
      <c r="I248" s="57">
        <f t="shared" si="52"/>
        <v>0</v>
      </c>
      <c r="J248" s="57">
        <f t="shared" si="53"/>
        <v>0</v>
      </c>
      <c r="K248" s="58">
        <f t="shared" si="54"/>
        <v>0</v>
      </c>
      <c r="L248" s="351"/>
    </row>
    <row r="249" spans="1:14" x14ac:dyDescent="0.25">
      <c r="A249" s="123">
        <v>13</v>
      </c>
      <c r="B249" s="61" t="s">
        <v>139</v>
      </c>
      <c r="C249" s="81">
        <v>2500</v>
      </c>
      <c r="D249" s="103">
        <v>130.53</v>
      </c>
      <c r="E249" s="43">
        <v>0</v>
      </c>
      <c r="F249" s="61"/>
      <c r="G249" s="57">
        <f t="shared" si="51"/>
        <v>0</v>
      </c>
      <c r="H249" s="56">
        <f>9000-9000</f>
        <v>0</v>
      </c>
      <c r="I249" s="57">
        <f t="shared" si="52"/>
        <v>0</v>
      </c>
      <c r="J249" s="57">
        <f t="shared" si="53"/>
        <v>0</v>
      </c>
      <c r="K249" s="58">
        <f t="shared" si="54"/>
        <v>0</v>
      </c>
      <c r="L249" s="351"/>
    </row>
    <row r="250" spans="1:14" ht="15.75" thickBot="1" x14ac:dyDescent="0.3">
      <c r="A250" s="123">
        <v>14</v>
      </c>
      <c r="B250" s="239" t="s">
        <v>830</v>
      </c>
      <c r="C250" s="119">
        <v>5000</v>
      </c>
      <c r="D250" s="128">
        <f>2*109.83</f>
        <v>219.66</v>
      </c>
      <c r="E250" s="125">
        <v>0</v>
      </c>
      <c r="F250" s="124">
        <f>1200-1200+200-200</f>
        <v>0</v>
      </c>
      <c r="G250" s="111">
        <f t="shared" si="51"/>
        <v>0</v>
      </c>
      <c r="H250" s="110">
        <f>1200-1200+200-200</f>
        <v>0</v>
      </c>
      <c r="I250" s="111">
        <f t="shared" si="52"/>
        <v>0</v>
      </c>
      <c r="J250" s="111">
        <f t="shared" si="53"/>
        <v>0</v>
      </c>
      <c r="K250" s="112">
        <f t="shared" si="54"/>
        <v>0</v>
      </c>
      <c r="L250" s="351"/>
      <c r="N250" s="267"/>
    </row>
    <row r="251" spans="1:14" ht="15.75" thickBot="1" x14ac:dyDescent="0.3">
      <c r="A251" s="84"/>
      <c r="B251" s="122" t="s">
        <v>684</v>
      </c>
      <c r="C251" s="36"/>
      <c r="D251" s="35"/>
      <c r="E251" s="35">
        <f>SUM(E237:E250)</f>
        <v>120672</v>
      </c>
      <c r="F251" s="35">
        <f>SUM(F237:F250)</f>
        <v>0</v>
      </c>
      <c r="G251" s="35">
        <f>SUM(G237:G250)</f>
        <v>120672</v>
      </c>
      <c r="H251" s="35">
        <f>SUM(H237:H250)</f>
        <v>12000</v>
      </c>
      <c r="I251" s="35">
        <f>SUM(I237:I250)</f>
        <v>108672</v>
      </c>
      <c r="J251" s="35">
        <f t="shared" ref="J251:K251" si="56">SUM(J237:J250)</f>
        <v>543360000</v>
      </c>
      <c r="K251" s="67">
        <f t="shared" si="56"/>
        <v>10972611.84</v>
      </c>
      <c r="L251" s="353"/>
    </row>
    <row r="252" spans="1:14" ht="15.75" thickBot="1" x14ac:dyDescent="0.3">
      <c r="B252" s="95"/>
      <c r="C252" s="96"/>
      <c r="D252" s="97"/>
      <c r="E252" s="98"/>
      <c r="F252" s="63"/>
      <c r="G252" s="98"/>
      <c r="H252" s="98"/>
      <c r="I252" s="98"/>
      <c r="J252" s="98"/>
      <c r="K252" s="97"/>
      <c r="L252" s="166"/>
    </row>
    <row r="253" spans="1:14" ht="15.75" thickBot="1" x14ac:dyDescent="0.3">
      <c r="A253" s="365" t="s">
        <v>657</v>
      </c>
      <c r="B253" s="372" t="s">
        <v>0</v>
      </c>
      <c r="C253" s="372" t="s">
        <v>1</v>
      </c>
      <c r="D253" s="373" t="s">
        <v>649</v>
      </c>
      <c r="E253" s="374" t="s">
        <v>19</v>
      </c>
      <c r="F253" s="374"/>
      <c r="G253" s="374"/>
      <c r="H253" s="374"/>
      <c r="I253" s="374"/>
      <c r="J253" s="368" t="s">
        <v>21</v>
      </c>
      <c r="K253" s="370" t="s">
        <v>602</v>
      </c>
      <c r="L253" s="349"/>
    </row>
    <row r="254" spans="1:14" ht="30.75" thickBot="1" x14ac:dyDescent="0.3">
      <c r="A254" s="366"/>
      <c r="B254" s="372"/>
      <c r="C254" s="372"/>
      <c r="D254" s="373"/>
      <c r="E254" s="69" t="s">
        <v>22</v>
      </c>
      <c r="F254" s="69" t="s">
        <v>600</v>
      </c>
      <c r="G254" s="69" t="s">
        <v>601</v>
      </c>
      <c r="H254" s="69" t="s">
        <v>589</v>
      </c>
      <c r="I254" s="69" t="s">
        <v>601</v>
      </c>
      <c r="J254" s="369"/>
      <c r="K254" s="371"/>
      <c r="L254" s="349"/>
    </row>
    <row r="255" spans="1:14" ht="15.75" thickBot="1" x14ac:dyDescent="0.3">
      <c r="A255" s="367"/>
      <c r="B255" s="70">
        <v>1</v>
      </c>
      <c r="C255" s="70">
        <v>2</v>
      </c>
      <c r="D255" s="70">
        <v>3</v>
      </c>
      <c r="E255" s="71">
        <v>4</v>
      </c>
      <c r="F255" s="71">
        <f>+E255+1</f>
        <v>5</v>
      </c>
      <c r="G255" s="71" t="s">
        <v>652</v>
      </c>
      <c r="H255" s="71">
        <v>7</v>
      </c>
      <c r="I255" s="72" t="s">
        <v>651</v>
      </c>
      <c r="J255" s="42" t="s">
        <v>650</v>
      </c>
      <c r="K255" s="42" t="s">
        <v>653</v>
      </c>
      <c r="L255" s="350"/>
    </row>
    <row r="256" spans="1:14" x14ac:dyDescent="0.25">
      <c r="A256" s="73"/>
      <c r="B256" s="73" t="s">
        <v>685</v>
      </c>
      <c r="C256" s="93"/>
      <c r="D256" s="55"/>
      <c r="E256" s="50"/>
      <c r="F256" s="50"/>
      <c r="G256" s="50"/>
      <c r="H256" s="50"/>
      <c r="I256" s="50"/>
      <c r="J256" s="55"/>
      <c r="K256" s="55"/>
      <c r="L256" s="135"/>
    </row>
    <row r="257" spans="1:15" x14ac:dyDescent="0.25">
      <c r="A257" s="130">
        <v>1</v>
      </c>
      <c r="B257" s="61" t="s">
        <v>140</v>
      </c>
      <c r="C257" s="81">
        <v>10000</v>
      </c>
      <c r="D257" s="103">
        <f>4*119.91</f>
        <v>479.64</v>
      </c>
      <c r="E257" s="51">
        <v>200</v>
      </c>
      <c r="F257" s="51"/>
      <c r="G257" s="57">
        <f t="shared" ref="G257:G270" si="57">+E257+F257</f>
        <v>200</v>
      </c>
      <c r="H257" s="142"/>
      <c r="I257" s="57">
        <f t="shared" ref="I257:I269" si="58">+G257-H257</f>
        <v>200</v>
      </c>
      <c r="J257" s="57">
        <f t="shared" ref="J257:J270" si="59">I257*C257</f>
        <v>2000000</v>
      </c>
      <c r="K257" s="58">
        <f t="shared" ref="K257:K270" si="60">+D257*I257</f>
        <v>95928</v>
      </c>
      <c r="L257" s="351"/>
    </row>
    <row r="258" spans="1:15" x14ac:dyDescent="0.25">
      <c r="A258" s="130">
        <v>2</v>
      </c>
      <c r="B258" s="61" t="s">
        <v>141</v>
      </c>
      <c r="C258" s="81">
        <v>7500</v>
      </c>
      <c r="D258" s="103">
        <f>114.85*3</f>
        <v>344.54999999999995</v>
      </c>
      <c r="E258" s="51">
        <v>0</v>
      </c>
      <c r="F258" s="51">
        <f>152-152</f>
        <v>0</v>
      </c>
      <c r="G258" s="57">
        <f t="shared" si="57"/>
        <v>0</v>
      </c>
      <c r="H258" s="142">
        <f>152-152+3200-3200</f>
        <v>0</v>
      </c>
      <c r="I258" s="57">
        <f t="shared" si="58"/>
        <v>0</v>
      </c>
      <c r="J258" s="57">
        <f t="shared" si="59"/>
        <v>0</v>
      </c>
      <c r="K258" s="58">
        <f t="shared" si="60"/>
        <v>0</v>
      </c>
      <c r="L258" s="351"/>
      <c r="M258" s="315"/>
    </row>
    <row r="259" spans="1:15" x14ac:dyDescent="0.25">
      <c r="A259" s="130">
        <v>3</v>
      </c>
      <c r="B259" s="61" t="s">
        <v>142</v>
      </c>
      <c r="C259" s="81">
        <v>57000</v>
      </c>
      <c r="D259" s="103">
        <f>147.62*11</f>
        <v>1623.8200000000002</v>
      </c>
      <c r="E259" s="51">
        <v>5800</v>
      </c>
      <c r="F259" s="51"/>
      <c r="G259" s="57">
        <f t="shared" si="57"/>
        <v>5800</v>
      </c>
      <c r="H259" s="142"/>
      <c r="I259" s="57">
        <f t="shared" si="58"/>
        <v>5800</v>
      </c>
      <c r="J259" s="57">
        <f t="shared" si="59"/>
        <v>330600000</v>
      </c>
      <c r="K259" s="58">
        <f t="shared" si="60"/>
        <v>9418156.0000000019</v>
      </c>
      <c r="L259" s="351"/>
    </row>
    <row r="260" spans="1:15" x14ac:dyDescent="0.25">
      <c r="A260" s="130">
        <v>4</v>
      </c>
      <c r="B260" s="61" t="s">
        <v>143</v>
      </c>
      <c r="C260" s="81">
        <v>23000</v>
      </c>
      <c r="D260" s="103">
        <f>3*245.57</f>
        <v>736.71</v>
      </c>
      <c r="E260" s="51">
        <v>1200</v>
      </c>
      <c r="F260" s="51"/>
      <c r="G260" s="57">
        <f t="shared" si="57"/>
        <v>1200</v>
      </c>
      <c r="H260" s="142"/>
      <c r="I260" s="57">
        <f t="shared" si="58"/>
        <v>1200</v>
      </c>
      <c r="J260" s="57">
        <f t="shared" si="59"/>
        <v>27600000</v>
      </c>
      <c r="K260" s="58">
        <f t="shared" si="60"/>
        <v>884052</v>
      </c>
      <c r="L260" s="351"/>
    </row>
    <row r="261" spans="1:15" x14ac:dyDescent="0.25">
      <c r="A261" s="130">
        <v>5</v>
      </c>
      <c r="B261" s="61" t="s">
        <v>144</v>
      </c>
      <c r="C261" s="81">
        <v>9000</v>
      </c>
      <c r="D261" s="103">
        <f>3*120.58</f>
        <v>361.74</v>
      </c>
      <c r="E261" s="51">
        <v>0</v>
      </c>
      <c r="F261" s="51"/>
      <c r="G261" s="57">
        <f t="shared" si="57"/>
        <v>0</v>
      </c>
      <c r="H261" s="142">
        <f>400-400</f>
        <v>0</v>
      </c>
      <c r="I261" s="57">
        <f t="shared" si="58"/>
        <v>0</v>
      </c>
      <c r="J261" s="57">
        <f t="shared" si="59"/>
        <v>0</v>
      </c>
      <c r="K261" s="58">
        <f t="shared" si="60"/>
        <v>0</v>
      </c>
      <c r="L261" s="351"/>
    </row>
    <row r="262" spans="1:15" x14ac:dyDescent="0.25">
      <c r="A262" s="130">
        <v>6</v>
      </c>
      <c r="B262" s="61" t="s">
        <v>145</v>
      </c>
      <c r="C262" s="81">
        <v>6000</v>
      </c>
      <c r="D262" s="103">
        <f>156.34*2</f>
        <v>312.68</v>
      </c>
      <c r="E262" s="51">
        <v>0</v>
      </c>
      <c r="F262" s="51"/>
      <c r="G262" s="57">
        <f t="shared" si="57"/>
        <v>0</v>
      </c>
      <c r="H262" s="142">
        <f>1080-1080</f>
        <v>0</v>
      </c>
      <c r="I262" s="57">
        <f t="shared" si="58"/>
        <v>0</v>
      </c>
      <c r="J262" s="57">
        <f t="shared" si="59"/>
        <v>0</v>
      </c>
      <c r="K262" s="58">
        <f t="shared" si="60"/>
        <v>0</v>
      </c>
      <c r="L262" s="351"/>
      <c r="M262" t="s">
        <v>960</v>
      </c>
    </row>
    <row r="263" spans="1:15" x14ac:dyDescent="0.25">
      <c r="A263" s="130">
        <v>7</v>
      </c>
      <c r="B263" s="61" t="s">
        <v>553</v>
      </c>
      <c r="C263" s="81">
        <v>20000</v>
      </c>
      <c r="D263" s="103">
        <f>4*227.83</f>
        <v>911.32</v>
      </c>
      <c r="E263" s="51">
        <v>0</v>
      </c>
      <c r="F263" s="51"/>
      <c r="G263" s="57">
        <f t="shared" si="57"/>
        <v>0</v>
      </c>
      <c r="H263" s="142">
        <f>1800+720-2520+720-720</f>
        <v>0</v>
      </c>
      <c r="I263" s="57">
        <f t="shared" si="58"/>
        <v>0</v>
      </c>
      <c r="J263" s="57">
        <f t="shared" si="59"/>
        <v>0</v>
      </c>
      <c r="K263" s="58">
        <f t="shared" si="60"/>
        <v>0</v>
      </c>
      <c r="L263" s="326"/>
      <c r="M263" s="274"/>
      <c r="N263"/>
    </row>
    <row r="264" spans="1:15" x14ac:dyDescent="0.25">
      <c r="A264" s="130">
        <v>8</v>
      </c>
      <c r="B264" s="61" t="s">
        <v>554</v>
      </c>
      <c r="C264" s="81">
        <v>25000</v>
      </c>
      <c r="D264" s="103">
        <f>5*192.02</f>
        <v>960.1</v>
      </c>
      <c r="E264" s="51">
        <v>0</v>
      </c>
      <c r="F264" s="51"/>
      <c r="G264" s="57">
        <f t="shared" si="57"/>
        <v>0</v>
      </c>
      <c r="H264" s="142">
        <f>200+2500-2700+300-300</f>
        <v>0</v>
      </c>
      <c r="I264" s="57">
        <f t="shared" si="58"/>
        <v>0</v>
      </c>
      <c r="J264" s="57">
        <f t="shared" si="59"/>
        <v>0</v>
      </c>
      <c r="K264" s="58">
        <f t="shared" si="60"/>
        <v>0</v>
      </c>
      <c r="L264" s="351"/>
    </row>
    <row r="265" spans="1:15" x14ac:dyDescent="0.25">
      <c r="A265" s="130">
        <v>9</v>
      </c>
      <c r="B265" s="61" t="s">
        <v>555</v>
      </c>
      <c r="C265" s="81">
        <v>12000</v>
      </c>
      <c r="D265" s="103">
        <f>4*69.28</f>
        <v>277.12</v>
      </c>
      <c r="E265" s="51">
        <v>0</v>
      </c>
      <c r="F265" s="51"/>
      <c r="G265" s="57">
        <f t="shared" si="57"/>
        <v>0</v>
      </c>
      <c r="H265" s="336">
        <f>3500-3500</f>
        <v>0</v>
      </c>
      <c r="I265" s="57">
        <f t="shared" si="58"/>
        <v>0</v>
      </c>
      <c r="J265" s="57">
        <f t="shared" si="59"/>
        <v>0</v>
      </c>
      <c r="K265" s="58">
        <f t="shared" si="60"/>
        <v>0</v>
      </c>
      <c r="L265" s="351"/>
      <c r="M265" t="s">
        <v>938</v>
      </c>
    </row>
    <row r="266" spans="1:15" x14ac:dyDescent="0.25">
      <c r="A266" s="130">
        <v>10</v>
      </c>
      <c r="B266" s="61" t="s">
        <v>568</v>
      </c>
      <c r="C266" s="43">
        <v>6000</v>
      </c>
      <c r="D266" s="61">
        <f>184.93*2</f>
        <v>369.86</v>
      </c>
      <c r="E266" s="51">
        <v>0</v>
      </c>
      <c r="F266" s="51"/>
      <c r="G266" s="57">
        <f t="shared" si="57"/>
        <v>0</v>
      </c>
      <c r="H266" s="142">
        <f>1500-1500</f>
        <v>0</v>
      </c>
      <c r="I266" s="57">
        <f t="shared" si="58"/>
        <v>0</v>
      </c>
      <c r="J266" s="57">
        <f t="shared" si="59"/>
        <v>0</v>
      </c>
      <c r="K266" s="58">
        <f t="shared" si="60"/>
        <v>0</v>
      </c>
      <c r="L266" s="351"/>
    </row>
    <row r="267" spans="1:15" x14ac:dyDescent="0.25">
      <c r="A267" s="130">
        <v>11</v>
      </c>
      <c r="B267" s="61" t="s">
        <v>569</v>
      </c>
      <c r="C267" s="43">
        <v>9000</v>
      </c>
      <c r="D267" s="61">
        <f>275.74*3</f>
        <v>827.22</v>
      </c>
      <c r="E267" s="51">
        <v>0</v>
      </c>
      <c r="F267" s="51"/>
      <c r="G267" s="57">
        <f t="shared" si="57"/>
        <v>0</v>
      </c>
      <c r="H267" s="336">
        <f>6000-6000</f>
        <v>0</v>
      </c>
      <c r="I267" s="57">
        <f t="shared" si="58"/>
        <v>0</v>
      </c>
      <c r="J267" s="57">
        <f t="shared" si="59"/>
        <v>0</v>
      </c>
      <c r="K267" s="58">
        <f t="shared" si="60"/>
        <v>0</v>
      </c>
      <c r="L267" s="351"/>
      <c r="M267" t="s">
        <v>939</v>
      </c>
    </row>
    <row r="268" spans="1:15" x14ac:dyDescent="0.25">
      <c r="A268" s="130">
        <v>12</v>
      </c>
      <c r="B268" s="61" t="s">
        <v>570</v>
      </c>
      <c r="C268" s="43">
        <v>6000</v>
      </c>
      <c r="D268" s="61">
        <f>99.13*2</f>
        <v>198.26</v>
      </c>
      <c r="E268" s="51">
        <v>0</v>
      </c>
      <c r="F268" s="51"/>
      <c r="G268" s="57">
        <f t="shared" si="57"/>
        <v>0</v>
      </c>
      <c r="H268" s="142">
        <f>600-600</f>
        <v>0</v>
      </c>
      <c r="I268" s="57">
        <f t="shared" si="58"/>
        <v>0</v>
      </c>
      <c r="J268" s="57">
        <f t="shared" si="59"/>
        <v>0</v>
      </c>
      <c r="K268" s="58">
        <f t="shared" si="60"/>
        <v>0</v>
      </c>
      <c r="L268" s="351"/>
      <c r="M268" t="s">
        <v>959</v>
      </c>
    </row>
    <row r="269" spans="1:15" x14ac:dyDescent="0.25">
      <c r="A269" s="130">
        <v>13</v>
      </c>
      <c r="B269" s="61" t="s">
        <v>571</v>
      </c>
      <c r="C269" s="43">
        <v>6000</v>
      </c>
      <c r="D269" s="61">
        <f>142*2</f>
        <v>284</v>
      </c>
      <c r="E269" s="51">
        <v>0</v>
      </c>
      <c r="F269" s="51"/>
      <c r="G269" s="57">
        <f t="shared" si="57"/>
        <v>0</v>
      </c>
      <c r="H269" s="142">
        <f>1000-1000</f>
        <v>0</v>
      </c>
      <c r="I269" s="57">
        <f t="shared" si="58"/>
        <v>0</v>
      </c>
      <c r="J269" s="57">
        <f t="shared" si="59"/>
        <v>0</v>
      </c>
      <c r="K269" s="58">
        <f t="shared" si="60"/>
        <v>0</v>
      </c>
      <c r="L269" s="351"/>
      <c r="M269" t="s">
        <v>958</v>
      </c>
    </row>
    <row r="270" spans="1:15" ht="15.75" thickBot="1" x14ac:dyDescent="0.3">
      <c r="A270" s="130">
        <v>14</v>
      </c>
      <c r="B270" s="124" t="s">
        <v>572</v>
      </c>
      <c r="C270" s="125">
        <v>10000</v>
      </c>
      <c r="D270" s="61">
        <f>99.13*2</f>
        <v>198.26</v>
      </c>
      <c r="E270" s="129">
        <v>0</v>
      </c>
      <c r="F270" s="129"/>
      <c r="G270" s="111">
        <f t="shared" si="57"/>
        <v>0</v>
      </c>
      <c r="H270" s="172">
        <f>7500-7500</f>
        <v>0</v>
      </c>
      <c r="I270" s="111">
        <f>+G270-H270</f>
        <v>0</v>
      </c>
      <c r="J270" s="111">
        <f t="shared" si="59"/>
        <v>0</v>
      </c>
      <c r="K270" s="112">
        <f t="shared" si="60"/>
        <v>0</v>
      </c>
      <c r="L270" s="351"/>
      <c r="N270" s="53">
        <f>7500*2</f>
        <v>15000</v>
      </c>
      <c r="O270" s="53" t="s">
        <v>885</v>
      </c>
    </row>
    <row r="271" spans="1:15" ht="15.75" thickBot="1" x14ac:dyDescent="0.3">
      <c r="A271" s="84"/>
      <c r="B271" s="122" t="s">
        <v>686</v>
      </c>
      <c r="C271" s="36"/>
      <c r="D271" s="36"/>
      <c r="E271" s="48">
        <f>SUM(E257:E270)</f>
        <v>7200</v>
      </c>
      <c r="F271" s="48">
        <f>SUM(F257:F270)</f>
        <v>0</v>
      </c>
      <c r="G271" s="48">
        <f>SUM(G257:G270)</f>
        <v>7200</v>
      </c>
      <c r="H271" s="48">
        <f>SUM(H257:H270)</f>
        <v>0</v>
      </c>
      <c r="I271" s="48">
        <f>SUM(I257:I270)</f>
        <v>7200</v>
      </c>
      <c r="J271" s="48">
        <f t="shared" ref="J271:K271" si="61">SUM(J257:J270)</f>
        <v>360200000</v>
      </c>
      <c r="K271" s="49">
        <f t="shared" si="61"/>
        <v>10398136.000000002</v>
      </c>
      <c r="L271" s="354"/>
    </row>
    <row r="272" spans="1:15" ht="15.75" thickBot="1" x14ac:dyDescent="0.3">
      <c r="B272" s="95"/>
      <c r="C272" s="96"/>
      <c r="D272" s="97"/>
      <c r="E272" s="98"/>
      <c r="F272" s="63"/>
      <c r="G272" s="98"/>
      <c r="H272" s="98"/>
      <c r="I272" s="98"/>
      <c r="J272" s="98"/>
      <c r="K272" s="97"/>
      <c r="L272" s="166"/>
    </row>
    <row r="273" spans="1:16" ht="15.75" thickBot="1" x14ac:dyDescent="0.3">
      <c r="A273" s="365" t="s">
        <v>657</v>
      </c>
      <c r="B273" s="372" t="s">
        <v>0</v>
      </c>
      <c r="C273" s="372" t="s">
        <v>1</v>
      </c>
      <c r="D273" s="373" t="s">
        <v>649</v>
      </c>
      <c r="E273" s="374" t="s">
        <v>19</v>
      </c>
      <c r="F273" s="374"/>
      <c r="G273" s="374"/>
      <c r="H273" s="374"/>
      <c r="I273" s="374"/>
      <c r="J273" s="368" t="s">
        <v>21</v>
      </c>
      <c r="K273" s="370" t="s">
        <v>602</v>
      </c>
      <c r="L273" s="349"/>
    </row>
    <row r="274" spans="1:16" ht="30.75" thickBot="1" x14ac:dyDescent="0.3">
      <c r="A274" s="366"/>
      <c r="B274" s="372"/>
      <c r="C274" s="372"/>
      <c r="D274" s="373"/>
      <c r="E274" s="69" t="s">
        <v>22</v>
      </c>
      <c r="F274" s="69" t="s">
        <v>600</v>
      </c>
      <c r="G274" s="69" t="s">
        <v>601</v>
      </c>
      <c r="H274" s="69" t="s">
        <v>589</v>
      </c>
      <c r="I274" s="69" t="s">
        <v>601</v>
      </c>
      <c r="J274" s="369"/>
      <c r="K274" s="371"/>
      <c r="L274" s="349"/>
    </row>
    <row r="275" spans="1:16" ht="15.75" thickBot="1" x14ac:dyDescent="0.3">
      <c r="A275" s="367"/>
      <c r="B275" s="70">
        <v>1</v>
      </c>
      <c r="C275" s="70">
        <v>2</v>
      </c>
      <c r="D275" s="70">
        <v>3</v>
      </c>
      <c r="E275" s="71">
        <v>4</v>
      </c>
      <c r="F275" s="71">
        <f>+E275+1</f>
        <v>5</v>
      </c>
      <c r="G275" s="71" t="s">
        <v>652</v>
      </c>
      <c r="H275" s="71">
        <v>7</v>
      </c>
      <c r="I275" s="72" t="s">
        <v>651</v>
      </c>
      <c r="J275" s="42" t="s">
        <v>650</v>
      </c>
      <c r="K275" s="42" t="s">
        <v>653</v>
      </c>
      <c r="L275" s="350"/>
    </row>
    <row r="276" spans="1:16" x14ac:dyDescent="0.25">
      <c r="A276" s="73"/>
      <c r="B276" s="73" t="s">
        <v>687</v>
      </c>
      <c r="C276" s="55"/>
      <c r="D276" s="55"/>
      <c r="E276" s="55"/>
      <c r="F276" s="55"/>
      <c r="G276" s="55"/>
      <c r="H276" s="55"/>
      <c r="I276" s="55"/>
      <c r="J276" s="55"/>
      <c r="K276" s="55"/>
      <c r="L276" s="135"/>
    </row>
    <row r="277" spans="1:16" x14ac:dyDescent="0.25">
      <c r="A277" s="130">
        <v>1</v>
      </c>
      <c r="B277" s="61" t="s">
        <v>590</v>
      </c>
      <c r="C277" s="43">
        <v>9000</v>
      </c>
      <c r="D277" s="61">
        <v>392.49</v>
      </c>
      <c r="E277" s="43">
        <v>0</v>
      </c>
      <c r="F277" s="61"/>
      <c r="G277" s="57">
        <f t="shared" ref="G277:G290" si="62">+E277+F277</f>
        <v>0</v>
      </c>
      <c r="H277" s="43">
        <f>400-400</f>
        <v>0</v>
      </c>
      <c r="I277" s="57">
        <f t="shared" ref="I277:I290" si="63">+G277-H277</f>
        <v>0</v>
      </c>
      <c r="J277" s="57">
        <f t="shared" ref="J277:J290" si="64">I277*C277</f>
        <v>0</v>
      </c>
      <c r="K277" s="58">
        <f t="shared" ref="K277:K290" si="65">+D277*I277</f>
        <v>0</v>
      </c>
      <c r="L277" s="351"/>
    </row>
    <row r="278" spans="1:16" x14ac:dyDescent="0.25">
      <c r="A278" s="130">
        <v>2</v>
      </c>
      <c r="B278" s="61" t="s">
        <v>142</v>
      </c>
      <c r="C278" s="43">
        <v>33000</v>
      </c>
      <c r="D278" s="61">
        <v>1618.98</v>
      </c>
      <c r="E278" s="43">
        <v>0</v>
      </c>
      <c r="F278" s="61"/>
      <c r="G278" s="57">
        <f t="shared" si="62"/>
        <v>0</v>
      </c>
      <c r="H278" s="43">
        <f>100-100</f>
        <v>0</v>
      </c>
      <c r="I278" s="57">
        <f t="shared" si="63"/>
        <v>0</v>
      </c>
      <c r="J278" s="57">
        <f t="shared" si="64"/>
        <v>0</v>
      </c>
      <c r="K278" s="58">
        <f t="shared" si="65"/>
        <v>0</v>
      </c>
      <c r="L278" s="351"/>
      <c r="N278" s="53" t="s">
        <v>955</v>
      </c>
    </row>
    <row r="279" spans="1:16" x14ac:dyDescent="0.25">
      <c r="A279" s="130">
        <v>3</v>
      </c>
      <c r="B279" s="61" t="s">
        <v>886</v>
      </c>
      <c r="C279" s="43">
        <v>9000</v>
      </c>
      <c r="D279" s="61">
        <v>410.07</v>
      </c>
      <c r="E279" s="43">
        <v>0</v>
      </c>
      <c r="F279" s="61"/>
      <c r="G279" s="57">
        <f t="shared" si="62"/>
        <v>0</v>
      </c>
      <c r="H279" s="43">
        <f>700-700</f>
        <v>0</v>
      </c>
      <c r="I279" s="57">
        <f t="shared" si="63"/>
        <v>0</v>
      </c>
      <c r="J279" s="57">
        <f t="shared" si="64"/>
        <v>0</v>
      </c>
      <c r="K279" s="58">
        <f t="shared" si="65"/>
        <v>0</v>
      </c>
      <c r="L279" s="326"/>
      <c r="M279" s="274">
        <f>+I279-700</f>
        <v>-700</v>
      </c>
      <c r="N279" s="53">
        <v>700</v>
      </c>
    </row>
    <row r="280" spans="1:16" x14ac:dyDescent="0.25">
      <c r="A280" s="130">
        <v>4</v>
      </c>
      <c r="B280" s="61" t="s">
        <v>591</v>
      </c>
      <c r="C280" s="43">
        <v>16000</v>
      </c>
      <c r="D280" s="61">
        <v>295.58</v>
      </c>
      <c r="E280" s="43">
        <v>11229</v>
      </c>
      <c r="F280" s="61"/>
      <c r="G280" s="57">
        <f t="shared" si="62"/>
        <v>11229</v>
      </c>
      <c r="H280" s="43"/>
      <c r="I280" s="57">
        <f t="shared" si="63"/>
        <v>11229</v>
      </c>
      <c r="J280" s="57">
        <f t="shared" si="64"/>
        <v>179664000</v>
      </c>
      <c r="K280" s="58">
        <f t="shared" si="65"/>
        <v>3319067.82</v>
      </c>
      <c r="L280" s="351"/>
    </row>
    <row r="281" spans="1:16" x14ac:dyDescent="0.25">
      <c r="A281" s="130">
        <v>5</v>
      </c>
      <c r="B281" s="61" t="s">
        <v>592</v>
      </c>
      <c r="C281" s="43">
        <v>24000</v>
      </c>
      <c r="D281" s="61">
        <v>1069.52</v>
      </c>
      <c r="E281" s="43">
        <v>0</v>
      </c>
      <c r="F281" s="61"/>
      <c r="G281" s="57">
        <f t="shared" si="62"/>
        <v>0</v>
      </c>
      <c r="H281" s="43">
        <f>300-300</f>
        <v>0</v>
      </c>
      <c r="I281" s="57">
        <f t="shared" si="63"/>
        <v>0</v>
      </c>
      <c r="J281" s="57">
        <f t="shared" si="64"/>
        <v>0</v>
      </c>
      <c r="K281" s="58">
        <f t="shared" si="65"/>
        <v>0</v>
      </c>
      <c r="L281" s="326"/>
      <c r="M281" s="274">
        <f>+I281-300</f>
        <v>-300</v>
      </c>
      <c r="N281" s="53">
        <f>24000/3000</f>
        <v>8</v>
      </c>
      <c r="O281" s="53">
        <f>8*300</f>
        <v>2400</v>
      </c>
      <c r="P281" s="53" t="s">
        <v>908</v>
      </c>
    </row>
    <row r="282" spans="1:16" x14ac:dyDescent="0.25">
      <c r="A282" s="130">
        <v>6</v>
      </c>
      <c r="B282" s="61" t="s">
        <v>593</v>
      </c>
      <c r="C282" s="43">
        <v>3000</v>
      </c>
      <c r="D282" s="61">
        <v>176.55</v>
      </c>
      <c r="E282" s="43">
        <v>0</v>
      </c>
      <c r="F282" s="61"/>
      <c r="G282" s="57">
        <f t="shared" si="62"/>
        <v>0</v>
      </c>
      <c r="H282" s="43">
        <f>1200-1200</f>
        <v>0</v>
      </c>
      <c r="I282" s="57">
        <f t="shared" si="63"/>
        <v>0</v>
      </c>
      <c r="J282" s="57">
        <f t="shared" si="64"/>
        <v>0</v>
      </c>
      <c r="K282" s="58">
        <f t="shared" si="65"/>
        <v>0</v>
      </c>
      <c r="L282" s="326"/>
      <c r="M282" s="274">
        <f>+I282-1200</f>
        <v>-1200</v>
      </c>
      <c r="N282" s="53">
        <v>1200</v>
      </c>
    </row>
    <row r="283" spans="1:16" x14ac:dyDescent="0.25">
      <c r="A283" s="130">
        <v>7</v>
      </c>
      <c r="B283" s="61" t="s">
        <v>612</v>
      </c>
      <c r="C283" s="43">
        <v>10000</v>
      </c>
      <c r="D283" s="61">
        <v>192.92</v>
      </c>
      <c r="E283" s="43">
        <v>0</v>
      </c>
      <c r="F283" s="60"/>
      <c r="G283" s="57">
        <f t="shared" si="62"/>
        <v>0</v>
      </c>
      <c r="H283" s="43">
        <f>1500-1500+1000-1000</f>
        <v>0</v>
      </c>
      <c r="I283" s="57">
        <f t="shared" si="63"/>
        <v>0</v>
      </c>
      <c r="J283" s="57">
        <f t="shared" si="64"/>
        <v>0</v>
      </c>
      <c r="K283" s="58">
        <f t="shared" si="65"/>
        <v>0</v>
      </c>
      <c r="L283" s="326"/>
      <c r="M283" s="274">
        <f>+I283-1000</f>
        <v>-1000</v>
      </c>
      <c r="N283" s="53">
        <v>1000</v>
      </c>
      <c r="O283" s="53" t="s">
        <v>884</v>
      </c>
    </row>
    <row r="284" spans="1:16" x14ac:dyDescent="0.25">
      <c r="A284" s="130">
        <v>8</v>
      </c>
      <c r="B284" s="80" t="s">
        <v>613</v>
      </c>
      <c r="C284" s="43">
        <v>7000</v>
      </c>
      <c r="D284" s="61">
        <v>349.51</v>
      </c>
      <c r="E284" s="43">
        <v>0</v>
      </c>
      <c r="F284" s="60"/>
      <c r="G284" s="57">
        <f t="shared" si="62"/>
        <v>0</v>
      </c>
      <c r="H284" s="43">
        <f>2164-2164</f>
        <v>0</v>
      </c>
      <c r="I284" s="57">
        <f t="shared" si="63"/>
        <v>0</v>
      </c>
      <c r="J284" s="57">
        <f t="shared" si="64"/>
        <v>0</v>
      </c>
      <c r="K284" s="58">
        <f t="shared" si="65"/>
        <v>0</v>
      </c>
      <c r="L284" s="351"/>
    </row>
    <row r="285" spans="1:16" x14ac:dyDescent="0.25">
      <c r="A285" s="130">
        <v>9</v>
      </c>
      <c r="B285" s="61" t="s">
        <v>618</v>
      </c>
      <c r="C285" s="43">
        <v>10000</v>
      </c>
      <c r="D285" s="61">
        <v>503.42</v>
      </c>
      <c r="E285" s="43">
        <v>0</v>
      </c>
      <c r="F285" s="61"/>
      <c r="G285" s="57">
        <f t="shared" si="62"/>
        <v>0</v>
      </c>
      <c r="H285" s="43">
        <f>3000-3000+340-340</f>
        <v>0</v>
      </c>
      <c r="I285" s="57">
        <f t="shared" si="63"/>
        <v>0</v>
      </c>
      <c r="J285" s="57">
        <f t="shared" si="64"/>
        <v>0</v>
      </c>
      <c r="K285" s="58">
        <f t="shared" si="65"/>
        <v>0</v>
      </c>
      <c r="L285" s="326"/>
      <c r="M285" s="274">
        <f>+I285-340</f>
        <v>-340</v>
      </c>
      <c r="N285" s="53" t="s">
        <v>881</v>
      </c>
    </row>
    <row r="286" spans="1:16" x14ac:dyDescent="0.25">
      <c r="A286" s="130">
        <v>10</v>
      </c>
      <c r="B286" s="61" t="s">
        <v>619</v>
      </c>
      <c r="C286" s="43">
        <v>6000</v>
      </c>
      <c r="D286" s="61">
        <v>475.12</v>
      </c>
      <c r="E286" s="43">
        <v>0</v>
      </c>
      <c r="F286" s="61"/>
      <c r="G286" s="57">
        <f t="shared" si="62"/>
        <v>0</v>
      </c>
      <c r="H286" s="43">
        <f>1800-1800+90-90+610-610</f>
        <v>0</v>
      </c>
      <c r="I286" s="57">
        <f t="shared" si="63"/>
        <v>0</v>
      </c>
      <c r="J286" s="57">
        <f t="shared" si="64"/>
        <v>0</v>
      </c>
      <c r="K286" s="58">
        <f t="shared" si="65"/>
        <v>0</v>
      </c>
      <c r="L286" s="326"/>
      <c r="M286" s="289" t="s">
        <v>859</v>
      </c>
      <c r="N286" s="53" t="s">
        <v>956</v>
      </c>
      <c r="O286" s="290"/>
    </row>
    <row r="287" spans="1:16" x14ac:dyDescent="0.25">
      <c r="A287" s="130">
        <v>11</v>
      </c>
      <c r="B287" s="61" t="s">
        <v>629</v>
      </c>
      <c r="C287" s="43">
        <v>6000</v>
      </c>
      <c r="D287" s="61">
        <v>475.12</v>
      </c>
      <c r="E287" s="43">
        <v>0</v>
      </c>
      <c r="F287" s="61"/>
      <c r="G287" s="57">
        <f t="shared" si="62"/>
        <v>0</v>
      </c>
      <c r="H287" s="43">
        <f>30+60-60-30+594-594</f>
        <v>0</v>
      </c>
      <c r="I287" s="57">
        <f t="shared" si="63"/>
        <v>0</v>
      </c>
      <c r="J287" s="57">
        <f t="shared" si="64"/>
        <v>0</v>
      </c>
      <c r="K287" s="58">
        <f t="shared" si="65"/>
        <v>0</v>
      </c>
      <c r="L287" s="326"/>
      <c r="M287" s="289" t="s">
        <v>860</v>
      </c>
      <c r="N287" s="53" t="s">
        <v>961</v>
      </c>
    </row>
    <row r="288" spans="1:16" x14ac:dyDescent="0.25">
      <c r="A288" s="130">
        <v>12</v>
      </c>
      <c r="B288" s="61" t="s">
        <v>636</v>
      </c>
      <c r="C288" s="43">
        <v>3000</v>
      </c>
      <c r="D288" s="61">
        <v>239.2</v>
      </c>
      <c r="E288" s="43">
        <v>0</v>
      </c>
      <c r="F288" s="104"/>
      <c r="G288" s="57">
        <f t="shared" si="62"/>
        <v>0</v>
      </c>
      <c r="H288" s="43">
        <f>1200-1200</f>
        <v>0</v>
      </c>
      <c r="I288" s="57">
        <f t="shared" si="63"/>
        <v>0</v>
      </c>
      <c r="J288" s="57">
        <f t="shared" si="64"/>
        <v>0</v>
      </c>
      <c r="K288" s="58">
        <f t="shared" si="65"/>
        <v>0</v>
      </c>
      <c r="L288" s="326"/>
      <c r="M288" s="274">
        <f>+I288-1200</f>
        <v>-1200</v>
      </c>
      <c r="N288" s="53">
        <v>1200</v>
      </c>
    </row>
    <row r="289" spans="1:18" x14ac:dyDescent="0.25">
      <c r="A289" s="130">
        <v>13</v>
      </c>
      <c r="B289" s="80" t="s">
        <v>637</v>
      </c>
      <c r="C289" s="43">
        <v>9000</v>
      </c>
      <c r="D289" s="61">
        <v>529.14</v>
      </c>
      <c r="E289" s="43">
        <v>0</v>
      </c>
      <c r="F289" s="60"/>
      <c r="G289" s="57">
        <f t="shared" si="62"/>
        <v>0</v>
      </c>
      <c r="H289" s="43">
        <f>600-600</f>
        <v>0</v>
      </c>
      <c r="I289" s="57">
        <f t="shared" si="63"/>
        <v>0</v>
      </c>
      <c r="J289" s="57">
        <f t="shared" si="64"/>
        <v>0</v>
      </c>
      <c r="K289" s="58">
        <f t="shared" si="65"/>
        <v>0</v>
      </c>
      <c r="L289" s="326"/>
      <c r="M289" s="274" t="s">
        <v>861</v>
      </c>
      <c r="N289" s="53">
        <v>600</v>
      </c>
    </row>
    <row r="290" spans="1:18" ht="15.75" thickBot="1" x14ac:dyDescent="0.3">
      <c r="A290" s="130">
        <v>14</v>
      </c>
      <c r="B290" s="124" t="s">
        <v>642</v>
      </c>
      <c r="C290" s="125">
        <v>6000</v>
      </c>
      <c r="D290" s="124">
        <v>296</v>
      </c>
      <c r="E290" s="125">
        <v>0</v>
      </c>
      <c r="F290" s="124"/>
      <c r="G290" s="111">
        <f t="shared" si="62"/>
        <v>0</v>
      </c>
      <c r="H290" s="125">
        <f>1700-1700</f>
        <v>0</v>
      </c>
      <c r="I290" s="111">
        <f t="shared" si="63"/>
        <v>0</v>
      </c>
      <c r="J290" s="111">
        <f t="shared" si="64"/>
        <v>0</v>
      </c>
      <c r="K290" s="112">
        <f t="shared" si="65"/>
        <v>0</v>
      </c>
      <c r="L290" s="355"/>
      <c r="M290" s="277">
        <f>+I290-1700</f>
        <v>-1700</v>
      </c>
      <c r="N290" s="53">
        <v>1700</v>
      </c>
    </row>
    <row r="291" spans="1:18" ht="15.75" thickBot="1" x14ac:dyDescent="0.3">
      <c r="A291" s="37"/>
      <c r="B291" s="41" t="s">
        <v>688</v>
      </c>
      <c r="C291" s="36"/>
      <c r="D291" s="36"/>
      <c r="E291" s="35">
        <f t="shared" ref="E291:K291" si="66">SUM(E277:E290)</f>
        <v>11229</v>
      </c>
      <c r="F291" s="35">
        <f t="shared" si="66"/>
        <v>0</v>
      </c>
      <c r="G291" s="35">
        <f t="shared" si="66"/>
        <v>11229</v>
      </c>
      <c r="H291" s="35">
        <f t="shared" si="66"/>
        <v>0</v>
      </c>
      <c r="I291" s="35">
        <f t="shared" si="66"/>
        <v>11229</v>
      </c>
      <c r="J291" s="35">
        <f t="shared" si="66"/>
        <v>179664000</v>
      </c>
      <c r="K291" s="67">
        <f t="shared" si="66"/>
        <v>3319067.82</v>
      </c>
      <c r="L291" s="353"/>
    </row>
    <row r="292" spans="1:18" ht="15.75" thickBot="1" x14ac:dyDescent="0.3">
      <c r="E292" s="26"/>
      <c r="F292" s="26"/>
      <c r="G292" s="26"/>
      <c r="H292" s="26"/>
      <c r="I292" s="26"/>
      <c r="J292" s="26"/>
      <c r="K292" s="52"/>
      <c r="L292" s="52"/>
    </row>
    <row r="293" spans="1:18" ht="15.75" thickBot="1" x14ac:dyDescent="0.3">
      <c r="A293" s="365" t="s">
        <v>657</v>
      </c>
      <c r="B293" s="372" t="s">
        <v>0</v>
      </c>
      <c r="C293" s="372" t="s">
        <v>1</v>
      </c>
      <c r="D293" s="373" t="s">
        <v>649</v>
      </c>
      <c r="E293" s="374" t="s">
        <v>19</v>
      </c>
      <c r="F293" s="374"/>
      <c r="G293" s="374"/>
      <c r="H293" s="374"/>
      <c r="I293" s="374"/>
      <c r="J293" s="368" t="s">
        <v>21</v>
      </c>
      <c r="K293" s="370" t="s">
        <v>602</v>
      </c>
      <c r="L293" s="349"/>
    </row>
    <row r="294" spans="1:18" ht="30.75" thickBot="1" x14ac:dyDescent="0.3">
      <c r="A294" s="366"/>
      <c r="B294" s="372"/>
      <c r="C294" s="372"/>
      <c r="D294" s="373"/>
      <c r="E294" s="69" t="s">
        <v>22</v>
      </c>
      <c r="F294" s="69" t="s">
        <v>600</v>
      </c>
      <c r="G294" s="69" t="s">
        <v>601</v>
      </c>
      <c r="H294" s="69" t="s">
        <v>589</v>
      </c>
      <c r="I294" s="69" t="s">
        <v>601</v>
      </c>
      <c r="J294" s="369"/>
      <c r="K294" s="371"/>
      <c r="L294" s="349"/>
    </row>
    <row r="295" spans="1:18" ht="15.75" thickBot="1" x14ac:dyDescent="0.3">
      <c r="A295" s="367"/>
      <c r="B295" s="212">
        <v>1</v>
      </c>
      <c r="C295" s="212">
        <v>2</v>
      </c>
      <c r="D295" s="212">
        <v>3</v>
      </c>
      <c r="E295" s="71">
        <v>4</v>
      </c>
      <c r="F295" s="71">
        <f>+E295+1</f>
        <v>5</v>
      </c>
      <c r="G295" s="71" t="s">
        <v>652</v>
      </c>
      <c r="H295" s="71">
        <v>7</v>
      </c>
      <c r="I295" s="72" t="s">
        <v>651</v>
      </c>
      <c r="J295" s="42" t="s">
        <v>650</v>
      </c>
      <c r="K295" s="42" t="s">
        <v>653</v>
      </c>
      <c r="L295" s="350"/>
    </row>
    <row r="296" spans="1:18" x14ac:dyDescent="0.25">
      <c r="A296" s="73"/>
      <c r="B296" s="73" t="s">
        <v>729</v>
      </c>
      <c r="C296" s="55"/>
      <c r="D296" s="55"/>
      <c r="E296" s="55"/>
      <c r="F296" s="55"/>
      <c r="G296" s="55"/>
      <c r="H296" s="55"/>
      <c r="I296" s="55"/>
      <c r="J296" s="55"/>
      <c r="K296" s="55"/>
      <c r="L296" s="135"/>
    </row>
    <row r="297" spans="1:18" x14ac:dyDescent="0.25">
      <c r="A297" s="130">
        <v>1</v>
      </c>
      <c r="B297" s="216" t="s">
        <v>783</v>
      </c>
      <c r="C297" s="43">
        <f>3000*4</f>
        <v>12000</v>
      </c>
      <c r="D297" s="240">
        <v>639.08000000000004</v>
      </c>
      <c r="E297" s="43">
        <v>0</v>
      </c>
      <c r="F297" s="60"/>
      <c r="G297" s="57">
        <f t="shared" ref="G297:G303" si="67">+E297+F297</f>
        <v>0</v>
      </c>
      <c r="H297" s="43">
        <f>2000-2000+625-625</f>
        <v>0</v>
      </c>
      <c r="I297" s="57">
        <f t="shared" ref="I297:I303" si="68">+G297-H297</f>
        <v>0</v>
      </c>
      <c r="J297" s="57">
        <f t="shared" ref="J297:J303" si="69">I297*C297</f>
        <v>0</v>
      </c>
      <c r="K297" s="58">
        <f t="shared" ref="K297:K303" si="70">+D297*I297</f>
        <v>0</v>
      </c>
      <c r="L297" s="326"/>
      <c r="M297" s="274">
        <f>+I297-625</f>
        <v>-625</v>
      </c>
      <c r="N297" s="53" t="s">
        <v>957</v>
      </c>
    </row>
    <row r="298" spans="1:18" x14ac:dyDescent="0.25">
      <c r="A298" s="130">
        <v>2</v>
      </c>
      <c r="B298" s="216" t="s">
        <v>784</v>
      </c>
      <c r="C298" s="43">
        <f>3000*3</f>
        <v>9000</v>
      </c>
      <c r="D298" s="240">
        <v>446.7</v>
      </c>
      <c r="E298" s="43">
        <v>0</v>
      </c>
      <c r="F298" s="60"/>
      <c r="G298" s="57">
        <f t="shared" si="67"/>
        <v>0</v>
      </c>
      <c r="H298" s="43">
        <f>3200+40-3240+860-860</f>
        <v>0</v>
      </c>
      <c r="I298" s="57">
        <f t="shared" si="68"/>
        <v>0</v>
      </c>
      <c r="J298" s="57">
        <f t="shared" si="69"/>
        <v>0</v>
      </c>
      <c r="K298" s="58">
        <f t="shared" si="70"/>
        <v>0</v>
      </c>
      <c r="L298" s="326"/>
      <c r="M298" s="274"/>
      <c r="N298" s="53" t="s">
        <v>954</v>
      </c>
    </row>
    <row r="299" spans="1:18" x14ac:dyDescent="0.25">
      <c r="A299" s="130">
        <v>3</v>
      </c>
      <c r="B299" s="216" t="s">
        <v>795</v>
      </c>
      <c r="C299" s="43">
        <v>9000</v>
      </c>
      <c r="D299" s="240">
        <v>446.7</v>
      </c>
      <c r="E299" s="43">
        <v>0</v>
      </c>
      <c r="F299" s="60">
        <f>188000-188000</f>
        <v>0</v>
      </c>
      <c r="G299" s="57">
        <f t="shared" si="67"/>
        <v>0</v>
      </c>
      <c r="H299" s="43">
        <f>776-776</f>
        <v>0</v>
      </c>
      <c r="I299" s="57">
        <f t="shared" si="68"/>
        <v>0</v>
      </c>
      <c r="J299" s="57">
        <f t="shared" si="69"/>
        <v>0</v>
      </c>
      <c r="K299" s="58">
        <f t="shared" si="70"/>
        <v>0</v>
      </c>
      <c r="L299" s="326"/>
      <c r="M299" s="287"/>
      <c r="N299" s="53" t="s">
        <v>962</v>
      </c>
      <c r="O299" s="257"/>
      <c r="P299" s="251"/>
      <c r="Q299" s="257"/>
      <c r="R299" s="257"/>
    </row>
    <row r="300" spans="1:18" x14ac:dyDescent="0.25">
      <c r="A300" s="130">
        <v>4</v>
      </c>
      <c r="B300" s="216" t="s">
        <v>840</v>
      </c>
      <c r="C300" s="43">
        <v>12000</v>
      </c>
      <c r="D300" s="293">
        <f>175.72*4</f>
        <v>702.88</v>
      </c>
      <c r="E300" s="43">
        <v>0</v>
      </c>
      <c r="F300" s="60">
        <f>150000-150000</f>
        <v>0</v>
      </c>
      <c r="G300" s="57">
        <f t="shared" si="67"/>
        <v>0</v>
      </c>
      <c r="H300" s="43">
        <f>59800/4-14950+3050-3050</f>
        <v>0</v>
      </c>
      <c r="I300" s="57">
        <f t="shared" si="68"/>
        <v>0</v>
      </c>
      <c r="J300" s="57">
        <f t="shared" si="69"/>
        <v>0</v>
      </c>
      <c r="K300" s="58">
        <f t="shared" si="70"/>
        <v>0</v>
      </c>
      <c r="L300" s="351"/>
      <c r="M300" t="s">
        <v>922</v>
      </c>
      <c r="O300" s="285">
        <f>59200/4</f>
        <v>14800</v>
      </c>
      <c r="P300" s="302">
        <f>14800*4</f>
        <v>59200</v>
      </c>
    </row>
    <row r="301" spans="1:18" x14ac:dyDescent="0.25">
      <c r="A301" s="130">
        <v>5</v>
      </c>
      <c r="B301" s="61" t="s">
        <v>906</v>
      </c>
      <c r="C301" s="43">
        <v>24000</v>
      </c>
      <c r="D301" s="240">
        <v>928.26</v>
      </c>
      <c r="E301" s="43">
        <v>0</v>
      </c>
      <c r="F301" s="60">
        <f>4000+4000-8000</f>
        <v>0</v>
      </c>
      <c r="G301" s="57">
        <f t="shared" si="67"/>
        <v>0</v>
      </c>
      <c r="H301" s="43">
        <f>1000+16000+80-17080+139720-139720+4000+4000-8000</f>
        <v>0</v>
      </c>
      <c r="I301" s="57">
        <f t="shared" si="68"/>
        <v>0</v>
      </c>
      <c r="J301" s="57">
        <f t="shared" si="69"/>
        <v>0</v>
      </c>
      <c r="K301" s="58">
        <f t="shared" si="70"/>
        <v>0</v>
      </c>
      <c r="L301" s="351"/>
      <c r="M301" s="53" t="s">
        <v>857</v>
      </c>
      <c r="N301" s="53" t="s">
        <v>882</v>
      </c>
      <c r="O301" s="285"/>
      <c r="P301" s="303">
        <f>139720*6</f>
        <v>838320</v>
      </c>
    </row>
    <row r="302" spans="1:18" x14ac:dyDescent="0.25">
      <c r="A302" s="130">
        <v>6</v>
      </c>
      <c r="B302" s="61"/>
      <c r="C302" s="43">
        <v>0</v>
      </c>
      <c r="D302" s="240"/>
      <c r="E302" s="43">
        <v>0</v>
      </c>
      <c r="F302" s="60"/>
      <c r="G302" s="57">
        <f t="shared" si="67"/>
        <v>0</v>
      </c>
      <c r="H302" s="43"/>
      <c r="I302" s="57">
        <f t="shared" si="68"/>
        <v>0</v>
      </c>
      <c r="J302" s="57">
        <f t="shared" si="69"/>
        <v>0</v>
      </c>
      <c r="K302" s="58">
        <f t="shared" si="70"/>
        <v>0</v>
      </c>
      <c r="L302" s="351"/>
    </row>
    <row r="303" spans="1:18" ht="15.75" thickBot="1" x14ac:dyDescent="0.3">
      <c r="A303" s="130"/>
      <c r="B303" s="124"/>
      <c r="C303" s="125"/>
      <c r="D303" s="124"/>
      <c r="E303" s="125">
        <v>0</v>
      </c>
      <c r="F303" s="121"/>
      <c r="G303" s="111">
        <f t="shared" si="67"/>
        <v>0</v>
      </c>
      <c r="H303" s="125">
        <v>0</v>
      </c>
      <c r="I303" s="111">
        <f t="shared" si="68"/>
        <v>0</v>
      </c>
      <c r="J303" s="111">
        <f t="shared" si="69"/>
        <v>0</v>
      </c>
      <c r="K303" s="112">
        <f t="shared" si="70"/>
        <v>0</v>
      </c>
      <c r="L303" s="351"/>
    </row>
    <row r="304" spans="1:18" ht="15.75" thickBot="1" x14ac:dyDescent="0.3">
      <c r="A304" s="37"/>
      <c r="B304" s="41" t="s">
        <v>730</v>
      </c>
      <c r="C304" s="36"/>
      <c r="D304" s="36"/>
      <c r="E304" s="35">
        <f t="shared" ref="E304:K304" si="71">SUM(E297:E303)</f>
        <v>0</v>
      </c>
      <c r="F304" s="35">
        <f t="shared" si="71"/>
        <v>0</v>
      </c>
      <c r="G304" s="35">
        <f t="shared" si="71"/>
        <v>0</v>
      </c>
      <c r="H304" s="35">
        <f t="shared" si="71"/>
        <v>0</v>
      </c>
      <c r="I304" s="35">
        <f t="shared" si="71"/>
        <v>0</v>
      </c>
      <c r="J304" s="35">
        <f t="shared" si="71"/>
        <v>0</v>
      </c>
      <c r="K304" s="67">
        <f t="shared" si="71"/>
        <v>0</v>
      </c>
      <c r="L304" s="353"/>
    </row>
    <row r="305" spans="1:20" ht="15.75" thickBot="1" x14ac:dyDescent="0.3">
      <c r="E305" s="26"/>
      <c r="F305" s="26"/>
      <c r="G305" s="26"/>
      <c r="H305" s="26"/>
      <c r="I305" s="26"/>
      <c r="J305" s="26"/>
      <c r="K305" s="52"/>
      <c r="L305" s="52"/>
    </row>
    <row r="306" spans="1:20" ht="15.75" thickBot="1" x14ac:dyDescent="0.3">
      <c r="A306" s="365" t="s">
        <v>657</v>
      </c>
      <c r="B306" s="372" t="s">
        <v>0</v>
      </c>
      <c r="C306" s="372" t="s">
        <v>1</v>
      </c>
      <c r="D306" s="373" t="s">
        <v>649</v>
      </c>
      <c r="E306" s="374" t="s">
        <v>19</v>
      </c>
      <c r="F306" s="374"/>
      <c r="G306" s="374"/>
      <c r="H306" s="374"/>
      <c r="I306" s="374"/>
      <c r="J306" s="368" t="s">
        <v>21</v>
      </c>
      <c r="K306" s="370" t="s">
        <v>602</v>
      </c>
      <c r="L306" s="349"/>
    </row>
    <row r="307" spans="1:20" ht="30.75" thickBot="1" x14ac:dyDescent="0.3">
      <c r="A307" s="366"/>
      <c r="B307" s="372"/>
      <c r="C307" s="372"/>
      <c r="D307" s="373"/>
      <c r="E307" s="69" t="s">
        <v>22</v>
      </c>
      <c r="F307" s="69" t="s">
        <v>600</v>
      </c>
      <c r="G307" s="69" t="s">
        <v>601</v>
      </c>
      <c r="H307" s="69" t="s">
        <v>589</v>
      </c>
      <c r="I307" s="69" t="s">
        <v>601</v>
      </c>
      <c r="J307" s="369"/>
      <c r="K307" s="371"/>
      <c r="L307" s="349"/>
    </row>
    <row r="308" spans="1:20" ht="15.75" thickBot="1" x14ac:dyDescent="0.3">
      <c r="A308" s="367"/>
      <c r="B308" s="322">
        <v>1</v>
      </c>
      <c r="C308" s="322">
        <v>2</v>
      </c>
      <c r="D308" s="322">
        <v>3</v>
      </c>
      <c r="E308" s="71">
        <v>4</v>
      </c>
      <c r="F308" s="71">
        <f>+E308+1</f>
        <v>5</v>
      </c>
      <c r="G308" s="71" t="s">
        <v>652</v>
      </c>
      <c r="H308" s="71">
        <v>7</v>
      </c>
      <c r="I308" s="72" t="s">
        <v>651</v>
      </c>
      <c r="J308" s="42" t="s">
        <v>650</v>
      </c>
      <c r="K308" s="42" t="s">
        <v>653</v>
      </c>
      <c r="L308" s="350"/>
    </row>
    <row r="309" spans="1:20" x14ac:dyDescent="0.25">
      <c r="A309" s="73"/>
      <c r="B309" s="73" t="s">
        <v>915</v>
      </c>
      <c r="C309" s="55"/>
      <c r="D309" s="55"/>
      <c r="E309" s="55"/>
      <c r="F309" s="55"/>
      <c r="G309" s="55"/>
      <c r="H309" s="55"/>
      <c r="I309" s="55"/>
      <c r="J309" s="55"/>
      <c r="K309" s="55"/>
      <c r="L309" s="135"/>
      <c r="N309" s="339"/>
      <c r="O309" s="68"/>
      <c r="P309" s="329"/>
      <c r="Q309" s="68"/>
      <c r="R309" s="68"/>
    </row>
    <row r="310" spans="1:20" x14ac:dyDescent="0.25">
      <c r="A310" s="130">
        <v>1</v>
      </c>
      <c r="B310" s="216" t="s">
        <v>924</v>
      </c>
      <c r="C310" s="43">
        <v>9000</v>
      </c>
      <c r="D310" s="240">
        <v>0</v>
      </c>
      <c r="E310" s="43">
        <v>40</v>
      </c>
      <c r="F310" s="60">
        <f>50000*8-400000</f>
        <v>0</v>
      </c>
      <c r="G310" s="57">
        <f t="shared" ref="G310:G323" si="72">+E310+F310</f>
        <v>40</v>
      </c>
      <c r="H310" s="43">
        <f>35200+23200+600-59000+40</f>
        <v>40</v>
      </c>
      <c r="I310" s="57">
        <f t="shared" ref="I310:I323" si="73">+G310-H310</f>
        <v>0</v>
      </c>
      <c r="J310" s="342">
        <f t="shared" ref="J310:J323" si="74">I310*C310</f>
        <v>0</v>
      </c>
      <c r="K310" s="58">
        <f t="shared" ref="K310:K323" si="75">+D310*I310</f>
        <v>0</v>
      </c>
      <c r="L310" s="356"/>
      <c r="M310" s="347" t="s">
        <v>986</v>
      </c>
      <c r="N310" s="68"/>
      <c r="O310" s="329" t="s">
        <v>990</v>
      </c>
      <c r="P310" s="329" t="s">
        <v>991</v>
      </c>
      <c r="Q310" s="242"/>
      <c r="R310" s="242"/>
      <c r="S310" s="242"/>
    </row>
    <row r="311" spans="1:20" x14ac:dyDescent="0.25">
      <c r="A311" s="130">
        <v>2</v>
      </c>
      <c r="B311" s="216" t="s">
        <v>976</v>
      </c>
      <c r="C311" s="43">
        <v>8000</v>
      </c>
      <c r="D311" s="240">
        <v>221.94</v>
      </c>
      <c r="E311" s="43">
        <v>92500</v>
      </c>
      <c r="F311" s="60">
        <f>270000-270000</f>
        <v>0</v>
      </c>
      <c r="G311" s="57">
        <f t="shared" si="72"/>
        <v>92500</v>
      </c>
      <c r="H311" s="43">
        <f>175500+2000-177500+2700+6930+2250+4500+3060</f>
        <v>19440</v>
      </c>
      <c r="I311" s="57">
        <f t="shared" si="73"/>
        <v>73060</v>
      </c>
      <c r="J311" s="57">
        <f t="shared" si="74"/>
        <v>584480000</v>
      </c>
      <c r="K311" s="58">
        <f t="shared" si="75"/>
        <v>16214936.4</v>
      </c>
      <c r="L311" s="358" t="s">
        <v>1003</v>
      </c>
      <c r="M311" s="347" t="s">
        <v>986</v>
      </c>
      <c r="N311" s="68"/>
      <c r="O311" s="329" t="s">
        <v>990</v>
      </c>
      <c r="P311" s="68">
        <v>2700</v>
      </c>
      <c r="Q311" s="68">
        <v>6930</v>
      </c>
      <c r="R311" s="68">
        <v>2250</v>
      </c>
      <c r="S311" s="242">
        <v>4500</v>
      </c>
      <c r="T311" s="242">
        <v>3060</v>
      </c>
    </row>
    <row r="312" spans="1:20" x14ac:dyDescent="0.25">
      <c r="A312" s="130">
        <v>3</v>
      </c>
      <c r="B312" s="216" t="s">
        <v>977</v>
      </c>
      <c r="C312" s="43">
        <v>3000</v>
      </c>
      <c r="D312" s="240">
        <v>376.9</v>
      </c>
      <c r="E312" s="43">
        <v>736000</v>
      </c>
      <c r="F312" s="60">
        <f>10000+40000+220000+720000+10000-1000000</f>
        <v>0</v>
      </c>
      <c r="G312" s="57">
        <f t="shared" si="72"/>
        <v>736000</v>
      </c>
      <c r="H312" s="43">
        <f>200000+60000+2000+2000-264000+255800+26400+63000+84000+30000+3000</f>
        <v>462200</v>
      </c>
      <c r="I312" s="57">
        <f t="shared" si="73"/>
        <v>273800</v>
      </c>
      <c r="J312" s="57">
        <f t="shared" si="74"/>
        <v>821400000</v>
      </c>
      <c r="K312" s="58">
        <f t="shared" si="75"/>
        <v>103195220</v>
      </c>
      <c r="L312" s="358" t="s">
        <v>1047</v>
      </c>
      <c r="M312" s="338" t="s">
        <v>989</v>
      </c>
      <c r="N312" s="68">
        <v>255800</v>
      </c>
      <c r="O312" s="242">
        <v>26400</v>
      </c>
      <c r="P312" s="330">
        <v>63000</v>
      </c>
      <c r="Q312" s="343">
        <v>84000</v>
      </c>
      <c r="R312" s="242">
        <v>30000</v>
      </c>
      <c r="S312" s="242"/>
      <c r="T312" s="242">
        <v>3000</v>
      </c>
    </row>
    <row r="313" spans="1:20" x14ac:dyDescent="0.25">
      <c r="A313" s="130">
        <v>4</v>
      </c>
      <c r="B313" s="216" t="s">
        <v>993</v>
      </c>
      <c r="C313" s="43">
        <v>10000</v>
      </c>
      <c r="D313" s="240">
        <v>0</v>
      </c>
      <c r="E313" s="43">
        <v>0</v>
      </c>
      <c r="F313" s="60">
        <v>80000</v>
      </c>
      <c r="G313" s="57">
        <f t="shared" si="72"/>
        <v>80000</v>
      </c>
      <c r="H313" s="43">
        <f>13000+3000+9600+29400+8000+4800+4000</f>
        <v>71800</v>
      </c>
      <c r="I313" s="57">
        <f t="shared" si="73"/>
        <v>8200</v>
      </c>
      <c r="J313" s="57">
        <f t="shared" si="74"/>
        <v>82000000</v>
      </c>
      <c r="K313" s="58">
        <f t="shared" si="75"/>
        <v>0</v>
      </c>
      <c r="L313" s="358" t="s">
        <v>1049</v>
      </c>
      <c r="M313" s="53">
        <v>13000</v>
      </c>
      <c r="N313" s="329" t="s">
        <v>994</v>
      </c>
      <c r="O313" s="331" t="s">
        <v>990</v>
      </c>
      <c r="P313" s="330">
        <v>9600</v>
      </c>
      <c r="Q313" s="68">
        <v>29400</v>
      </c>
      <c r="R313" s="242">
        <v>8000</v>
      </c>
      <c r="S313" s="242">
        <v>4800</v>
      </c>
      <c r="T313" s="242">
        <v>4000</v>
      </c>
    </row>
    <row r="314" spans="1:20" x14ac:dyDescent="0.25">
      <c r="A314" s="130">
        <v>5</v>
      </c>
      <c r="B314" s="216" t="s">
        <v>998</v>
      </c>
      <c r="C314" s="43">
        <v>8000</v>
      </c>
      <c r="D314" s="240">
        <v>0</v>
      </c>
      <c r="E314" s="43">
        <v>0</v>
      </c>
      <c r="F314" s="60">
        <f>295000+5000</f>
        <v>300000</v>
      </c>
      <c r="G314" s="57">
        <f t="shared" si="72"/>
        <v>300000</v>
      </c>
      <c r="H314" s="43">
        <f>17000+3000+71000</f>
        <v>91000</v>
      </c>
      <c r="I314" s="57">
        <f t="shared" si="73"/>
        <v>209000</v>
      </c>
      <c r="J314" s="57">
        <f t="shared" si="74"/>
        <v>1672000000</v>
      </c>
      <c r="K314" s="58">
        <f t="shared" si="75"/>
        <v>0</v>
      </c>
      <c r="L314" s="358" t="s">
        <v>1048</v>
      </c>
      <c r="M314" s="53">
        <v>17000</v>
      </c>
      <c r="N314" s="329" t="s">
        <v>994</v>
      </c>
      <c r="O314" s="331">
        <v>71000</v>
      </c>
      <c r="P314" s="242"/>
      <c r="Q314" s="68"/>
      <c r="R314" s="68"/>
    </row>
    <row r="315" spans="1:20" x14ac:dyDescent="0.25">
      <c r="A315" s="130">
        <v>6</v>
      </c>
      <c r="B315" s="61"/>
      <c r="C315" s="43">
        <v>0</v>
      </c>
      <c r="D315" s="240">
        <v>0</v>
      </c>
      <c r="E315" s="43">
        <v>0</v>
      </c>
      <c r="F315" s="60"/>
      <c r="G315" s="57">
        <f t="shared" si="72"/>
        <v>0</v>
      </c>
      <c r="H315" s="43"/>
      <c r="I315" s="57">
        <f t="shared" si="73"/>
        <v>0</v>
      </c>
      <c r="J315" s="57">
        <f t="shared" si="74"/>
        <v>0</v>
      </c>
      <c r="K315" s="58">
        <f t="shared" si="75"/>
        <v>0</v>
      </c>
      <c r="L315" s="351"/>
    </row>
    <row r="316" spans="1:20" x14ac:dyDescent="0.25">
      <c r="A316" s="130">
        <v>7</v>
      </c>
      <c r="B316" s="61"/>
      <c r="C316" s="43">
        <v>0</v>
      </c>
      <c r="D316" s="240">
        <v>0</v>
      </c>
      <c r="E316" s="43">
        <v>0</v>
      </c>
      <c r="F316" s="60"/>
      <c r="G316" s="57">
        <f t="shared" si="72"/>
        <v>0</v>
      </c>
      <c r="H316" s="43"/>
      <c r="I316" s="57">
        <f t="shared" si="73"/>
        <v>0</v>
      </c>
      <c r="J316" s="57">
        <f t="shared" si="74"/>
        <v>0</v>
      </c>
      <c r="K316" s="58">
        <f t="shared" si="75"/>
        <v>0</v>
      </c>
      <c r="L316" s="351"/>
    </row>
    <row r="317" spans="1:20" x14ac:dyDescent="0.25">
      <c r="A317" s="130">
        <v>8</v>
      </c>
      <c r="B317" s="80"/>
      <c r="C317" s="43"/>
      <c r="D317" s="61"/>
      <c r="E317" s="43">
        <v>0</v>
      </c>
      <c r="F317" s="60"/>
      <c r="G317" s="57">
        <f t="shared" si="72"/>
        <v>0</v>
      </c>
      <c r="H317" s="43"/>
      <c r="I317" s="57">
        <f t="shared" si="73"/>
        <v>0</v>
      </c>
      <c r="J317" s="57">
        <f t="shared" si="74"/>
        <v>0</v>
      </c>
      <c r="K317" s="58">
        <f t="shared" si="75"/>
        <v>0</v>
      </c>
      <c r="L317" s="351"/>
    </row>
    <row r="318" spans="1:20" x14ac:dyDescent="0.25">
      <c r="A318" s="130">
        <v>9</v>
      </c>
      <c r="B318" s="61"/>
      <c r="C318" s="43"/>
      <c r="D318" s="61"/>
      <c r="E318" s="43">
        <v>0</v>
      </c>
      <c r="F318" s="60"/>
      <c r="G318" s="57">
        <f t="shared" si="72"/>
        <v>0</v>
      </c>
      <c r="H318" s="43"/>
      <c r="I318" s="57">
        <f t="shared" si="73"/>
        <v>0</v>
      </c>
      <c r="J318" s="57">
        <f t="shared" si="74"/>
        <v>0</v>
      </c>
      <c r="K318" s="58">
        <f t="shared" si="75"/>
        <v>0</v>
      </c>
      <c r="L318" s="351"/>
    </row>
    <row r="319" spans="1:20" x14ac:dyDescent="0.25">
      <c r="A319" s="130">
        <v>10</v>
      </c>
      <c r="B319" s="61"/>
      <c r="C319" s="43"/>
      <c r="D319" s="61"/>
      <c r="E319" s="43">
        <v>0</v>
      </c>
      <c r="F319" s="60"/>
      <c r="G319" s="57">
        <f t="shared" si="72"/>
        <v>0</v>
      </c>
      <c r="H319" s="43">
        <v>0</v>
      </c>
      <c r="I319" s="57">
        <f t="shared" si="73"/>
        <v>0</v>
      </c>
      <c r="J319" s="57">
        <f t="shared" si="74"/>
        <v>0</v>
      </c>
      <c r="K319" s="58">
        <f t="shared" si="75"/>
        <v>0</v>
      </c>
      <c r="L319" s="351"/>
    </row>
    <row r="320" spans="1:20" x14ac:dyDescent="0.25">
      <c r="A320" s="130">
        <v>11</v>
      </c>
      <c r="B320" s="61"/>
      <c r="C320" s="43"/>
      <c r="D320" s="61"/>
      <c r="E320" s="43">
        <v>0</v>
      </c>
      <c r="F320" s="60"/>
      <c r="G320" s="57">
        <f t="shared" si="72"/>
        <v>0</v>
      </c>
      <c r="H320" s="43"/>
      <c r="I320" s="57">
        <f t="shared" si="73"/>
        <v>0</v>
      </c>
      <c r="J320" s="57">
        <f t="shared" si="74"/>
        <v>0</v>
      </c>
      <c r="K320" s="58">
        <f t="shared" si="75"/>
        <v>0</v>
      </c>
      <c r="L320" s="351"/>
    </row>
    <row r="321" spans="1:16" x14ac:dyDescent="0.25">
      <c r="A321" s="130">
        <v>12</v>
      </c>
      <c r="B321" s="61"/>
      <c r="C321" s="43"/>
      <c r="D321" s="61"/>
      <c r="E321" s="43">
        <v>0</v>
      </c>
      <c r="F321" s="60"/>
      <c r="G321" s="57">
        <f t="shared" si="72"/>
        <v>0</v>
      </c>
      <c r="H321" s="43"/>
      <c r="I321" s="57">
        <f t="shared" si="73"/>
        <v>0</v>
      </c>
      <c r="J321" s="57">
        <f t="shared" si="74"/>
        <v>0</v>
      </c>
      <c r="K321" s="58">
        <f t="shared" si="75"/>
        <v>0</v>
      </c>
      <c r="L321" s="351"/>
    </row>
    <row r="322" spans="1:16" x14ac:dyDescent="0.25">
      <c r="A322" s="130">
        <v>13</v>
      </c>
      <c r="B322" s="80"/>
      <c r="C322" s="43"/>
      <c r="D322" s="61"/>
      <c r="E322" s="43">
        <v>0</v>
      </c>
      <c r="F322" s="60"/>
      <c r="G322" s="57">
        <f t="shared" si="72"/>
        <v>0</v>
      </c>
      <c r="H322" s="43">
        <v>0</v>
      </c>
      <c r="I322" s="57">
        <f t="shared" si="73"/>
        <v>0</v>
      </c>
      <c r="J322" s="57">
        <f t="shared" si="74"/>
        <v>0</v>
      </c>
      <c r="K322" s="58">
        <f t="shared" si="75"/>
        <v>0</v>
      </c>
      <c r="L322" s="351"/>
    </row>
    <row r="323" spans="1:16" ht="15.75" thickBot="1" x14ac:dyDescent="0.3">
      <c r="A323" s="130">
        <v>14</v>
      </c>
      <c r="B323" s="124"/>
      <c r="C323" s="125"/>
      <c r="D323" s="124"/>
      <c r="E323" s="125">
        <v>0</v>
      </c>
      <c r="F323" s="121"/>
      <c r="G323" s="111">
        <f t="shared" si="72"/>
        <v>0</v>
      </c>
      <c r="H323" s="125">
        <v>0</v>
      </c>
      <c r="I323" s="111">
        <f t="shared" si="73"/>
        <v>0</v>
      </c>
      <c r="J323" s="111">
        <f t="shared" si="74"/>
        <v>0</v>
      </c>
      <c r="K323" s="112">
        <f t="shared" si="75"/>
        <v>0</v>
      </c>
      <c r="L323" s="351"/>
    </row>
    <row r="324" spans="1:16" ht="15.75" thickBot="1" x14ac:dyDescent="0.3">
      <c r="A324" s="37"/>
      <c r="B324" s="41" t="s">
        <v>916</v>
      </c>
      <c r="C324" s="36"/>
      <c r="D324" s="36"/>
      <c r="E324" s="35">
        <f>SUM(E310:E323)</f>
        <v>828540</v>
      </c>
      <c r="F324" s="35">
        <f t="shared" ref="F324:J324" si="76">SUM(F310:F323)</f>
        <v>380000</v>
      </c>
      <c r="G324" s="35">
        <f t="shared" si="76"/>
        <v>1208540</v>
      </c>
      <c r="H324" s="35">
        <f t="shared" si="76"/>
        <v>644480</v>
      </c>
      <c r="I324" s="35">
        <f t="shared" si="76"/>
        <v>564060</v>
      </c>
      <c r="J324" s="35">
        <f t="shared" si="76"/>
        <v>3159880000</v>
      </c>
      <c r="K324" s="67">
        <f>SUM(K310:K323)</f>
        <v>119410156.40000001</v>
      </c>
      <c r="L324" s="353"/>
    </row>
    <row r="325" spans="1:16" x14ac:dyDescent="0.25">
      <c r="E325" s="26"/>
      <c r="F325" s="26"/>
      <c r="G325" s="26"/>
      <c r="H325" s="26"/>
      <c r="I325" s="26"/>
      <c r="J325" s="26"/>
      <c r="K325" s="52"/>
      <c r="L325" s="52"/>
    </row>
    <row r="326" spans="1:16" ht="15.75" thickBot="1" x14ac:dyDescent="0.3">
      <c r="A326" s="105" t="s">
        <v>655</v>
      </c>
    </row>
    <row r="327" spans="1:16" s="68" customFormat="1" ht="15.75" thickBot="1" x14ac:dyDescent="0.3">
      <c r="A327" s="131"/>
      <c r="B327" s="122" t="s">
        <v>921</v>
      </c>
      <c r="C327" s="36"/>
      <c r="D327" s="36"/>
      <c r="E327" s="62">
        <f>+E44+E62+E81+E102+E124+E160+E172+E187+E211+E231+E251+E271+E291+E304+E324</f>
        <v>1026731</v>
      </c>
      <c r="F327" s="62">
        <f t="shared" ref="F327:J327" si="77">+F44+F62+F81+F102+F124+F160+F172+F187+F211+F231+F251+F271+F291+F304+F324</f>
        <v>380000</v>
      </c>
      <c r="G327" s="62">
        <f t="shared" si="77"/>
        <v>1406731</v>
      </c>
      <c r="H327" s="62">
        <f t="shared" si="77"/>
        <v>696550</v>
      </c>
      <c r="I327" s="62">
        <f t="shared" si="77"/>
        <v>710181</v>
      </c>
      <c r="J327" s="62">
        <f t="shared" si="77"/>
        <v>4288404000</v>
      </c>
      <c r="K327" s="215">
        <f>+K44+K62+K81+K102+K124+K160+K172+K187+K211+K231+K251+K271+K291+K304+K324</f>
        <v>149379211.86000001</v>
      </c>
      <c r="L327" s="357"/>
      <c r="N327" s="68">
        <v>1026731</v>
      </c>
      <c r="O327" s="68">
        <v>4793911000</v>
      </c>
      <c r="P327" s="68">
        <v>86242050.459999993</v>
      </c>
    </row>
    <row r="328" spans="1:16" x14ac:dyDescent="0.25">
      <c r="N328" s="237">
        <f>+N327-I327</f>
        <v>316550</v>
      </c>
      <c r="O328" s="237">
        <f>+O327-J327</f>
        <v>505507000</v>
      </c>
      <c r="P328" s="238">
        <f>+P327-K327</f>
        <v>-63137161.400000021</v>
      </c>
    </row>
    <row r="329" spans="1:16" x14ac:dyDescent="0.25">
      <c r="E329" s="45"/>
      <c r="F329" s="45"/>
      <c r="G329" s="170"/>
      <c r="H329" s="45"/>
      <c r="I329" s="45"/>
      <c r="J329" s="45"/>
      <c r="K329" s="45"/>
      <c r="L329" s="45"/>
      <c r="M329" s="53">
        <v>8</v>
      </c>
    </row>
  </sheetData>
  <mergeCells count="105">
    <mergeCell ref="J306:J307"/>
    <mergeCell ref="K306:K307"/>
    <mergeCell ref="A306:A308"/>
    <mergeCell ref="B306:B307"/>
    <mergeCell ref="C306:C307"/>
    <mergeCell ref="D306:D307"/>
    <mergeCell ref="E306:I306"/>
    <mergeCell ref="J3:J4"/>
    <mergeCell ref="K3:K4"/>
    <mergeCell ref="B46:B47"/>
    <mergeCell ref="C46:C47"/>
    <mergeCell ref="D46:D47"/>
    <mergeCell ref="J46:J47"/>
    <mergeCell ref="K46:K47"/>
    <mergeCell ref="E3:I3"/>
    <mergeCell ref="E46:I46"/>
    <mergeCell ref="B3:B4"/>
    <mergeCell ref="C3:C4"/>
    <mergeCell ref="D3:D4"/>
    <mergeCell ref="J64:J65"/>
    <mergeCell ref="K64:K65"/>
    <mergeCell ref="B83:B84"/>
    <mergeCell ref="C83:C84"/>
    <mergeCell ref="D83:D84"/>
    <mergeCell ref="J83:J84"/>
    <mergeCell ref="K83:K84"/>
    <mergeCell ref="E64:I64"/>
    <mergeCell ref="B64:B65"/>
    <mergeCell ref="C64:C65"/>
    <mergeCell ref="D64:D65"/>
    <mergeCell ref="E83:I83"/>
    <mergeCell ref="J104:J105"/>
    <mergeCell ref="K104:K105"/>
    <mergeCell ref="B126:B127"/>
    <mergeCell ref="C126:C127"/>
    <mergeCell ref="D126:D127"/>
    <mergeCell ref="J126:J127"/>
    <mergeCell ref="K126:K127"/>
    <mergeCell ref="E104:I104"/>
    <mergeCell ref="B104:B105"/>
    <mergeCell ref="C104:C105"/>
    <mergeCell ref="D104:D105"/>
    <mergeCell ref="E126:I126"/>
    <mergeCell ref="J162:J163"/>
    <mergeCell ref="K162:K163"/>
    <mergeCell ref="B174:B175"/>
    <mergeCell ref="C174:C175"/>
    <mergeCell ref="D174:D175"/>
    <mergeCell ref="J174:J175"/>
    <mergeCell ref="K174:K175"/>
    <mergeCell ref="E162:I162"/>
    <mergeCell ref="B162:B163"/>
    <mergeCell ref="C162:C163"/>
    <mergeCell ref="D162:D163"/>
    <mergeCell ref="E174:I174"/>
    <mergeCell ref="J189:J190"/>
    <mergeCell ref="K189:K190"/>
    <mergeCell ref="B213:B214"/>
    <mergeCell ref="C213:C214"/>
    <mergeCell ref="D213:D214"/>
    <mergeCell ref="J213:J214"/>
    <mergeCell ref="K213:K214"/>
    <mergeCell ref="E189:I189"/>
    <mergeCell ref="B189:B190"/>
    <mergeCell ref="C189:C190"/>
    <mergeCell ref="D189:D190"/>
    <mergeCell ref="E213:I213"/>
    <mergeCell ref="A253:A255"/>
    <mergeCell ref="A273:A275"/>
    <mergeCell ref="D273:D274"/>
    <mergeCell ref="J273:J274"/>
    <mergeCell ref="K273:K274"/>
    <mergeCell ref="J233:J234"/>
    <mergeCell ref="K233:K234"/>
    <mergeCell ref="D253:D254"/>
    <mergeCell ref="J253:J254"/>
    <mergeCell ref="K253:K254"/>
    <mergeCell ref="E273:I273"/>
    <mergeCell ref="E253:I253"/>
    <mergeCell ref="E233:I233"/>
    <mergeCell ref="D233:D234"/>
    <mergeCell ref="A3:A5"/>
    <mergeCell ref="A83:A85"/>
    <mergeCell ref="A104:A106"/>
    <mergeCell ref="A126:A128"/>
    <mergeCell ref="A162:A164"/>
    <mergeCell ref="A46:A48"/>
    <mergeCell ref="A64:A66"/>
    <mergeCell ref="J293:J294"/>
    <mergeCell ref="K293:K294"/>
    <mergeCell ref="A293:A295"/>
    <mergeCell ref="B293:B294"/>
    <mergeCell ref="C293:C294"/>
    <mergeCell ref="D293:D294"/>
    <mergeCell ref="E293:I293"/>
    <mergeCell ref="A174:A176"/>
    <mergeCell ref="A189:A191"/>
    <mergeCell ref="A213:A215"/>
    <mergeCell ref="B273:B274"/>
    <mergeCell ref="C273:C274"/>
    <mergeCell ref="B253:B254"/>
    <mergeCell ref="C253:C254"/>
    <mergeCell ref="B233:B234"/>
    <mergeCell ref="C233:C234"/>
    <mergeCell ref="A233:A235"/>
  </mergeCells>
  <pageMargins left="0" right="0" top="0.19685039370078741" bottom="0" header="0.19685039370078741" footer="0"/>
  <pageSetup paperSize="9" scale="91"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278"/>
  <sheetViews>
    <sheetView topLeftCell="A214" workbookViewId="0">
      <selection activeCell="D258" sqref="D258"/>
    </sheetView>
  </sheetViews>
  <sheetFormatPr defaultRowHeight="15" x14ac:dyDescent="0.25"/>
  <cols>
    <col min="1" max="1" width="4.7109375" style="53" customWidth="1"/>
    <col min="2" max="2" width="29.7109375" style="53" bestFit="1" customWidth="1"/>
    <col min="3" max="3" width="9" style="53" bestFit="1" customWidth="1"/>
    <col min="4" max="4" width="12.5703125" style="53" bestFit="1" customWidth="1"/>
    <col min="5" max="5" width="13.5703125" style="53" customWidth="1"/>
    <col min="6" max="6" width="12.140625" style="53" bestFit="1" customWidth="1"/>
    <col min="7" max="7" width="11.7109375" style="53" customWidth="1"/>
    <col min="8" max="8" width="12.5703125" style="53" bestFit="1" customWidth="1"/>
    <col min="9" max="9" width="11.5703125" style="53" bestFit="1" customWidth="1"/>
    <col min="10" max="10" width="15.140625" style="53" customWidth="1"/>
    <col min="11" max="12" width="15.42578125" style="53" customWidth="1"/>
    <col min="13" max="13" width="10" style="53" bestFit="1" customWidth="1"/>
    <col min="14" max="16384" width="9.140625" style="53"/>
  </cols>
  <sheetData>
    <row r="2" spans="1:12" ht="15.75" thickBot="1" x14ac:dyDescent="0.3">
      <c r="A2" s="105" t="s">
        <v>716</v>
      </c>
      <c r="B2" s="105"/>
      <c r="G2" s="54" t="str">
        <f>A.Prangko!G2</f>
        <v>mei 2017</v>
      </c>
    </row>
    <row r="3" spans="1:12" ht="15.75" thickBot="1" x14ac:dyDescent="0.3">
      <c r="A3" s="365" t="s">
        <v>657</v>
      </c>
      <c r="B3" s="372" t="s">
        <v>0</v>
      </c>
      <c r="C3" s="372" t="s">
        <v>1</v>
      </c>
      <c r="D3" s="373" t="s">
        <v>649</v>
      </c>
      <c r="E3" s="374" t="s">
        <v>19</v>
      </c>
      <c r="F3" s="374"/>
      <c r="G3" s="374"/>
      <c r="H3" s="374"/>
      <c r="I3" s="374"/>
      <c r="J3" s="368" t="s">
        <v>21</v>
      </c>
      <c r="K3" s="370" t="s">
        <v>602</v>
      </c>
      <c r="L3" s="349"/>
    </row>
    <row r="4" spans="1:12" ht="15.75" thickBot="1" x14ac:dyDescent="0.3">
      <c r="A4" s="366"/>
      <c r="B4" s="372"/>
      <c r="C4" s="372"/>
      <c r="D4" s="373"/>
      <c r="E4" s="69" t="s">
        <v>22</v>
      </c>
      <c r="F4" s="69" t="s">
        <v>600</v>
      </c>
      <c r="G4" s="69" t="s">
        <v>601</v>
      </c>
      <c r="H4" s="69" t="s">
        <v>589</v>
      </c>
      <c r="I4" s="69" t="s">
        <v>601</v>
      </c>
      <c r="J4" s="369"/>
      <c r="K4" s="371"/>
      <c r="L4" s="349"/>
    </row>
    <row r="5" spans="1:12" ht="15.75" thickBot="1" x14ac:dyDescent="0.3">
      <c r="A5" s="367"/>
      <c r="B5" s="70">
        <v>1</v>
      </c>
      <c r="C5" s="70">
        <v>2</v>
      </c>
      <c r="D5" s="70">
        <v>3</v>
      </c>
      <c r="E5" s="71">
        <v>4</v>
      </c>
      <c r="F5" s="71">
        <f>+E5+1</f>
        <v>5</v>
      </c>
      <c r="G5" s="71" t="s">
        <v>652</v>
      </c>
      <c r="H5" s="71">
        <v>7</v>
      </c>
      <c r="I5" s="72" t="s">
        <v>651</v>
      </c>
      <c r="J5" s="42" t="s">
        <v>650</v>
      </c>
      <c r="K5" s="42" t="s">
        <v>653</v>
      </c>
      <c r="L5" s="350"/>
    </row>
    <row r="6" spans="1:12" x14ac:dyDescent="0.25">
      <c r="A6" s="143"/>
      <c r="B6" s="144" t="s">
        <v>689</v>
      </c>
      <c r="C6" s="143"/>
      <c r="D6" s="143"/>
      <c r="E6" s="101"/>
      <c r="F6" s="101"/>
      <c r="G6" s="101"/>
      <c r="H6" s="101"/>
      <c r="I6" s="102"/>
      <c r="J6" s="64"/>
      <c r="K6" s="64"/>
      <c r="L6" s="350"/>
    </row>
    <row r="7" spans="1:12" x14ac:dyDescent="0.25">
      <c r="A7" s="123">
        <v>1</v>
      </c>
      <c r="B7" s="80" t="s">
        <v>156</v>
      </c>
      <c r="C7" s="81">
        <v>5000</v>
      </c>
      <c r="D7" s="145">
        <v>820.6</v>
      </c>
      <c r="E7" s="60">
        <v>0</v>
      </c>
      <c r="F7" s="60"/>
      <c r="G7" s="142">
        <f>+E7+F7</f>
        <v>0</v>
      </c>
      <c r="H7" s="56"/>
      <c r="I7" s="57">
        <f>+G7-H7</f>
        <v>0</v>
      </c>
      <c r="J7" s="57">
        <f>I7*C7</f>
        <v>0</v>
      </c>
      <c r="K7" s="58">
        <f>+D7*I7</f>
        <v>0</v>
      </c>
      <c r="L7" s="351"/>
    </row>
    <row r="8" spans="1:12" x14ac:dyDescent="0.25">
      <c r="A8" s="123">
        <v>2</v>
      </c>
      <c r="B8" s="80" t="s">
        <v>146</v>
      </c>
      <c r="C8" s="81">
        <v>5000</v>
      </c>
      <c r="D8" s="145">
        <v>801.16</v>
      </c>
      <c r="E8" s="60">
        <v>0</v>
      </c>
      <c r="F8" s="60"/>
      <c r="G8" s="142">
        <f t="shared" ref="G8:G12" si="0">+E8+F8</f>
        <v>0</v>
      </c>
      <c r="H8" s="56">
        <f>1-1</f>
        <v>0</v>
      </c>
      <c r="I8" s="57">
        <f t="shared" ref="I8:I12" si="1">+G8-H8</f>
        <v>0</v>
      </c>
      <c r="J8" s="57">
        <f t="shared" ref="J8:J12" si="2">I8*C8</f>
        <v>0</v>
      </c>
      <c r="K8" s="58">
        <f t="shared" ref="K8:K12" si="3">+D8*I8</f>
        <v>0</v>
      </c>
      <c r="L8" s="351"/>
    </row>
    <row r="9" spans="1:12" x14ac:dyDescent="0.25">
      <c r="A9" s="123">
        <v>3</v>
      </c>
      <c r="B9" s="80" t="s">
        <v>147</v>
      </c>
      <c r="C9" s="81">
        <v>8000</v>
      </c>
      <c r="D9" s="145">
        <v>801.16</v>
      </c>
      <c r="E9" s="60">
        <v>0</v>
      </c>
      <c r="F9" s="60"/>
      <c r="G9" s="142">
        <f t="shared" si="0"/>
        <v>0</v>
      </c>
      <c r="H9" s="56">
        <f>1132-1132</f>
        <v>0</v>
      </c>
      <c r="I9" s="57">
        <f t="shared" si="1"/>
        <v>0</v>
      </c>
      <c r="J9" s="57">
        <f t="shared" si="2"/>
        <v>0</v>
      </c>
      <c r="K9" s="58">
        <f t="shared" si="3"/>
        <v>0</v>
      </c>
      <c r="L9" s="351"/>
    </row>
    <row r="10" spans="1:12" x14ac:dyDescent="0.25">
      <c r="A10" s="123">
        <v>4</v>
      </c>
      <c r="B10" s="80" t="s">
        <v>148</v>
      </c>
      <c r="C10" s="81">
        <v>5000</v>
      </c>
      <c r="D10" s="145">
        <v>570.16</v>
      </c>
      <c r="E10" s="60">
        <v>0</v>
      </c>
      <c r="F10" s="60"/>
      <c r="G10" s="142">
        <f t="shared" si="0"/>
        <v>0</v>
      </c>
      <c r="H10" s="56"/>
      <c r="I10" s="57">
        <f t="shared" si="1"/>
        <v>0</v>
      </c>
      <c r="J10" s="57">
        <f t="shared" si="2"/>
        <v>0</v>
      </c>
      <c r="K10" s="58">
        <f t="shared" si="3"/>
        <v>0</v>
      </c>
      <c r="L10" s="351"/>
    </row>
    <row r="11" spans="1:12" x14ac:dyDescent="0.25">
      <c r="A11" s="123">
        <v>5</v>
      </c>
      <c r="B11" s="80" t="s">
        <v>149</v>
      </c>
      <c r="C11" s="81">
        <v>6000</v>
      </c>
      <c r="D11" s="145">
        <v>981.75</v>
      </c>
      <c r="E11" s="60">
        <v>0</v>
      </c>
      <c r="F11" s="60"/>
      <c r="G11" s="142">
        <f t="shared" si="0"/>
        <v>0</v>
      </c>
      <c r="H11" s="56">
        <f>180-180</f>
        <v>0</v>
      </c>
      <c r="I11" s="57">
        <f t="shared" si="1"/>
        <v>0</v>
      </c>
      <c r="J11" s="57">
        <f t="shared" si="2"/>
        <v>0</v>
      </c>
      <c r="K11" s="58">
        <f t="shared" si="3"/>
        <v>0</v>
      </c>
      <c r="L11" s="351"/>
    </row>
    <row r="12" spans="1:12" ht="15.75" thickBot="1" x14ac:dyDescent="0.3">
      <c r="A12" s="146">
        <v>6</v>
      </c>
      <c r="B12" s="147" t="s">
        <v>150</v>
      </c>
      <c r="C12" s="83">
        <f>48000-12000</f>
        <v>36000</v>
      </c>
      <c r="D12" s="148">
        <v>1345</v>
      </c>
      <c r="E12" s="149">
        <v>0</v>
      </c>
      <c r="F12" s="149"/>
      <c r="G12" s="150">
        <f t="shared" si="0"/>
        <v>0</v>
      </c>
      <c r="H12" s="56">
        <f>370-370</f>
        <v>0</v>
      </c>
      <c r="I12" s="65">
        <f t="shared" si="1"/>
        <v>0</v>
      </c>
      <c r="J12" s="65">
        <f t="shared" si="2"/>
        <v>0</v>
      </c>
      <c r="K12" s="66">
        <f t="shared" si="3"/>
        <v>0</v>
      </c>
      <c r="L12" s="351"/>
    </row>
    <row r="13" spans="1:12" ht="15.75" thickBot="1" x14ac:dyDescent="0.3">
      <c r="A13" s="137"/>
      <c r="B13" s="122" t="s">
        <v>690</v>
      </c>
      <c r="C13" s="85"/>
      <c r="D13" s="36"/>
      <c r="E13" s="62">
        <f>SUM(E7:E12)</f>
        <v>0</v>
      </c>
      <c r="F13" s="62">
        <f>SUM(F7:F12)</f>
        <v>0</v>
      </c>
      <c r="G13" s="62">
        <f>SUM(G7:G12)</f>
        <v>0</v>
      </c>
      <c r="H13" s="29">
        <f>SUM(H7:H12)</f>
        <v>0</v>
      </c>
      <c r="I13" s="29">
        <f>SUM(I7:I12)</f>
        <v>0</v>
      </c>
      <c r="J13" s="29">
        <f t="shared" ref="J13:K13" si="4">SUM(J7:J12)</f>
        <v>0</v>
      </c>
      <c r="K13" s="47">
        <f t="shared" si="4"/>
        <v>0</v>
      </c>
      <c r="L13" s="218"/>
    </row>
    <row r="14" spans="1:12" ht="15.75" thickBot="1" x14ac:dyDescent="0.3">
      <c r="B14" s="95"/>
      <c r="C14" s="96"/>
      <c r="D14" s="97"/>
      <c r="E14" s="98"/>
      <c r="F14" s="63"/>
      <c r="G14" s="98"/>
      <c r="H14" s="98"/>
      <c r="I14" s="98"/>
      <c r="J14" s="98"/>
      <c r="K14" s="97"/>
      <c r="L14" s="166"/>
    </row>
    <row r="15" spans="1:12" ht="15.75" thickBot="1" x14ac:dyDescent="0.3">
      <c r="A15" s="365" t="s">
        <v>657</v>
      </c>
      <c r="B15" s="372" t="s">
        <v>0</v>
      </c>
      <c r="C15" s="372" t="s">
        <v>1</v>
      </c>
      <c r="D15" s="373" t="s">
        <v>649</v>
      </c>
      <c r="E15" s="374" t="s">
        <v>19</v>
      </c>
      <c r="F15" s="374"/>
      <c r="G15" s="374"/>
      <c r="H15" s="374"/>
      <c r="I15" s="374"/>
      <c r="J15" s="368" t="s">
        <v>21</v>
      </c>
      <c r="K15" s="370" t="s">
        <v>602</v>
      </c>
      <c r="L15" s="349"/>
    </row>
    <row r="16" spans="1:12" ht="15.75" thickBot="1" x14ac:dyDescent="0.3">
      <c r="A16" s="366"/>
      <c r="B16" s="372"/>
      <c r="C16" s="372"/>
      <c r="D16" s="373"/>
      <c r="E16" s="69" t="s">
        <v>22</v>
      </c>
      <c r="F16" s="69" t="s">
        <v>600</v>
      </c>
      <c r="G16" s="69" t="s">
        <v>601</v>
      </c>
      <c r="H16" s="69" t="s">
        <v>589</v>
      </c>
      <c r="I16" s="69" t="s">
        <v>601</v>
      </c>
      <c r="J16" s="369"/>
      <c r="K16" s="371"/>
      <c r="L16" s="349"/>
    </row>
    <row r="17" spans="1:12" ht="15.75" thickBot="1" x14ac:dyDescent="0.3">
      <c r="A17" s="367"/>
      <c r="B17" s="70">
        <v>1</v>
      </c>
      <c r="C17" s="70">
        <v>2</v>
      </c>
      <c r="D17" s="70">
        <v>3</v>
      </c>
      <c r="E17" s="71">
        <v>4</v>
      </c>
      <c r="F17" s="71">
        <f>+E17+1</f>
        <v>5</v>
      </c>
      <c r="G17" s="71" t="s">
        <v>652</v>
      </c>
      <c r="H17" s="71">
        <v>7</v>
      </c>
      <c r="I17" s="72" t="s">
        <v>651</v>
      </c>
      <c r="J17" s="42" t="s">
        <v>650</v>
      </c>
      <c r="K17" s="42" t="s">
        <v>653</v>
      </c>
      <c r="L17" s="350"/>
    </row>
    <row r="18" spans="1:12" x14ac:dyDescent="0.25">
      <c r="A18" s="143"/>
      <c r="B18" s="144" t="s">
        <v>691</v>
      </c>
      <c r="C18" s="93"/>
      <c r="D18" s="154"/>
      <c r="E18" s="55"/>
      <c r="F18" s="55"/>
      <c r="G18" s="55"/>
      <c r="H18" s="55"/>
      <c r="I18" s="55"/>
      <c r="J18" s="55"/>
      <c r="K18" s="55"/>
      <c r="L18" s="135"/>
    </row>
    <row r="19" spans="1:12" x14ac:dyDescent="0.25">
      <c r="A19" s="123">
        <v>1</v>
      </c>
      <c r="B19" s="80" t="s">
        <v>151</v>
      </c>
      <c r="C19" s="81">
        <v>11000</v>
      </c>
      <c r="D19" s="145">
        <v>1304.3399999999999</v>
      </c>
      <c r="E19" s="60">
        <v>0</v>
      </c>
      <c r="F19" s="60"/>
      <c r="G19" s="142">
        <f t="shared" ref="G19:G22" si="5">+E19+F19</f>
        <v>0</v>
      </c>
      <c r="H19" s="56">
        <f>4557-4557</f>
        <v>0</v>
      </c>
      <c r="I19" s="57">
        <f t="shared" ref="I19:I22" si="6">+G19-H19</f>
        <v>0</v>
      </c>
      <c r="J19" s="57">
        <f t="shared" ref="J19:J22" si="7">I19*C19</f>
        <v>0</v>
      </c>
      <c r="K19" s="58">
        <f t="shared" ref="K19:K22" si="8">+D19*I19</f>
        <v>0</v>
      </c>
      <c r="L19" s="351"/>
    </row>
    <row r="20" spans="1:12" x14ac:dyDescent="0.25">
      <c r="A20" s="123">
        <v>2</v>
      </c>
      <c r="B20" s="80" t="s">
        <v>152</v>
      </c>
      <c r="C20" s="81">
        <v>10000</v>
      </c>
      <c r="D20" s="145">
        <v>1445</v>
      </c>
      <c r="E20" s="60">
        <v>0</v>
      </c>
      <c r="F20" s="60"/>
      <c r="G20" s="142">
        <f t="shared" si="5"/>
        <v>0</v>
      </c>
      <c r="H20" s="56">
        <f>5658-5658</f>
        <v>0</v>
      </c>
      <c r="I20" s="57">
        <f t="shared" si="6"/>
        <v>0</v>
      </c>
      <c r="J20" s="57">
        <f t="shared" si="7"/>
        <v>0</v>
      </c>
      <c r="K20" s="58">
        <f t="shared" si="8"/>
        <v>0</v>
      </c>
      <c r="L20" s="351"/>
    </row>
    <row r="21" spans="1:12" x14ac:dyDescent="0.25">
      <c r="A21" s="123">
        <v>3</v>
      </c>
      <c r="B21" s="80" t="s">
        <v>153</v>
      </c>
      <c r="C21" s="81">
        <v>12000</v>
      </c>
      <c r="D21" s="145">
        <v>1522.4</v>
      </c>
      <c r="E21" s="60">
        <v>0</v>
      </c>
      <c r="F21" s="60"/>
      <c r="G21" s="142">
        <f t="shared" si="5"/>
        <v>0</v>
      </c>
      <c r="H21" s="56">
        <f>1806-1806</f>
        <v>0</v>
      </c>
      <c r="I21" s="57">
        <f t="shared" si="6"/>
        <v>0</v>
      </c>
      <c r="J21" s="57">
        <f t="shared" si="7"/>
        <v>0</v>
      </c>
      <c r="K21" s="58">
        <f t="shared" si="8"/>
        <v>0</v>
      </c>
      <c r="L21" s="351"/>
    </row>
    <row r="22" spans="1:12" ht="15.75" thickBot="1" x14ac:dyDescent="0.3">
      <c r="A22" s="146">
        <v>4</v>
      </c>
      <c r="B22" s="147" t="s">
        <v>154</v>
      </c>
      <c r="C22" s="83">
        <v>18000</v>
      </c>
      <c r="D22" s="148">
        <v>1344.96</v>
      </c>
      <c r="E22" s="149">
        <v>0</v>
      </c>
      <c r="F22" s="149"/>
      <c r="G22" s="150">
        <f t="shared" si="5"/>
        <v>0</v>
      </c>
      <c r="H22" s="200">
        <f>7297-7297</f>
        <v>0</v>
      </c>
      <c r="I22" s="65">
        <f t="shared" si="6"/>
        <v>0</v>
      </c>
      <c r="J22" s="65">
        <f t="shared" si="7"/>
        <v>0</v>
      </c>
      <c r="K22" s="66">
        <f t="shared" si="8"/>
        <v>0</v>
      </c>
      <c r="L22" s="363" t="s">
        <v>1013</v>
      </c>
    </row>
    <row r="23" spans="1:12" ht="15.75" thickBot="1" x14ac:dyDescent="0.3">
      <c r="A23" s="137"/>
      <c r="B23" s="122" t="s">
        <v>692</v>
      </c>
      <c r="C23" s="85"/>
      <c r="D23" s="29"/>
      <c r="E23" s="29">
        <f>SUM(E19:E22)</f>
        <v>0</v>
      </c>
      <c r="F23" s="36"/>
      <c r="G23" s="29">
        <f>SUM(G19:G22)</f>
        <v>0</v>
      </c>
      <c r="H23" s="29">
        <f>SUM(H19:H22)</f>
        <v>0</v>
      </c>
      <c r="I23" s="30">
        <f>SUM(I19:I22)</f>
        <v>0</v>
      </c>
      <c r="J23" s="30">
        <f t="shared" ref="J23:K23" si="9">SUM(J19:J22)</f>
        <v>0</v>
      </c>
      <c r="K23" s="33">
        <f t="shared" si="9"/>
        <v>0</v>
      </c>
      <c r="L23" s="359"/>
    </row>
    <row r="24" spans="1:12" ht="15.75" thickBot="1" x14ac:dyDescent="0.3">
      <c r="B24" s="95"/>
      <c r="C24" s="96"/>
      <c r="D24" s="97"/>
      <c r="E24" s="98"/>
      <c r="F24" s="63"/>
      <c r="G24" s="98"/>
      <c r="H24" s="98"/>
      <c r="I24" s="98"/>
      <c r="J24" s="98"/>
      <c r="K24" s="97"/>
      <c r="L24" s="166"/>
    </row>
    <row r="25" spans="1:12" ht="15.75" thickBot="1" x14ac:dyDescent="0.3">
      <c r="A25" s="365" t="s">
        <v>657</v>
      </c>
      <c r="B25" s="372" t="s">
        <v>0</v>
      </c>
      <c r="C25" s="372" t="s">
        <v>1</v>
      </c>
      <c r="D25" s="373" t="s">
        <v>649</v>
      </c>
      <c r="E25" s="374" t="s">
        <v>19</v>
      </c>
      <c r="F25" s="374"/>
      <c r="G25" s="374"/>
      <c r="H25" s="374"/>
      <c r="I25" s="374"/>
      <c r="J25" s="368" t="s">
        <v>21</v>
      </c>
      <c r="K25" s="370" t="s">
        <v>602</v>
      </c>
      <c r="L25" s="349"/>
    </row>
    <row r="26" spans="1:12" ht="15.75" thickBot="1" x14ac:dyDescent="0.3">
      <c r="A26" s="366"/>
      <c r="B26" s="372"/>
      <c r="C26" s="372"/>
      <c r="D26" s="373"/>
      <c r="E26" s="69" t="s">
        <v>22</v>
      </c>
      <c r="F26" s="69" t="s">
        <v>600</v>
      </c>
      <c r="G26" s="69" t="s">
        <v>601</v>
      </c>
      <c r="H26" s="69" t="s">
        <v>589</v>
      </c>
      <c r="I26" s="69" t="s">
        <v>601</v>
      </c>
      <c r="J26" s="369"/>
      <c r="K26" s="371"/>
      <c r="L26" s="349"/>
    </row>
    <row r="27" spans="1:12" ht="15.75" thickBot="1" x14ac:dyDescent="0.3">
      <c r="A27" s="367"/>
      <c r="B27" s="127">
        <v>1</v>
      </c>
      <c r="C27" s="127">
        <v>2</v>
      </c>
      <c r="D27" s="127">
        <v>3</v>
      </c>
      <c r="E27" s="71">
        <v>4</v>
      </c>
      <c r="F27" s="71">
        <f>+E27+1</f>
        <v>5</v>
      </c>
      <c r="G27" s="71" t="s">
        <v>652</v>
      </c>
      <c r="H27" s="71">
        <v>7</v>
      </c>
      <c r="I27" s="72" t="s">
        <v>651</v>
      </c>
      <c r="J27" s="42" t="s">
        <v>650</v>
      </c>
      <c r="K27" s="42" t="s">
        <v>653</v>
      </c>
      <c r="L27" s="350"/>
    </row>
    <row r="28" spans="1:12" x14ac:dyDescent="0.25">
      <c r="A28" s="153"/>
      <c r="B28" s="73" t="s">
        <v>694</v>
      </c>
      <c r="C28" s="93"/>
      <c r="D28" s="154"/>
      <c r="E28" s="55"/>
      <c r="F28" s="55"/>
      <c r="G28" s="55"/>
      <c r="H28" s="55"/>
      <c r="I28" s="55"/>
      <c r="J28" s="55"/>
      <c r="K28" s="55"/>
      <c r="L28" s="135"/>
    </row>
    <row r="29" spans="1:12" x14ac:dyDescent="0.25">
      <c r="A29" s="155">
        <v>1</v>
      </c>
      <c r="B29" s="80" t="s">
        <v>731</v>
      </c>
      <c r="C29" s="81">
        <v>6000</v>
      </c>
      <c r="D29" s="145">
        <v>748.19</v>
      </c>
      <c r="E29" s="43">
        <v>0</v>
      </c>
      <c r="F29" s="43"/>
      <c r="G29" s="142">
        <f t="shared" ref="G29:G32" si="10">+E29+F29</f>
        <v>0</v>
      </c>
      <c r="H29" s="169">
        <f>1159-1159</f>
        <v>0</v>
      </c>
      <c r="I29" s="57">
        <f t="shared" ref="I29:I32" si="11">+G29-H29</f>
        <v>0</v>
      </c>
      <c r="J29" s="57">
        <f t="shared" ref="J29:J32" si="12">I29*C29</f>
        <v>0</v>
      </c>
      <c r="K29" s="58">
        <f t="shared" ref="K29:K32" si="13">+D29*I29</f>
        <v>0</v>
      </c>
      <c r="L29" s="351"/>
    </row>
    <row r="30" spans="1:12" x14ac:dyDescent="0.25">
      <c r="A30" s="155">
        <v>2</v>
      </c>
      <c r="B30" s="80" t="s">
        <v>693</v>
      </c>
      <c r="C30" s="81">
        <v>5000</v>
      </c>
      <c r="D30" s="145">
        <v>514.99</v>
      </c>
      <c r="E30" s="43">
        <v>0</v>
      </c>
      <c r="F30" s="43"/>
      <c r="G30" s="142">
        <f t="shared" si="10"/>
        <v>0</v>
      </c>
      <c r="H30" s="56"/>
      <c r="I30" s="57">
        <f t="shared" si="11"/>
        <v>0</v>
      </c>
      <c r="J30" s="57">
        <f t="shared" si="12"/>
        <v>0</v>
      </c>
      <c r="K30" s="58">
        <f t="shared" si="13"/>
        <v>0</v>
      </c>
      <c r="L30" s="351"/>
    </row>
    <row r="31" spans="1:12" x14ac:dyDescent="0.25">
      <c r="A31" s="155">
        <v>3</v>
      </c>
      <c r="B31" s="80" t="s">
        <v>155</v>
      </c>
      <c r="C31" s="81">
        <v>5000</v>
      </c>
      <c r="D31" s="145">
        <v>514.99</v>
      </c>
      <c r="E31" s="43">
        <v>0</v>
      </c>
      <c r="F31" s="43"/>
      <c r="G31" s="142">
        <f t="shared" si="10"/>
        <v>0</v>
      </c>
      <c r="H31" s="56">
        <f>158-158</f>
        <v>0</v>
      </c>
      <c r="I31" s="57">
        <f t="shared" si="11"/>
        <v>0</v>
      </c>
      <c r="J31" s="57">
        <f t="shared" si="12"/>
        <v>0</v>
      </c>
      <c r="K31" s="58">
        <f t="shared" si="13"/>
        <v>0</v>
      </c>
      <c r="L31" s="351"/>
    </row>
    <row r="32" spans="1:12" ht="15.75" thickBot="1" x14ac:dyDescent="0.3">
      <c r="A32" s="156">
        <v>4</v>
      </c>
      <c r="B32" s="147" t="s">
        <v>149</v>
      </c>
      <c r="C32" s="83">
        <v>6000</v>
      </c>
      <c r="D32" s="148">
        <v>748.19</v>
      </c>
      <c r="E32" s="157">
        <v>0</v>
      </c>
      <c r="F32" s="157"/>
      <c r="G32" s="142">
        <f t="shared" si="10"/>
        <v>0</v>
      </c>
      <c r="H32" s="56">
        <f>400-400</f>
        <v>0</v>
      </c>
      <c r="I32" s="57">
        <f t="shared" si="11"/>
        <v>0</v>
      </c>
      <c r="J32" s="57">
        <f t="shared" si="12"/>
        <v>0</v>
      </c>
      <c r="K32" s="58">
        <f t="shared" si="13"/>
        <v>0</v>
      </c>
      <c r="L32" s="351"/>
    </row>
    <row r="33" spans="1:12" ht="15.75" thickBot="1" x14ac:dyDescent="0.3">
      <c r="A33" s="131"/>
      <c r="B33" s="122" t="s">
        <v>695</v>
      </c>
      <c r="C33" s="85"/>
      <c r="D33" s="36"/>
      <c r="E33" s="29">
        <f>SUM(E29:E32)</f>
        <v>0</v>
      </c>
      <c r="F33" s="29"/>
      <c r="G33" s="29">
        <f>SUM(G29:G32)</f>
        <v>0</v>
      </c>
      <c r="H33" s="29">
        <f>SUM(H29:H32)</f>
        <v>0</v>
      </c>
      <c r="I33" s="29">
        <f>SUM(I29:I32)</f>
        <v>0</v>
      </c>
      <c r="J33" s="29">
        <f t="shared" ref="J33:K33" si="14">SUM(J29:J32)</f>
        <v>0</v>
      </c>
      <c r="K33" s="152">
        <f t="shared" si="14"/>
        <v>0</v>
      </c>
      <c r="L33" s="359"/>
    </row>
    <row r="34" spans="1:12" ht="15.75" thickBot="1" x14ac:dyDescent="0.3">
      <c r="B34" s="95"/>
      <c r="C34" s="96"/>
      <c r="D34" s="97"/>
      <c r="E34" s="98"/>
      <c r="F34" s="63"/>
      <c r="G34" s="98"/>
      <c r="H34" s="98"/>
      <c r="I34" s="98"/>
      <c r="J34" s="98"/>
      <c r="K34" s="97"/>
      <c r="L34" s="166"/>
    </row>
    <row r="35" spans="1:12" ht="15.75" thickBot="1" x14ac:dyDescent="0.3">
      <c r="A35" s="365" t="s">
        <v>657</v>
      </c>
      <c r="B35" s="372" t="s">
        <v>0</v>
      </c>
      <c r="C35" s="372" t="s">
        <v>1</v>
      </c>
      <c r="D35" s="373" t="s">
        <v>649</v>
      </c>
      <c r="E35" s="374" t="s">
        <v>19</v>
      </c>
      <c r="F35" s="374"/>
      <c r="G35" s="374"/>
      <c r="H35" s="374"/>
      <c r="I35" s="374"/>
      <c r="J35" s="368" t="s">
        <v>21</v>
      </c>
      <c r="K35" s="370" t="s">
        <v>602</v>
      </c>
      <c r="L35" s="349"/>
    </row>
    <row r="36" spans="1:12" ht="15.75" thickBot="1" x14ac:dyDescent="0.3">
      <c r="A36" s="366"/>
      <c r="B36" s="372"/>
      <c r="C36" s="372"/>
      <c r="D36" s="373"/>
      <c r="E36" s="69" t="s">
        <v>22</v>
      </c>
      <c r="F36" s="69" t="s">
        <v>600</v>
      </c>
      <c r="G36" s="69" t="s">
        <v>601</v>
      </c>
      <c r="H36" s="69" t="s">
        <v>589</v>
      </c>
      <c r="I36" s="69" t="s">
        <v>601</v>
      </c>
      <c r="J36" s="369"/>
      <c r="K36" s="371"/>
      <c r="L36" s="349"/>
    </row>
    <row r="37" spans="1:12" ht="15.75" thickBot="1" x14ac:dyDescent="0.3">
      <c r="A37" s="367"/>
      <c r="B37" s="127">
        <v>1</v>
      </c>
      <c r="C37" s="127">
        <v>2</v>
      </c>
      <c r="D37" s="127">
        <v>3</v>
      </c>
      <c r="E37" s="71">
        <v>4</v>
      </c>
      <c r="F37" s="71">
        <f>+E37+1</f>
        <v>5</v>
      </c>
      <c r="G37" s="71" t="s">
        <v>652</v>
      </c>
      <c r="H37" s="71">
        <v>7</v>
      </c>
      <c r="I37" s="72" t="s">
        <v>651</v>
      </c>
      <c r="J37" s="42" t="s">
        <v>650</v>
      </c>
      <c r="K37" s="42" t="s">
        <v>653</v>
      </c>
      <c r="L37" s="350"/>
    </row>
    <row r="38" spans="1:12" x14ac:dyDescent="0.25">
      <c r="A38" s="143"/>
      <c r="B38" s="144" t="s">
        <v>696</v>
      </c>
      <c r="C38" s="143"/>
      <c r="D38" s="143"/>
      <c r="E38" s="101"/>
      <c r="F38" s="101"/>
      <c r="G38" s="101"/>
      <c r="H38" s="101"/>
      <c r="I38" s="102"/>
      <c r="J38" s="64"/>
      <c r="K38" s="64"/>
      <c r="L38" s="350"/>
    </row>
    <row r="39" spans="1:12" x14ac:dyDescent="0.25">
      <c r="A39" s="155">
        <v>1</v>
      </c>
      <c r="B39" s="80" t="s">
        <v>156</v>
      </c>
      <c r="C39" s="81">
        <v>6000</v>
      </c>
      <c r="D39" s="145">
        <v>748.19</v>
      </c>
      <c r="E39" s="61">
        <v>0</v>
      </c>
      <c r="F39" s="43"/>
      <c r="G39" s="142">
        <f t="shared" ref="G39:G41" si="15">+E39+F39</f>
        <v>0</v>
      </c>
      <c r="H39" s="56">
        <f>645-645</f>
        <v>0</v>
      </c>
      <c r="I39" s="57">
        <f t="shared" ref="I39:I41" si="16">+G39-H39</f>
        <v>0</v>
      </c>
      <c r="J39" s="57">
        <f t="shared" ref="J39:J41" si="17">I39*C39</f>
        <v>0</v>
      </c>
      <c r="K39" s="58">
        <f t="shared" ref="K39:K41" si="18">+D39*I39</f>
        <v>0</v>
      </c>
      <c r="L39" s="351"/>
    </row>
    <row r="40" spans="1:12" x14ac:dyDescent="0.25">
      <c r="A40" s="155">
        <v>2</v>
      </c>
      <c r="B40" s="80" t="s">
        <v>157</v>
      </c>
      <c r="C40" s="81">
        <v>46000</v>
      </c>
      <c r="D40" s="145">
        <v>5971.74</v>
      </c>
      <c r="E40" s="81">
        <v>0</v>
      </c>
      <c r="F40" s="61"/>
      <c r="G40" s="142">
        <f t="shared" si="15"/>
        <v>0</v>
      </c>
      <c r="H40" s="56">
        <f>40-40</f>
        <v>0</v>
      </c>
      <c r="I40" s="57">
        <f t="shared" si="16"/>
        <v>0</v>
      </c>
      <c r="J40" s="57">
        <f t="shared" si="17"/>
        <v>0</v>
      </c>
      <c r="K40" s="58">
        <f t="shared" si="18"/>
        <v>0</v>
      </c>
      <c r="L40" s="351"/>
    </row>
    <row r="41" spans="1:12" ht="15.75" thickBot="1" x14ac:dyDescent="0.3">
      <c r="A41" s="156">
        <v>3</v>
      </c>
      <c r="B41" s="147" t="s">
        <v>149</v>
      </c>
      <c r="C41" s="83">
        <v>3000</v>
      </c>
      <c r="D41" s="148">
        <v>1030.3800000000001</v>
      </c>
      <c r="E41" s="83">
        <v>0</v>
      </c>
      <c r="F41" s="159"/>
      <c r="G41" s="150">
        <f t="shared" si="15"/>
        <v>0</v>
      </c>
      <c r="H41" s="56">
        <f>31-31</f>
        <v>0</v>
      </c>
      <c r="I41" s="65">
        <f t="shared" si="16"/>
        <v>0</v>
      </c>
      <c r="J41" s="65">
        <f t="shared" si="17"/>
        <v>0</v>
      </c>
      <c r="K41" s="66">
        <f t="shared" si="18"/>
        <v>0</v>
      </c>
      <c r="L41" s="351"/>
    </row>
    <row r="42" spans="1:12" ht="15.75" thickBot="1" x14ac:dyDescent="0.3">
      <c r="A42" s="131"/>
      <c r="B42" s="122" t="s">
        <v>697</v>
      </c>
      <c r="C42" s="85"/>
      <c r="D42" s="140"/>
      <c r="E42" s="140">
        <f>SUM(E39:E41)</f>
        <v>0</v>
      </c>
      <c r="F42" s="140">
        <f>SUM(F39:F41)</f>
        <v>0</v>
      </c>
      <c r="G42" s="140">
        <f>SUM(G39:G41)</f>
        <v>0</v>
      </c>
      <c r="H42" s="140">
        <f>SUM(H39:H41)</f>
        <v>0</v>
      </c>
      <c r="I42" s="140">
        <f>SUM(I39:I41)</f>
        <v>0</v>
      </c>
      <c r="J42" s="140">
        <f t="shared" ref="J42:K42" si="19">SUM(J39:J41)</f>
        <v>0</v>
      </c>
      <c r="K42" s="158">
        <f t="shared" si="19"/>
        <v>0</v>
      </c>
      <c r="L42" s="360"/>
    </row>
    <row r="43" spans="1:12" ht="15.75" thickBot="1" x14ac:dyDescent="0.3">
      <c r="B43" s="95"/>
      <c r="C43" s="96"/>
      <c r="D43" s="97"/>
      <c r="E43" s="98"/>
      <c r="F43" s="63"/>
      <c r="G43" s="98"/>
      <c r="H43" s="98"/>
      <c r="I43" s="98"/>
      <c r="J43" s="98"/>
      <c r="K43" s="97"/>
      <c r="L43" s="166"/>
    </row>
    <row r="44" spans="1:12" ht="15.75" thickBot="1" x14ac:dyDescent="0.3">
      <c r="A44" s="365" t="s">
        <v>657</v>
      </c>
      <c r="B44" s="372" t="s">
        <v>0</v>
      </c>
      <c r="C44" s="372" t="s">
        <v>1</v>
      </c>
      <c r="D44" s="373" t="s">
        <v>649</v>
      </c>
      <c r="E44" s="374" t="s">
        <v>19</v>
      </c>
      <c r="F44" s="374"/>
      <c r="G44" s="374"/>
      <c r="H44" s="374"/>
      <c r="I44" s="374"/>
      <c r="J44" s="368" t="s">
        <v>21</v>
      </c>
      <c r="K44" s="370" t="s">
        <v>602</v>
      </c>
      <c r="L44" s="349"/>
    </row>
    <row r="45" spans="1:12" ht="15.75" thickBot="1" x14ac:dyDescent="0.3">
      <c r="A45" s="366"/>
      <c r="B45" s="372"/>
      <c r="C45" s="372"/>
      <c r="D45" s="373"/>
      <c r="E45" s="69" t="s">
        <v>22</v>
      </c>
      <c r="F45" s="69" t="s">
        <v>600</v>
      </c>
      <c r="G45" s="69" t="s">
        <v>601</v>
      </c>
      <c r="H45" s="69" t="s">
        <v>589</v>
      </c>
      <c r="I45" s="69" t="s">
        <v>601</v>
      </c>
      <c r="J45" s="369"/>
      <c r="K45" s="371"/>
      <c r="L45" s="349"/>
    </row>
    <row r="46" spans="1:12" ht="15.75" thickBot="1" x14ac:dyDescent="0.3">
      <c r="A46" s="367"/>
      <c r="B46" s="127">
        <v>1</v>
      </c>
      <c r="C46" s="127">
        <v>2</v>
      </c>
      <c r="D46" s="127">
        <v>3</v>
      </c>
      <c r="E46" s="71">
        <v>4</v>
      </c>
      <c r="F46" s="71">
        <f>+E46+1</f>
        <v>5</v>
      </c>
      <c r="G46" s="71" t="s">
        <v>652</v>
      </c>
      <c r="H46" s="71">
        <v>7</v>
      </c>
      <c r="I46" s="72" t="s">
        <v>651</v>
      </c>
      <c r="J46" s="42" t="s">
        <v>650</v>
      </c>
      <c r="K46" s="42" t="s">
        <v>653</v>
      </c>
      <c r="L46" s="350"/>
    </row>
    <row r="47" spans="1:12" x14ac:dyDescent="0.25">
      <c r="A47" s="143"/>
      <c r="B47" s="144" t="s">
        <v>698</v>
      </c>
      <c r="C47" s="143"/>
      <c r="D47" s="143"/>
      <c r="E47" s="101"/>
      <c r="F47" s="101"/>
      <c r="G47" s="101"/>
      <c r="H47" s="101"/>
      <c r="I47" s="102"/>
      <c r="J47" s="64"/>
      <c r="K47" s="64"/>
      <c r="L47" s="350"/>
    </row>
    <row r="48" spans="1:12" x14ac:dyDescent="0.25">
      <c r="A48" s="155">
        <v>1</v>
      </c>
      <c r="B48" s="80" t="s">
        <v>732</v>
      </c>
      <c r="C48" s="81">
        <v>6000</v>
      </c>
      <c r="D48" s="145">
        <v>748.19</v>
      </c>
      <c r="E48" s="43">
        <v>0</v>
      </c>
      <c r="F48" s="43"/>
      <c r="G48" s="142">
        <f t="shared" ref="G48:G52" si="20">+E48+F48</f>
        <v>0</v>
      </c>
      <c r="H48" s="56"/>
      <c r="I48" s="57">
        <f t="shared" ref="I48:I52" si="21">+G48-H48</f>
        <v>0</v>
      </c>
      <c r="J48" s="57">
        <f t="shared" ref="J48:J52" si="22">I48*C48</f>
        <v>0</v>
      </c>
      <c r="K48" s="58">
        <f t="shared" ref="K48:K52" si="23">+D48*I48</f>
        <v>0</v>
      </c>
      <c r="L48" s="351"/>
    </row>
    <row r="49" spans="1:14" x14ac:dyDescent="0.25">
      <c r="A49" s="155">
        <v>2</v>
      </c>
      <c r="B49" s="80" t="s">
        <v>50</v>
      </c>
      <c r="C49" s="81">
        <v>3000</v>
      </c>
      <c r="D49" s="145">
        <v>379.05</v>
      </c>
      <c r="E49" s="43">
        <v>0</v>
      </c>
      <c r="F49" s="43"/>
      <c r="G49" s="142">
        <f t="shared" si="20"/>
        <v>0</v>
      </c>
      <c r="H49" s="56">
        <f>4237-4237</f>
        <v>0</v>
      </c>
      <c r="I49" s="57">
        <f t="shared" si="21"/>
        <v>0</v>
      </c>
      <c r="J49" s="57">
        <f t="shared" si="22"/>
        <v>0</v>
      </c>
      <c r="K49" s="58">
        <f t="shared" si="23"/>
        <v>0</v>
      </c>
      <c r="L49" s="351"/>
    </row>
    <row r="50" spans="1:14" x14ac:dyDescent="0.25">
      <c r="A50" s="155">
        <v>3</v>
      </c>
      <c r="B50" s="80" t="s">
        <v>773</v>
      </c>
      <c r="C50" s="81">
        <v>5000</v>
      </c>
      <c r="D50" s="145">
        <v>764.96</v>
      </c>
      <c r="E50" s="43">
        <v>0</v>
      </c>
      <c r="F50" s="43"/>
      <c r="G50" s="142">
        <f t="shared" si="20"/>
        <v>0</v>
      </c>
      <c r="H50" s="56">
        <f>3752-3752</f>
        <v>0</v>
      </c>
      <c r="I50" s="57">
        <f t="shared" si="21"/>
        <v>0</v>
      </c>
      <c r="J50" s="57">
        <f t="shared" si="22"/>
        <v>0</v>
      </c>
      <c r="K50" s="58">
        <f t="shared" si="23"/>
        <v>0</v>
      </c>
      <c r="L50" s="351"/>
    </row>
    <row r="51" spans="1:14" x14ac:dyDescent="0.25">
      <c r="A51" s="155">
        <v>4</v>
      </c>
      <c r="B51" s="80" t="s">
        <v>158</v>
      </c>
      <c r="C51" s="81">
        <v>5000</v>
      </c>
      <c r="D51" s="145">
        <v>764.96</v>
      </c>
      <c r="E51" s="43">
        <v>0</v>
      </c>
      <c r="F51" s="43"/>
      <c r="G51" s="142">
        <f t="shared" si="20"/>
        <v>0</v>
      </c>
      <c r="H51" s="56">
        <f>113-113</f>
        <v>0</v>
      </c>
      <c r="I51" s="57">
        <f t="shared" si="21"/>
        <v>0</v>
      </c>
      <c r="J51" s="57">
        <f t="shared" si="22"/>
        <v>0</v>
      </c>
      <c r="K51" s="58">
        <f t="shared" si="23"/>
        <v>0</v>
      </c>
      <c r="L51" s="351"/>
    </row>
    <row r="52" spans="1:14" ht="15.75" thickBot="1" x14ac:dyDescent="0.3">
      <c r="A52" s="156">
        <v>5</v>
      </c>
      <c r="B52" s="147" t="s">
        <v>159</v>
      </c>
      <c r="C52" s="83">
        <v>5000</v>
      </c>
      <c r="D52" s="148">
        <v>764.96</v>
      </c>
      <c r="E52" s="157">
        <v>0</v>
      </c>
      <c r="F52" s="157"/>
      <c r="G52" s="150">
        <f t="shared" si="20"/>
        <v>0</v>
      </c>
      <c r="H52" s="56">
        <f>379-379</f>
        <v>0</v>
      </c>
      <c r="I52" s="65">
        <f t="shared" si="21"/>
        <v>0</v>
      </c>
      <c r="J52" s="65">
        <f t="shared" si="22"/>
        <v>0</v>
      </c>
      <c r="K52" s="66">
        <f t="shared" si="23"/>
        <v>0</v>
      </c>
      <c r="L52" s="351"/>
    </row>
    <row r="53" spans="1:14" ht="15.75" hidden="1" thickBot="1" x14ac:dyDescent="0.3">
      <c r="B53" s="375"/>
      <c r="C53" s="376"/>
      <c r="D53" s="377"/>
      <c r="E53" s="160"/>
      <c r="F53" s="160"/>
      <c r="G53" s="160"/>
      <c r="H53" s="160"/>
      <c r="I53" s="160"/>
      <c r="J53" s="136"/>
      <c r="K53" s="136"/>
      <c r="L53" s="135"/>
    </row>
    <row r="54" spans="1:14" ht="15.75" hidden="1" thickBot="1" x14ac:dyDescent="0.3">
      <c r="B54" s="375"/>
      <c r="C54" s="376"/>
      <c r="D54" s="377"/>
      <c r="E54" s="161"/>
      <c r="F54" s="161"/>
      <c r="G54" s="161"/>
      <c r="H54" s="161"/>
      <c r="I54" s="161"/>
      <c r="J54" s="32"/>
      <c r="K54" s="32"/>
      <c r="L54" s="135"/>
    </row>
    <row r="55" spans="1:14" ht="15.75" hidden="1" thickBot="1" x14ac:dyDescent="0.3">
      <c r="B55" s="375"/>
      <c r="C55" s="134"/>
      <c r="D55" s="135"/>
      <c r="E55" s="162"/>
      <c r="F55" s="162"/>
      <c r="G55" s="162"/>
      <c r="H55" s="162"/>
      <c r="I55" s="162"/>
      <c r="J55" s="133"/>
      <c r="K55" s="133"/>
      <c r="L55" s="135"/>
    </row>
    <row r="56" spans="1:14" ht="15.75" thickBot="1" x14ac:dyDescent="0.3">
      <c r="A56" s="131"/>
      <c r="B56" s="122" t="s">
        <v>699</v>
      </c>
      <c r="C56" s="36"/>
      <c r="D56" s="36"/>
      <c r="E56" s="29">
        <f>SUM(E48:E52)</f>
        <v>0</v>
      </c>
      <c r="F56" s="29"/>
      <c r="G56" s="29">
        <f>SUM(G48:G52)</f>
        <v>0</v>
      </c>
      <c r="H56" s="29">
        <f>SUM(H48:H52)</f>
        <v>0</v>
      </c>
      <c r="I56" s="29">
        <f>SUM(I48:I52)</f>
        <v>0</v>
      </c>
      <c r="J56" s="29">
        <f>SUM(J48:J52)</f>
        <v>0</v>
      </c>
      <c r="K56" s="152">
        <f>SUM(K48:K52)</f>
        <v>0</v>
      </c>
      <c r="L56" s="359"/>
    </row>
    <row r="57" spans="1:14" ht="15.75" thickBot="1" x14ac:dyDescent="0.3">
      <c r="B57" s="95"/>
      <c r="C57" s="96"/>
      <c r="D57" s="97"/>
      <c r="E57" s="98"/>
      <c r="F57" s="63"/>
      <c r="G57" s="98"/>
      <c r="H57" s="98"/>
      <c r="I57" s="98"/>
      <c r="J57" s="98"/>
      <c r="K57" s="97"/>
      <c r="L57" s="166"/>
    </row>
    <row r="58" spans="1:14" ht="15.75" thickBot="1" x14ac:dyDescent="0.3">
      <c r="A58" s="365" t="s">
        <v>657</v>
      </c>
      <c r="B58" s="372" t="s">
        <v>0</v>
      </c>
      <c r="C58" s="372" t="s">
        <v>1</v>
      </c>
      <c r="D58" s="373" t="s">
        <v>649</v>
      </c>
      <c r="E58" s="374" t="s">
        <v>19</v>
      </c>
      <c r="F58" s="374"/>
      <c r="G58" s="374"/>
      <c r="H58" s="374"/>
      <c r="I58" s="374"/>
      <c r="J58" s="368" t="s">
        <v>21</v>
      </c>
      <c r="K58" s="370" t="s">
        <v>602</v>
      </c>
      <c r="L58" s="349"/>
    </row>
    <row r="59" spans="1:14" ht="15.75" thickBot="1" x14ac:dyDescent="0.3">
      <c r="A59" s="366"/>
      <c r="B59" s="372"/>
      <c r="C59" s="372"/>
      <c r="D59" s="373"/>
      <c r="E59" s="69" t="s">
        <v>22</v>
      </c>
      <c r="F59" s="69" t="s">
        <v>600</v>
      </c>
      <c r="G59" s="69" t="s">
        <v>601</v>
      </c>
      <c r="H59" s="69" t="s">
        <v>589</v>
      </c>
      <c r="I59" s="69" t="s">
        <v>601</v>
      </c>
      <c r="J59" s="369"/>
      <c r="K59" s="371"/>
      <c r="L59" s="349"/>
    </row>
    <row r="60" spans="1:14" ht="15.75" thickBot="1" x14ac:dyDescent="0.3">
      <c r="A60" s="367"/>
      <c r="B60" s="127">
        <v>1</v>
      </c>
      <c r="C60" s="127">
        <v>2</v>
      </c>
      <c r="D60" s="127">
        <v>3</v>
      </c>
      <c r="E60" s="71">
        <v>4</v>
      </c>
      <c r="F60" s="71">
        <f>+E60+1</f>
        <v>5</v>
      </c>
      <c r="G60" s="71" t="s">
        <v>652</v>
      </c>
      <c r="H60" s="71">
        <v>7</v>
      </c>
      <c r="I60" s="72" t="s">
        <v>651</v>
      </c>
      <c r="J60" s="42" t="s">
        <v>650</v>
      </c>
      <c r="K60" s="42" t="s">
        <v>653</v>
      </c>
      <c r="L60" s="350"/>
    </row>
    <row r="61" spans="1:14" x14ac:dyDescent="0.25">
      <c r="A61" s="163"/>
      <c r="B61" s="73" t="s">
        <v>700</v>
      </c>
      <c r="C61" s="55"/>
      <c r="D61" s="55"/>
      <c r="E61" s="55"/>
      <c r="F61" s="55"/>
      <c r="G61" s="55"/>
      <c r="H61" s="55"/>
      <c r="I61" s="55"/>
      <c r="J61" s="55"/>
      <c r="K61" s="55"/>
      <c r="L61" s="135"/>
    </row>
    <row r="62" spans="1:14" x14ac:dyDescent="0.25">
      <c r="A62" s="155">
        <v>1</v>
      </c>
      <c r="B62" s="80" t="s">
        <v>774</v>
      </c>
      <c r="C62" s="81">
        <v>6000</v>
      </c>
      <c r="D62" s="145">
        <v>1619.38</v>
      </c>
      <c r="E62" s="43">
        <v>27999</v>
      </c>
      <c r="F62" s="61"/>
      <c r="G62" s="142">
        <f t="shared" ref="G62:G66" si="24">+E62+F62</f>
        <v>27999</v>
      </c>
      <c r="H62" s="56">
        <f>5000-5000</f>
        <v>0</v>
      </c>
      <c r="I62" s="57">
        <f t="shared" ref="I62:I66" si="25">+G62-H62</f>
        <v>27999</v>
      </c>
      <c r="J62" s="57">
        <f t="shared" ref="J62:J66" si="26">I62*C62</f>
        <v>167994000</v>
      </c>
      <c r="K62" s="58">
        <f t="shared" ref="K62:K66" si="27">+D62*I62</f>
        <v>45341020.620000005</v>
      </c>
      <c r="L62" s="363" t="s">
        <v>1032</v>
      </c>
      <c r="N62" t="s">
        <v>972</v>
      </c>
    </row>
    <row r="63" spans="1:14" x14ac:dyDescent="0.25">
      <c r="A63" s="155">
        <v>2</v>
      </c>
      <c r="B63" s="80" t="s">
        <v>161</v>
      </c>
      <c r="C63" s="81">
        <v>5000</v>
      </c>
      <c r="D63" s="145">
        <v>872.71</v>
      </c>
      <c r="E63" s="43">
        <v>0</v>
      </c>
      <c r="F63" s="61"/>
      <c r="G63" s="142">
        <f t="shared" si="24"/>
        <v>0</v>
      </c>
      <c r="H63" s="56">
        <f>1129-1129</f>
        <v>0</v>
      </c>
      <c r="I63" s="57">
        <f t="shared" si="25"/>
        <v>0</v>
      </c>
      <c r="J63" s="57">
        <f t="shared" si="26"/>
        <v>0</v>
      </c>
      <c r="K63" s="58">
        <f t="shared" si="27"/>
        <v>0</v>
      </c>
      <c r="L63" s="351"/>
    </row>
    <row r="64" spans="1:14" x14ac:dyDescent="0.25">
      <c r="A64" s="155">
        <v>3</v>
      </c>
      <c r="B64" s="80" t="s">
        <v>162</v>
      </c>
      <c r="C64" s="81">
        <v>5000</v>
      </c>
      <c r="D64" s="145">
        <v>636.86</v>
      </c>
      <c r="E64" s="43">
        <v>0</v>
      </c>
      <c r="F64" s="61"/>
      <c r="G64" s="142">
        <f t="shared" si="24"/>
        <v>0</v>
      </c>
      <c r="H64" s="56">
        <f>4230-4230</f>
        <v>0</v>
      </c>
      <c r="I64" s="57">
        <f t="shared" si="25"/>
        <v>0</v>
      </c>
      <c r="J64" s="57">
        <f t="shared" si="26"/>
        <v>0</v>
      </c>
      <c r="K64" s="58">
        <f t="shared" si="27"/>
        <v>0</v>
      </c>
      <c r="L64" s="351"/>
    </row>
    <row r="65" spans="1:14" x14ac:dyDescent="0.25">
      <c r="A65" s="155">
        <v>4</v>
      </c>
      <c r="B65" s="80" t="s">
        <v>158</v>
      </c>
      <c r="C65" s="81">
        <v>5000</v>
      </c>
      <c r="D65" s="145">
        <v>636</v>
      </c>
      <c r="E65" s="43">
        <v>0</v>
      </c>
      <c r="F65" s="61"/>
      <c r="G65" s="142">
        <f t="shared" si="24"/>
        <v>0</v>
      </c>
      <c r="H65" s="56">
        <f>2017-2017</f>
        <v>0</v>
      </c>
      <c r="I65" s="57">
        <f t="shared" si="25"/>
        <v>0</v>
      </c>
      <c r="J65" s="57">
        <f t="shared" si="26"/>
        <v>0</v>
      </c>
      <c r="K65" s="58">
        <f t="shared" si="27"/>
        <v>0</v>
      </c>
      <c r="L65" s="351"/>
    </row>
    <row r="66" spans="1:14" ht="15.75" thickBot="1" x14ac:dyDescent="0.3">
      <c r="A66" s="156">
        <v>5</v>
      </c>
      <c r="B66" s="147" t="s">
        <v>163</v>
      </c>
      <c r="C66" s="83">
        <v>5000</v>
      </c>
      <c r="D66" s="148">
        <v>677.89</v>
      </c>
      <c r="E66" s="157">
        <v>0</v>
      </c>
      <c r="F66" s="159"/>
      <c r="G66" s="150">
        <f t="shared" si="24"/>
        <v>0</v>
      </c>
      <c r="H66" s="56">
        <f>1867-1867</f>
        <v>0</v>
      </c>
      <c r="I66" s="65">
        <f t="shared" si="25"/>
        <v>0</v>
      </c>
      <c r="J66" s="65">
        <f t="shared" si="26"/>
        <v>0</v>
      </c>
      <c r="K66" s="66">
        <f t="shared" si="27"/>
        <v>0</v>
      </c>
      <c r="L66" s="351"/>
    </row>
    <row r="67" spans="1:14" ht="15.75" thickBot="1" x14ac:dyDescent="0.3">
      <c r="A67" s="131"/>
      <c r="B67" s="122" t="s">
        <v>701</v>
      </c>
      <c r="C67" s="36"/>
      <c r="D67" s="36"/>
      <c r="E67" s="29">
        <f>SUM(E62:E66)</f>
        <v>27999</v>
      </c>
      <c r="F67" s="36"/>
      <c r="G67" s="29">
        <f>SUM(G62:G66)</f>
        <v>27999</v>
      </c>
      <c r="H67" s="29">
        <f>SUM(H62:H66)</f>
        <v>0</v>
      </c>
      <c r="I67" s="29">
        <f>SUM(I62:I66)</f>
        <v>27999</v>
      </c>
      <c r="J67" s="29">
        <f t="shared" ref="J67:K67" si="28">SUM(J62:J66)</f>
        <v>167994000</v>
      </c>
      <c r="K67" s="47">
        <f t="shared" si="28"/>
        <v>45341020.620000005</v>
      </c>
      <c r="L67" s="218"/>
    </row>
    <row r="68" spans="1:14" ht="15.75" thickBot="1" x14ac:dyDescent="0.3">
      <c r="B68" s="95"/>
      <c r="C68" s="96"/>
      <c r="D68" s="97"/>
      <c r="E68" s="98"/>
      <c r="F68" s="63"/>
      <c r="G68" s="98"/>
      <c r="H68" s="98"/>
      <c r="I68" s="98"/>
      <c r="J68" s="98" t="s">
        <v>970</v>
      </c>
      <c r="K68" s="97"/>
      <c r="L68" s="166"/>
    </row>
    <row r="69" spans="1:14" ht="15.75" thickBot="1" x14ac:dyDescent="0.3">
      <c r="A69" s="365" t="s">
        <v>657</v>
      </c>
      <c r="B69" s="372" t="s">
        <v>0</v>
      </c>
      <c r="C69" s="372" t="s">
        <v>1</v>
      </c>
      <c r="D69" s="373" t="s">
        <v>649</v>
      </c>
      <c r="E69" s="374" t="s">
        <v>19</v>
      </c>
      <c r="F69" s="374"/>
      <c r="G69" s="374"/>
      <c r="H69" s="374"/>
      <c r="I69" s="374"/>
      <c r="J69" s="368" t="s">
        <v>21</v>
      </c>
      <c r="K69" s="370" t="s">
        <v>602</v>
      </c>
      <c r="L69" s="349"/>
    </row>
    <row r="70" spans="1:14" ht="15.75" thickBot="1" x14ac:dyDescent="0.3">
      <c r="A70" s="366"/>
      <c r="B70" s="372"/>
      <c r="C70" s="372"/>
      <c r="D70" s="373"/>
      <c r="E70" s="69" t="s">
        <v>22</v>
      </c>
      <c r="F70" s="69" t="s">
        <v>600</v>
      </c>
      <c r="G70" s="69" t="s">
        <v>601</v>
      </c>
      <c r="H70" s="69" t="s">
        <v>589</v>
      </c>
      <c r="I70" s="69" t="s">
        <v>601</v>
      </c>
      <c r="J70" s="369"/>
      <c r="K70" s="371"/>
      <c r="L70" s="349"/>
    </row>
    <row r="71" spans="1:14" ht="15.75" thickBot="1" x14ac:dyDescent="0.3">
      <c r="A71" s="367"/>
      <c r="B71" s="127">
        <v>1</v>
      </c>
      <c r="C71" s="127">
        <v>2</v>
      </c>
      <c r="D71" s="127">
        <v>3</v>
      </c>
      <c r="E71" s="71">
        <v>4</v>
      </c>
      <c r="F71" s="71">
        <f>+E71+1</f>
        <v>5</v>
      </c>
      <c r="G71" s="71" t="s">
        <v>652</v>
      </c>
      <c r="H71" s="71">
        <v>7</v>
      </c>
      <c r="I71" s="72" t="s">
        <v>651</v>
      </c>
      <c r="J71" s="42" t="s">
        <v>650</v>
      </c>
      <c r="K71" s="42" t="s">
        <v>653</v>
      </c>
      <c r="L71" s="350"/>
    </row>
    <row r="72" spans="1:14" x14ac:dyDescent="0.25">
      <c r="A72" s="163"/>
      <c r="B72" s="73" t="s">
        <v>703</v>
      </c>
      <c r="C72" s="55"/>
      <c r="D72" s="55"/>
      <c r="E72" s="55"/>
      <c r="F72" s="55"/>
      <c r="G72" s="55"/>
      <c r="H72" s="55"/>
      <c r="I72" s="55"/>
      <c r="J72" s="55"/>
      <c r="K72" s="55"/>
      <c r="L72" s="135"/>
    </row>
    <row r="73" spans="1:14" x14ac:dyDescent="0.25">
      <c r="A73" s="155">
        <v>1</v>
      </c>
      <c r="B73" s="80" t="s">
        <v>164</v>
      </c>
      <c r="C73" s="81">
        <v>5000</v>
      </c>
      <c r="D73" s="145">
        <v>920.06</v>
      </c>
      <c r="E73" s="43">
        <v>19999</v>
      </c>
      <c r="F73" s="43"/>
      <c r="G73" s="142">
        <f t="shared" ref="G73:G78" si="29">+E73+F73</f>
        <v>19999</v>
      </c>
      <c r="H73" s="56">
        <f>5000-5000</f>
        <v>0</v>
      </c>
      <c r="I73" s="57">
        <f t="shared" ref="I73:I78" si="30">+G73-H73</f>
        <v>19999</v>
      </c>
      <c r="J73" s="57">
        <f t="shared" ref="J73:J78" si="31">I73*C73</f>
        <v>99995000</v>
      </c>
      <c r="K73" s="58">
        <f t="shared" ref="K73:K78" si="32">+D73*I73</f>
        <v>18400279.939999998</v>
      </c>
      <c r="L73" s="363" t="s">
        <v>1031</v>
      </c>
      <c r="N73" t="s">
        <v>972</v>
      </c>
    </row>
    <row r="74" spans="1:14" x14ac:dyDescent="0.25">
      <c r="A74" s="155">
        <v>2</v>
      </c>
      <c r="B74" s="80" t="s">
        <v>165</v>
      </c>
      <c r="C74" s="81">
        <v>10000</v>
      </c>
      <c r="D74" s="145">
        <v>806.73</v>
      </c>
      <c r="E74" s="43">
        <v>0</v>
      </c>
      <c r="F74" s="43"/>
      <c r="G74" s="142">
        <f t="shared" si="29"/>
        <v>0</v>
      </c>
      <c r="H74" s="56">
        <f>8627-8627</f>
        <v>0</v>
      </c>
      <c r="I74" s="57">
        <f t="shared" si="30"/>
        <v>0</v>
      </c>
      <c r="J74" s="57">
        <f t="shared" si="31"/>
        <v>0</v>
      </c>
      <c r="K74" s="58">
        <f t="shared" si="32"/>
        <v>0</v>
      </c>
      <c r="L74" s="351"/>
    </row>
    <row r="75" spans="1:14" x14ac:dyDescent="0.25">
      <c r="A75" s="155">
        <v>3</v>
      </c>
      <c r="B75" s="80" t="s">
        <v>166</v>
      </c>
      <c r="C75" s="81">
        <v>10000</v>
      </c>
      <c r="D75" s="145">
        <v>715</v>
      </c>
      <c r="E75" s="43">
        <v>0</v>
      </c>
      <c r="F75" s="43"/>
      <c r="G75" s="142">
        <f t="shared" si="29"/>
        <v>0</v>
      </c>
      <c r="H75" s="56">
        <f>594-594</f>
        <v>0</v>
      </c>
      <c r="I75" s="57">
        <f t="shared" si="30"/>
        <v>0</v>
      </c>
      <c r="J75" s="57">
        <f t="shared" si="31"/>
        <v>0</v>
      </c>
      <c r="K75" s="58">
        <f t="shared" si="32"/>
        <v>0</v>
      </c>
      <c r="L75" s="351"/>
    </row>
    <row r="76" spans="1:14" x14ac:dyDescent="0.25">
      <c r="A76" s="155">
        <v>4</v>
      </c>
      <c r="B76" s="80" t="s">
        <v>167</v>
      </c>
      <c r="C76" s="81">
        <v>100000</v>
      </c>
      <c r="D76" s="145">
        <v>3237.85</v>
      </c>
      <c r="E76" s="43">
        <v>0</v>
      </c>
      <c r="F76" s="43"/>
      <c r="G76" s="142">
        <f t="shared" si="29"/>
        <v>0</v>
      </c>
      <c r="H76" s="56">
        <f>300-300</f>
        <v>0</v>
      </c>
      <c r="I76" s="57">
        <f t="shared" si="30"/>
        <v>0</v>
      </c>
      <c r="J76" s="57">
        <f t="shared" si="31"/>
        <v>0</v>
      </c>
      <c r="K76" s="58">
        <f t="shared" si="32"/>
        <v>0</v>
      </c>
      <c r="L76" s="351"/>
    </row>
    <row r="77" spans="1:14" x14ac:dyDescent="0.25">
      <c r="A77" s="155">
        <v>5</v>
      </c>
      <c r="B77" s="80" t="s">
        <v>168</v>
      </c>
      <c r="C77" s="81">
        <v>25000</v>
      </c>
      <c r="D77" s="145">
        <f>820.1*5</f>
        <v>4100.5</v>
      </c>
      <c r="E77" s="43">
        <v>0</v>
      </c>
      <c r="F77" s="43"/>
      <c r="G77" s="142">
        <f t="shared" si="29"/>
        <v>0</v>
      </c>
      <c r="H77" s="56">
        <f>2483-2483</f>
        <v>0</v>
      </c>
      <c r="I77" s="57">
        <f t="shared" si="30"/>
        <v>0</v>
      </c>
      <c r="J77" s="57">
        <f t="shared" si="31"/>
        <v>0</v>
      </c>
      <c r="K77" s="58">
        <f t="shared" si="32"/>
        <v>0</v>
      </c>
      <c r="L77" s="351"/>
    </row>
    <row r="78" spans="1:14" ht="15.75" thickBot="1" x14ac:dyDescent="0.3">
      <c r="A78" s="156">
        <v>6</v>
      </c>
      <c r="B78" s="147" t="s">
        <v>168</v>
      </c>
      <c r="C78" s="83">
        <v>5000</v>
      </c>
      <c r="D78" s="148">
        <v>820.1</v>
      </c>
      <c r="E78" s="157">
        <v>0</v>
      </c>
      <c r="F78" s="157"/>
      <c r="G78" s="142">
        <f t="shared" si="29"/>
        <v>0</v>
      </c>
      <c r="H78" s="56">
        <f>483-483</f>
        <v>0</v>
      </c>
      <c r="I78" s="57">
        <f t="shared" si="30"/>
        <v>0</v>
      </c>
      <c r="J78" s="57">
        <f t="shared" si="31"/>
        <v>0</v>
      </c>
      <c r="K78" s="58">
        <f t="shared" si="32"/>
        <v>0</v>
      </c>
      <c r="L78" s="351"/>
    </row>
    <row r="79" spans="1:14" ht="15.75" thickBot="1" x14ac:dyDescent="0.3">
      <c r="A79" s="131"/>
      <c r="B79" s="122" t="s">
        <v>702</v>
      </c>
      <c r="C79" s="36"/>
      <c r="D79" s="29"/>
      <c r="E79" s="29">
        <f>SUM(E73:E78)</f>
        <v>19999</v>
      </c>
      <c r="F79" s="36"/>
      <c r="G79" s="29">
        <f>SUM(G73:G78)</f>
        <v>19999</v>
      </c>
      <c r="H79" s="29">
        <f>SUM(H73:H78)</f>
        <v>0</v>
      </c>
      <c r="I79" s="29">
        <f>SUM(I73:I78)</f>
        <v>19999</v>
      </c>
      <c r="J79" s="29">
        <f t="shared" ref="J79:K79" si="33">SUM(J73:J78)</f>
        <v>99995000</v>
      </c>
      <c r="K79" s="47">
        <f t="shared" si="33"/>
        <v>18400279.939999998</v>
      </c>
      <c r="L79" s="218"/>
    </row>
    <row r="80" spans="1:14" ht="15.75" thickBot="1" x14ac:dyDescent="0.3">
      <c r="B80" s="95"/>
      <c r="C80" s="96"/>
      <c r="D80" s="97"/>
      <c r="E80" s="98"/>
      <c r="F80" s="63"/>
      <c r="G80" s="98"/>
      <c r="H80" s="98"/>
      <c r="I80" s="98"/>
      <c r="J80" s="98"/>
      <c r="K80" s="97"/>
      <c r="L80" s="166"/>
    </row>
    <row r="81" spans="1:13" ht="15.75" thickBot="1" x14ac:dyDescent="0.3">
      <c r="A81" s="365" t="s">
        <v>657</v>
      </c>
      <c r="B81" s="372" t="s">
        <v>0</v>
      </c>
      <c r="C81" s="372" t="s">
        <v>1</v>
      </c>
      <c r="D81" s="373" t="s">
        <v>649</v>
      </c>
      <c r="E81" s="374" t="s">
        <v>19</v>
      </c>
      <c r="F81" s="374"/>
      <c r="G81" s="374"/>
      <c r="H81" s="374"/>
      <c r="I81" s="374"/>
      <c r="J81" s="368" t="s">
        <v>21</v>
      </c>
      <c r="K81" s="370" t="s">
        <v>602</v>
      </c>
      <c r="L81" s="349"/>
    </row>
    <row r="82" spans="1:13" ht="15.75" thickBot="1" x14ac:dyDescent="0.3">
      <c r="A82" s="366"/>
      <c r="B82" s="372"/>
      <c r="C82" s="372"/>
      <c r="D82" s="373"/>
      <c r="E82" s="69" t="s">
        <v>22</v>
      </c>
      <c r="F82" s="69" t="s">
        <v>600</v>
      </c>
      <c r="G82" s="69" t="s">
        <v>601</v>
      </c>
      <c r="H82" s="69" t="s">
        <v>589</v>
      </c>
      <c r="I82" s="69" t="s">
        <v>601</v>
      </c>
      <c r="J82" s="369"/>
      <c r="K82" s="371"/>
      <c r="L82" s="349"/>
    </row>
    <row r="83" spans="1:13" ht="15.75" thickBot="1" x14ac:dyDescent="0.3">
      <c r="A83" s="367"/>
      <c r="B83" s="127">
        <v>1</v>
      </c>
      <c r="C83" s="127">
        <v>2</v>
      </c>
      <c r="D83" s="127">
        <v>3</v>
      </c>
      <c r="E83" s="71">
        <v>4</v>
      </c>
      <c r="F83" s="71">
        <f>+E83+1</f>
        <v>5</v>
      </c>
      <c r="G83" s="71" t="s">
        <v>652</v>
      </c>
      <c r="H83" s="71">
        <v>7</v>
      </c>
      <c r="I83" s="72" t="s">
        <v>651</v>
      </c>
      <c r="J83" s="42" t="s">
        <v>650</v>
      </c>
      <c r="K83" s="42" t="s">
        <v>653</v>
      </c>
      <c r="L83" s="350"/>
    </row>
    <row r="84" spans="1:13" x14ac:dyDescent="0.25">
      <c r="A84" s="163"/>
      <c r="B84" s="73" t="s">
        <v>704</v>
      </c>
      <c r="C84" s="55"/>
      <c r="D84" s="55"/>
      <c r="E84" s="55"/>
      <c r="F84" s="55"/>
      <c r="G84" s="55"/>
      <c r="H84" s="55"/>
      <c r="I84" s="55"/>
      <c r="J84" s="55"/>
      <c r="K84" s="55"/>
      <c r="L84" s="135"/>
    </row>
    <row r="85" spans="1:13" x14ac:dyDescent="0.25">
      <c r="A85" s="155">
        <v>1</v>
      </c>
      <c r="B85" s="80" t="s">
        <v>169</v>
      </c>
      <c r="C85" s="81">
        <v>5000</v>
      </c>
      <c r="D85" s="145">
        <v>600.29999999999995</v>
      </c>
      <c r="E85" s="43">
        <v>0</v>
      </c>
      <c r="F85" s="43"/>
      <c r="G85" s="142">
        <f t="shared" ref="G85:G91" si="34">+E85+F85</f>
        <v>0</v>
      </c>
      <c r="H85" s="56"/>
      <c r="I85" s="57">
        <f t="shared" ref="I85:I91" si="35">+G85-H85</f>
        <v>0</v>
      </c>
      <c r="J85" s="57">
        <f t="shared" ref="J85:J91" si="36">I85*C85</f>
        <v>0</v>
      </c>
      <c r="K85" s="58">
        <f t="shared" ref="K85:K91" si="37">+D85*I85</f>
        <v>0</v>
      </c>
      <c r="L85" s="351"/>
    </row>
    <row r="86" spans="1:13" x14ac:dyDescent="0.25">
      <c r="A86" s="155">
        <v>2</v>
      </c>
      <c r="B86" s="80" t="s">
        <v>170</v>
      </c>
      <c r="C86" s="81">
        <v>5000</v>
      </c>
      <c r="D86" s="145">
        <v>582.69000000000005</v>
      </c>
      <c r="E86" s="43">
        <v>0</v>
      </c>
      <c r="F86" s="43"/>
      <c r="G86" s="142">
        <f t="shared" si="34"/>
        <v>0</v>
      </c>
      <c r="H86" s="56">
        <f>700-700</f>
        <v>0</v>
      </c>
      <c r="I86" s="57">
        <f t="shared" si="35"/>
        <v>0</v>
      </c>
      <c r="J86" s="57">
        <f t="shared" si="36"/>
        <v>0</v>
      </c>
      <c r="K86" s="58">
        <f t="shared" si="37"/>
        <v>0</v>
      </c>
      <c r="L86" s="351"/>
    </row>
    <row r="87" spans="1:13" x14ac:dyDescent="0.25">
      <c r="A87" s="155">
        <v>3</v>
      </c>
      <c r="B87" s="80" t="s">
        <v>171</v>
      </c>
      <c r="C87" s="81">
        <v>5000</v>
      </c>
      <c r="D87" s="145">
        <v>582.69000000000005</v>
      </c>
      <c r="E87" s="43">
        <v>0</v>
      </c>
      <c r="F87" s="43"/>
      <c r="G87" s="142">
        <f t="shared" si="34"/>
        <v>0</v>
      </c>
      <c r="H87" s="56">
        <f>700-700</f>
        <v>0</v>
      </c>
      <c r="I87" s="57">
        <f t="shared" si="35"/>
        <v>0</v>
      </c>
      <c r="J87" s="57">
        <f t="shared" si="36"/>
        <v>0</v>
      </c>
      <c r="K87" s="58">
        <f t="shared" si="37"/>
        <v>0</v>
      </c>
      <c r="L87" s="351"/>
    </row>
    <row r="88" spans="1:13" x14ac:dyDescent="0.25">
      <c r="A88" s="155">
        <v>4</v>
      </c>
      <c r="B88" s="80" t="s">
        <v>172</v>
      </c>
      <c r="C88" s="81">
        <v>5000</v>
      </c>
      <c r="D88" s="145">
        <v>539.53</v>
      </c>
      <c r="E88" s="43">
        <v>0</v>
      </c>
      <c r="F88" s="43"/>
      <c r="G88" s="142">
        <f t="shared" si="34"/>
        <v>0</v>
      </c>
      <c r="H88" s="56">
        <f>3485-3485+200-200</f>
        <v>0</v>
      </c>
      <c r="I88" s="57">
        <f t="shared" si="35"/>
        <v>0</v>
      </c>
      <c r="J88" s="57">
        <f t="shared" si="36"/>
        <v>0</v>
      </c>
      <c r="K88" s="58">
        <f t="shared" si="37"/>
        <v>0</v>
      </c>
      <c r="L88" s="351"/>
      <c r="M88" t="s">
        <v>940</v>
      </c>
    </row>
    <row r="89" spans="1:13" x14ac:dyDescent="0.25">
      <c r="A89" s="155">
        <v>5</v>
      </c>
      <c r="B89" s="80" t="s">
        <v>173</v>
      </c>
      <c r="C89" s="81">
        <v>5000</v>
      </c>
      <c r="D89" s="145">
        <v>735.57</v>
      </c>
      <c r="E89" s="43">
        <v>0</v>
      </c>
      <c r="F89" s="43"/>
      <c r="G89" s="142">
        <f t="shared" si="34"/>
        <v>0</v>
      </c>
      <c r="H89" s="56">
        <f>9355-9355</f>
        <v>0</v>
      </c>
      <c r="I89" s="57">
        <f t="shared" si="35"/>
        <v>0</v>
      </c>
      <c r="J89" s="57">
        <f t="shared" si="36"/>
        <v>0</v>
      </c>
      <c r="K89" s="58">
        <f t="shared" si="37"/>
        <v>0</v>
      </c>
      <c r="L89" s="351"/>
    </row>
    <row r="90" spans="1:13" x14ac:dyDescent="0.25">
      <c r="A90" s="155">
        <v>6</v>
      </c>
      <c r="B90" s="80" t="s">
        <v>174</v>
      </c>
      <c r="C90" s="81">
        <v>5000</v>
      </c>
      <c r="D90" s="145">
        <v>634.70000000000005</v>
      </c>
      <c r="E90" s="43">
        <v>0</v>
      </c>
      <c r="F90" s="43"/>
      <c r="G90" s="142">
        <f t="shared" si="34"/>
        <v>0</v>
      </c>
      <c r="H90" s="56">
        <f>6920-6920</f>
        <v>0</v>
      </c>
      <c r="I90" s="57">
        <f t="shared" si="35"/>
        <v>0</v>
      </c>
      <c r="J90" s="57">
        <f t="shared" si="36"/>
        <v>0</v>
      </c>
      <c r="K90" s="58">
        <f t="shared" si="37"/>
        <v>0</v>
      </c>
      <c r="L90" s="351"/>
    </row>
    <row r="91" spans="1:13" ht="15.75" thickBot="1" x14ac:dyDescent="0.3">
      <c r="A91" s="156">
        <v>7</v>
      </c>
      <c r="B91" s="147" t="s">
        <v>175</v>
      </c>
      <c r="C91" s="83">
        <v>5000</v>
      </c>
      <c r="D91" s="148">
        <v>807.02</v>
      </c>
      <c r="E91" s="157">
        <v>0</v>
      </c>
      <c r="F91" s="157"/>
      <c r="G91" s="150">
        <f t="shared" si="34"/>
        <v>0</v>
      </c>
      <c r="H91" s="56">
        <f>525-525</f>
        <v>0</v>
      </c>
      <c r="I91" s="65">
        <f t="shared" si="35"/>
        <v>0</v>
      </c>
      <c r="J91" s="65">
        <f t="shared" si="36"/>
        <v>0</v>
      </c>
      <c r="K91" s="66">
        <f t="shared" si="37"/>
        <v>0</v>
      </c>
      <c r="L91" s="351"/>
    </row>
    <row r="92" spans="1:13" ht="15.75" thickBot="1" x14ac:dyDescent="0.3">
      <c r="A92" s="131"/>
      <c r="B92" s="122" t="s">
        <v>705</v>
      </c>
      <c r="C92" s="36"/>
      <c r="D92" s="29"/>
      <c r="E92" s="29">
        <f>SUM(E85:E91)</f>
        <v>0</v>
      </c>
      <c r="F92" s="29">
        <f>SUM(F85:F91)</f>
        <v>0</v>
      </c>
      <c r="G92" s="29">
        <f>SUM(G85:G91)</f>
        <v>0</v>
      </c>
      <c r="H92" s="29">
        <f>SUM(H85:H91)</f>
        <v>0</v>
      </c>
      <c r="I92" s="29">
        <f>SUM(I85:I91)</f>
        <v>0</v>
      </c>
      <c r="J92" s="29">
        <f t="shared" ref="J92:K92" si="38">SUM(J85:J91)</f>
        <v>0</v>
      </c>
      <c r="K92" s="47">
        <f t="shared" si="38"/>
        <v>0</v>
      </c>
      <c r="L92" s="218"/>
    </row>
    <row r="93" spans="1:13" ht="15.75" thickBot="1" x14ac:dyDescent="0.3">
      <c r="B93" s="95"/>
      <c r="C93" s="96"/>
      <c r="D93" s="97"/>
      <c r="E93" s="98"/>
      <c r="F93" s="63"/>
      <c r="G93" s="98"/>
      <c r="H93" s="98"/>
      <c r="I93" s="98"/>
      <c r="J93" s="98"/>
      <c r="K93" s="97"/>
      <c r="L93" s="166"/>
    </row>
    <row r="94" spans="1:13" ht="15.75" thickBot="1" x14ac:dyDescent="0.3">
      <c r="A94" s="365" t="s">
        <v>657</v>
      </c>
      <c r="B94" s="372" t="s">
        <v>0</v>
      </c>
      <c r="C94" s="372" t="s">
        <v>1</v>
      </c>
      <c r="D94" s="373" t="s">
        <v>649</v>
      </c>
      <c r="E94" s="374" t="s">
        <v>19</v>
      </c>
      <c r="F94" s="374"/>
      <c r="G94" s="374"/>
      <c r="H94" s="374"/>
      <c r="I94" s="374"/>
      <c r="J94" s="368" t="s">
        <v>21</v>
      </c>
      <c r="K94" s="370" t="s">
        <v>602</v>
      </c>
      <c r="L94" s="349"/>
    </row>
    <row r="95" spans="1:13" ht="15.75" thickBot="1" x14ac:dyDescent="0.3">
      <c r="A95" s="366"/>
      <c r="B95" s="372"/>
      <c r="C95" s="372"/>
      <c r="D95" s="373"/>
      <c r="E95" s="69" t="s">
        <v>22</v>
      </c>
      <c r="F95" s="69" t="s">
        <v>600</v>
      </c>
      <c r="G95" s="69" t="s">
        <v>601</v>
      </c>
      <c r="H95" s="69" t="s">
        <v>589</v>
      </c>
      <c r="I95" s="69" t="s">
        <v>601</v>
      </c>
      <c r="J95" s="369"/>
      <c r="K95" s="371"/>
      <c r="L95" s="349"/>
    </row>
    <row r="96" spans="1:13" ht="15.75" thickBot="1" x14ac:dyDescent="0.3">
      <c r="A96" s="367"/>
      <c r="B96" s="127">
        <v>1</v>
      </c>
      <c r="C96" s="127">
        <v>2</v>
      </c>
      <c r="D96" s="127">
        <v>3</v>
      </c>
      <c r="E96" s="71">
        <v>4</v>
      </c>
      <c r="F96" s="71">
        <f>+E96+1</f>
        <v>5</v>
      </c>
      <c r="G96" s="71" t="s">
        <v>652</v>
      </c>
      <c r="H96" s="71">
        <v>7</v>
      </c>
      <c r="I96" s="72" t="s">
        <v>651</v>
      </c>
      <c r="J96" s="42" t="s">
        <v>650</v>
      </c>
      <c r="K96" s="42" t="s">
        <v>653</v>
      </c>
      <c r="L96" s="350"/>
    </row>
    <row r="97" spans="1:13" x14ac:dyDescent="0.25">
      <c r="A97" s="163"/>
      <c r="B97" s="73" t="s">
        <v>706</v>
      </c>
      <c r="C97" s="55"/>
      <c r="D97" s="55"/>
      <c r="E97" s="55"/>
      <c r="F97" s="55"/>
      <c r="G97" s="55"/>
      <c r="H97" s="55"/>
      <c r="I97" s="55"/>
      <c r="J97" s="55"/>
      <c r="K97" s="55"/>
      <c r="L97" s="135"/>
    </row>
    <row r="98" spans="1:13" x14ac:dyDescent="0.25">
      <c r="A98" s="155">
        <v>1</v>
      </c>
      <c r="B98" s="80" t="s">
        <v>874</v>
      </c>
      <c r="C98" s="81">
        <v>20000</v>
      </c>
      <c r="D98" s="145">
        <v>1728.55</v>
      </c>
      <c r="E98" s="43">
        <v>0</v>
      </c>
      <c r="F98" s="61"/>
      <c r="G98" s="142">
        <f t="shared" ref="G98:G104" si="39">+E98+F98</f>
        <v>0</v>
      </c>
      <c r="H98" s="56">
        <f>225-225</f>
        <v>0</v>
      </c>
      <c r="I98" s="57">
        <f t="shared" ref="I98:I104" si="40">+G98-H98</f>
        <v>0</v>
      </c>
      <c r="J98" s="57">
        <f t="shared" ref="J98:J104" si="41">I98*C98</f>
        <v>0</v>
      </c>
      <c r="K98" s="58">
        <f t="shared" ref="K98:K104" si="42">+D98*I98</f>
        <v>0</v>
      </c>
      <c r="L98" s="351"/>
    </row>
    <row r="99" spans="1:13" x14ac:dyDescent="0.25">
      <c r="A99" s="155">
        <v>2</v>
      </c>
      <c r="B99" s="80" t="s">
        <v>176</v>
      </c>
      <c r="C99" s="81">
        <v>5000</v>
      </c>
      <c r="D99" s="145">
        <v>138.94999999999999</v>
      </c>
      <c r="E99" s="43">
        <v>0</v>
      </c>
      <c r="F99" s="61"/>
      <c r="G99" s="142">
        <f t="shared" si="39"/>
        <v>0</v>
      </c>
      <c r="H99" s="56">
        <f>200-200</f>
        <v>0</v>
      </c>
      <c r="I99" s="57">
        <f t="shared" si="40"/>
        <v>0</v>
      </c>
      <c r="J99" s="57">
        <f t="shared" si="41"/>
        <v>0</v>
      </c>
      <c r="K99" s="58">
        <f t="shared" si="42"/>
        <v>0</v>
      </c>
      <c r="L99" s="351"/>
    </row>
    <row r="100" spans="1:13" x14ac:dyDescent="0.25">
      <c r="A100" s="155">
        <v>3</v>
      </c>
      <c r="B100" s="80" t="s">
        <v>177</v>
      </c>
      <c r="C100" s="81">
        <v>10000</v>
      </c>
      <c r="D100" s="145">
        <v>933.37</v>
      </c>
      <c r="E100" s="43">
        <v>0</v>
      </c>
      <c r="F100" s="61"/>
      <c r="G100" s="142">
        <f t="shared" si="39"/>
        <v>0</v>
      </c>
      <c r="H100" s="56">
        <f>3500-3500</f>
        <v>0</v>
      </c>
      <c r="I100" s="57">
        <f t="shared" si="40"/>
        <v>0</v>
      </c>
      <c r="J100" s="57">
        <f t="shared" si="41"/>
        <v>0</v>
      </c>
      <c r="K100" s="58">
        <f t="shared" si="42"/>
        <v>0</v>
      </c>
      <c r="L100" s="351"/>
    </row>
    <row r="101" spans="1:13" x14ac:dyDescent="0.25">
      <c r="A101" s="155">
        <v>4</v>
      </c>
      <c r="B101" s="80" t="s">
        <v>178</v>
      </c>
      <c r="C101" s="81">
        <v>5000</v>
      </c>
      <c r="D101" s="145">
        <v>423.66</v>
      </c>
      <c r="E101" s="43">
        <v>0</v>
      </c>
      <c r="F101" s="61"/>
      <c r="G101" s="142">
        <f t="shared" si="39"/>
        <v>0</v>
      </c>
      <c r="H101" s="56">
        <f>475-475</f>
        <v>0</v>
      </c>
      <c r="I101" s="57">
        <f t="shared" si="40"/>
        <v>0</v>
      </c>
      <c r="J101" s="57">
        <f t="shared" si="41"/>
        <v>0</v>
      </c>
      <c r="K101" s="58">
        <f t="shared" si="42"/>
        <v>0</v>
      </c>
      <c r="L101" s="351"/>
      <c r="M101" t="s">
        <v>941</v>
      </c>
    </row>
    <row r="102" spans="1:13" x14ac:dyDescent="0.25">
      <c r="A102" s="155">
        <v>5</v>
      </c>
      <c r="B102" s="80" t="s">
        <v>873</v>
      </c>
      <c r="C102" s="81">
        <v>5000</v>
      </c>
      <c r="D102" s="145">
        <v>1728.55</v>
      </c>
      <c r="E102" s="43">
        <v>0</v>
      </c>
      <c r="F102" s="61"/>
      <c r="G102" s="142">
        <f t="shared" si="39"/>
        <v>0</v>
      </c>
      <c r="H102" s="56">
        <f>800-800</f>
        <v>0</v>
      </c>
      <c r="I102" s="57">
        <f t="shared" si="40"/>
        <v>0</v>
      </c>
      <c r="J102" s="57">
        <f t="shared" si="41"/>
        <v>0</v>
      </c>
      <c r="K102" s="58">
        <f t="shared" si="42"/>
        <v>0</v>
      </c>
      <c r="L102" s="351"/>
      <c r="M102" s="232"/>
    </row>
    <row r="103" spans="1:13" x14ac:dyDescent="0.25">
      <c r="A103" s="155">
        <v>6</v>
      </c>
      <c r="B103" s="80" t="s">
        <v>179</v>
      </c>
      <c r="C103" s="81">
        <v>10000</v>
      </c>
      <c r="D103" s="145">
        <v>1049.3699999999999</v>
      </c>
      <c r="E103" s="43">
        <v>0</v>
      </c>
      <c r="F103" s="61"/>
      <c r="G103" s="142">
        <f t="shared" si="39"/>
        <v>0</v>
      </c>
      <c r="H103" s="56">
        <f>2000-2000</f>
        <v>0</v>
      </c>
      <c r="I103" s="57">
        <f t="shared" si="40"/>
        <v>0</v>
      </c>
      <c r="J103" s="57">
        <f t="shared" si="41"/>
        <v>0</v>
      </c>
      <c r="K103" s="58">
        <f t="shared" si="42"/>
        <v>0</v>
      </c>
      <c r="L103" s="351"/>
    </row>
    <row r="104" spans="1:13" ht="15.75" thickBot="1" x14ac:dyDescent="0.3">
      <c r="A104" s="156">
        <v>7</v>
      </c>
      <c r="B104" s="147" t="s">
        <v>180</v>
      </c>
      <c r="C104" s="83">
        <v>10000</v>
      </c>
      <c r="D104" s="148">
        <v>1001.07</v>
      </c>
      <c r="E104" s="157">
        <v>0</v>
      </c>
      <c r="F104" s="159"/>
      <c r="G104" s="150">
        <f t="shared" si="39"/>
        <v>0</v>
      </c>
      <c r="H104" s="56">
        <f>7975-7975</f>
        <v>0</v>
      </c>
      <c r="I104" s="65">
        <f t="shared" si="40"/>
        <v>0</v>
      </c>
      <c r="J104" s="65">
        <f t="shared" si="41"/>
        <v>0</v>
      </c>
      <c r="K104" s="66">
        <f t="shared" si="42"/>
        <v>0</v>
      </c>
      <c r="L104" s="351"/>
    </row>
    <row r="105" spans="1:13" ht="15.75" thickBot="1" x14ac:dyDescent="0.3">
      <c r="A105" s="131"/>
      <c r="B105" s="122" t="s">
        <v>707</v>
      </c>
      <c r="C105" s="36"/>
      <c r="D105" s="36"/>
      <c r="E105" s="29">
        <f>SUM(E98:E104)</f>
        <v>0</v>
      </c>
      <c r="F105" s="29">
        <f t="shared" ref="F105:H105" si="43">SUM(F98:F104)</f>
        <v>0</v>
      </c>
      <c r="G105" s="29">
        <f t="shared" si="43"/>
        <v>0</v>
      </c>
      <c r="H105" s="29">
        <f t="shared" si="43"/>
        <v>0</v>
      </c>
      <c r="I105" s="29">
        <f>SUM(I98:I104)</f>
        <v>0</v>
      </c>
      <c r="J105" s="29">
        <f t="shared" ref="J105:K105" si="44">SUM(J98:J104)</f>
        <v>0</v>
      </c>
      <c r="K105" s="47">
        <f t="shared" si="44"/>
        <v>0</v>
      </c>
      <c r="L105" s="218"/>
    </row>
    <row r="106" spans="1:13" x14ac:dyDescent="0.25">
      <c r="B106" s="164"/>
      <c r="C106" s="165"/>
      <c r="D106" s="166"/>
      <c r="E106" s="167"/>
      <c r="F106" s="68"/>
      <c r="G106" s="167"/>
      <c r="H106" s="167"/>
      <c r="I106" s="167"/>
      <c r="J106" s="167"/>
      <c r="K106" s="166"/>
      <c r="L106" s="166"/>
    </row>
    <row r="107" spans="1:13" ht="15.75" thickBot="1" x14ac:dyDescent="0.3">
      <c r="B107" s="141" t="s">
        <v>648</v>
      </c>
      <c r="C107" s="135"/>
      <c r="D107" s="135"/>
      <c r="E107" s="135"/>
      <c r="F107" s="135"/>
      <c r="G107" s="135"/>
      <c r="H107" s="135"/>
      <c r="I107" s="135"/>
      <c r="J107" s="135"/>
      <c r="K107" s="135"/>
      <c r="L107" s="135"/>
    </row>
    <row r="108" spans="1:13" ht="15.75" thickBot="1" x14ac:dyDescent="0.3">
      <c r="A108" s="365" t="s">
        <v>657</v>
      </c>
      <c r="B108" s="372" t="s">
        <v>0</v>
      </c>
      <c r="C108" s="372" t="s">
        <v>1</v>
      </c>
      <c r="D108" s="373" t="s">
        <v>649</v>
      </c>
      <c r="E108" s="374" t="s">
        <v>19</v>
      </c>
      <c r="F108" s="374"/>
      <c r="G108" s="374"/>
      <c r="H108" s="374"/>
      <c r="I108" s="374"/>
      <c r="J108" s="368" t="s">
        <v>21</v>
      </c>
      <c r="K108" s="370" t="s">
        <v>602</v>
      </c>
      <c r="L108" s="349"/>
    </row>
    <row r="109" spans="1:13" ht="15.75" thickBot="1" x14ac:dyDescent="0.3">
      <c r="A109" s="366"/>
      <c r="B109" s="372"/>
      <c r="C109" s="372"/>
      <c r="D109" s="373"/>
      <c r="E109" s="69" t="s">
        <v>22</v>
      </c>
      <c r="F109" s="69" t="s">
        <v>600</v>
      </c>
      <c r="G109" s="69" t="s">
        <v>601</v>
      </c>
      <c r="H109" s="69" t="s">
        <v>589</v>
      </c>
      <c r="I109" s="69" t="s">
        <v>601</v>
      </c>
      <c r="J109" s="369"/>
      <c r="K109" s="371"/>
      <c r="L109" s="349"/>
    </row>
    <row r="110" spans="1:13" ht="15.75" thickBot="1" x14ac:dyDescent="0.3">
      <c r="A110" s="367"/>
      <c r="B110" s="127">
        <v>1</v>
      </c>
      <c r="C110" s="127">
        <v>2</v>
      </c>
      <c r="D110" s="127">
        <v>3</v>
      </c>
      <c r="E110" s="71">
        <v>4</v>
      </c>
      <c r="F110" s="71">
        <f>+E110+1</f>
        <v>5</v>
      </c>
      <c r="G110" s="71" t="s">
        <v>652</v>
      </c>
      <c r="H110" s="71">
        <v>7</v>
      </c>
      <c r="I110" s="72" t="s">
        <v>651</v>
      </c>
      <c r="J110" s="42" t="s">
        <v>650</v>
      </c>
      <c r="K110" s="42" t="s">
        <v>653</v>
      </c>
      <c r="L110" s="350"/>
    </row>
    <row r="111" spans="1:13" x14ac:dyDescent="0.25">
      <c r="A111" s="163"/>
      <c r="B111" s="73" t="s">
        <v>698</v>
      </c>
      <c r="C111" s="55"/>
      <c r="D111" s="55"/>
      <c r="E111" s="55"/>
      <c r="F111" s="55"/>
      <c r="G111" s="55"/>
      <c r="H111" s="55"/>
      <c r="I111" s="55"/>
      <c r="J111" s="55"/>
      <c r="K111" s="55"/>
      <c r="L111" s="135"/>
    </row>
    <row r="112" spans="1:13" x14ac:dyDescent="0.25">
      <c r="A112" s="155">
        <v>1</v>
      </c>
      <c r="B112" s="80" t="s">
        <v>160</v>
      </c>
      <c r="C112" s="81">
        <v>6000</v>
      </c>
      <c r="D112" s="145">
        <v>654.19000000000005</v>
      </c>
      <c r="E112" s="61">
        <v>0</v>
      </c>
      <c r="F112" s="61"/>
      <c r="G112" s="142">
        <f t="shared" ref="G112:G114" si="45">+E112+F112</f>
        <v>0</v>
      </c>
      <c r="H112" s="56">
        <f>145-145</f>
        <v>0</v>
      </c>
      <c r="I112" s="57">
        <f t="shared" ref="I112:I114" si="46">+G112-H112</f>
        <v>0</v>
      </c>
      <c r="J112" s="57">
        <f t="shared" ref="J112:J114" si="47">I112*C112</f>
        <v>0</v>
      </c>
      <c r="K112" s="58">
        <f t="shared" ref="K112:K114" si="48">+D112*I112</f>
        <v>0</v>
      </c>
      <c r="L112" s="351"/>
    </row>
    <row r="113" spans="1:12" x14ac:dyDescent="0.25">
      <c r="A113" s="155">
        <v>2</v>
      </c>
      <c r="B113" s="80" t="s">
        <v>181</v>
      </c>
      <c r="C113" s="81">
        <v>100000</v>
      </c>
      <c r="D113" s="145">
        <v>25052.04</v>
      </c>
      <c r="E113" s="61">
        <v>0</v>
      </c>
      <c r="F113" s="61"/>
      <c r="G113" s="142">
        <f t="shared" si="45"/>
        <v>0</v>
      </c>
      <c r="H113" s="56">
        <f>222-222</f>
        <v>0</v>
      </c>
      <c r="I113" s="57">
        <f t="shared" si="46"/>
        <v>0</v>
      </c>
      <c r="J113" s="57">
        <f t="shared" si="47"/>
        <v>0</v>
      </c>
      <c r="K113" s="58">
        <f t="shared" si="48"/>
        <v>0</v>
      </c>
      <c r="L113" s="351"/>
    </row>
    <row r="114" spans="1:12" ht="15.75" thickBot="1" x14ac:dyDescent="0.3">
      <c r="A114" s="156">
        <v>3</v>
      </c>
      <c r="B114" s="147" t="s">
        <v>182</v>
      </c>
      <c r="C114" s="83">
        <v>44000</v>
      </c>
      <c r="D114" s="148">
        <v>4175.34</v>
      </c>
      <c r="E114" s="159">
        <v>0</v>
      </c>
      <c r="F114" s="159"/>
      <c r="G114" s="142">
        <f t="shared" si="45"/>
        <v>0</v>
      </c>
      <c r="H114" s="56">
        <f>112-112</f>
        <v>0</v>
      </c>
      <c r="I114" s="57">
        <f t="shared" si="46"/>
        <v>0</v>
      </c>
      <c r="J114" s="57">
        <f t="shared" si="47"/>
        <v>0</v>
      </c>
      <c r="K114" s="58">
        <f t="shared" si="48"/>
        <v>0</v>
      </c>
      <c r="L114" s="351"/>
    </row>
    <row r="115" spans="1:12" ht="15.75" thickBot="1" x14ac:dyDescent="0.3">
      <c r="A115" s="131"/>
      <c r="B115" s="122" t="s">
        <v>664</v>
      </c>
      <c r="C115" s="36"/>
      <c r="D115" s="36"/>
      <c r="E115" s="36">
        <f>SUM(E112:E114)</f>
        <v>0</v>
      </c>
      <c r="F115" s="36">
        <f>SUM(F112:F114)</f>
        <v>0</v>
      </c>
      <c r="G115" s="29">
        <f>SUM(G112:G114)</f>
        <v>0</v>
      </c>
      <c r="H115" s="29">
        <f>SUM(H112:H114)</f>
        <v>0</v>
      </c>
      <c r="I115" s="29">
        <f>SUM(I112:I114)</f>
        <v>0</v>
      </c>
      <c r="J115" s="29">
        <f t="shared" ref="J115:K115" si="49">SUM(J112:J114)</f>
        <v>0</v>
      </c>
      <c r="K115" s="47">
        <f t="shared" si="49"/>
        <v>0</v>
      </c>
      <c r="L115" s="218"/>
    </row>
    <row r="116" spans="1:12" ht="15.75" thickBot="1" x14ac:dyDescent="0.3">
      <c r="B116" s="95"/>
      <c r="C116" s="96"/>
      <c r="D116" s="97"/>
      <c r="E116" s="98"/>
      <c r="F116" s="63"/>
      <c r="G116" s="98"/>
      <c r="H116" s="98"/>
      <c r="I116" s="98"/>
      <c r="J116" s="98"/>
      <c r="K116" s="97"/>
      <c r="L116" s="166"/>
    </row>
    <row r="117" spans="1:12" ht="15.75" thickBot="1" x14ac:dyDescent="0.3">
      <c r="A117" s="365" t="s">
        <v>657</v>
      </c>
      <c r="B117" s="372" t="s">
        <v>708</v>
      </c>
      <c r="C117" s="372" t="s">
        <v>1</v>
      </c>
      <c r="D117" s="373" t="s">
        <v>649</v>
      </c>
      <c r="E117" s="374" t="s">
        <v>19</v>
      </c>
      <c r="F117" s="374"/>
      <c r="G117" s="374"/>
      <c r="H117" s="374"/>
      <c r="I117" s="374"/>
      <c r="J117" s="368" t="s">
        <v>21</v>
      </c>
      <c r="K117" s="370" t="s">
        <v>602</v>
      </c>
      <c r="L117" s="349"/>
    </row>
    <row r="118" spans="1:12" ht="15.75" thickBot="1" x14ac:dyDescent="0.3">
      <c r="A118" s="366"/>
      <c r="B118" s="372"/>
      <c r="C118" s="372"/>
      <c r="D118" s="373"/>
      <c r="E118" s="69" t="s">
        <v>22</v>
      </c>
      <c r="F118" s="69" t="s">
        <v>600</v>
      </c>
      <c r="G118" s="69" t="s">
        <v>601</v>
      </c>
      <c r="H118" s="69" t="s">
        <v>589</v>
      </c>
      <c r="I118" s="69" t="s">
        <v>601</v>
      </c>
      <c r="J118" s="369"/>
      <c r="K118" s="371"/>
      <c r="L118" s="349"/>
    </row>
    <row r="119" spans="1:12" ht="15.75" thickBot="1" x14ac:dyDescent="0.3">
      <c r="A119" s="367"/>
      <c r="B119" s="151">
        <v>1</v>
      </c>
      <c r="C119" s="151">
        <v>2</v>
      </c>
      <c r="D119" s="151">
        <v>3</v>
      </c>
      <c r="E119" s="71">
        <v>4</v>
      </c>
      <c r="F119" s="71">
        <f>+E119+1</f>
        <v>5</v>
      </c>
      <c r="G119" s="71" t="s">
        <v>652</v>
      </c>
      <c r="H119" s="71">
        <v>7</v>
      </c>
      <c r="I119" s="72" t="s">
        <v>651</v>
      </c>
      <c r="J119" s="42" t="s">
        <v>650</v>
      </c>
      <c r="K119" s="42" t="s">
        <v>653</v>
      </c>
      <c r="L119" s="350"/>
    </row>
    <row r="120" spans="1:12" x14ac:dyDescent="0.25">
      <c r="A120" s="153"/>
      <c r="B120" s="73" t="s">
        <v>700</v>
      </c>
      <c r="C120" s="55"/>
      <c r="D120" s="55"/>
      <c r="E120" s="55"/>
      <c r="F120" s="55"/>
      <c r="G120" s="55"/>
      <c r="H120" s="55"/>
      <c r="I120" s="55"/>
      <c r="J120" s="55"/>
      <c r="K120" s="55"/>
      <c r="L120" s="135"/>
    </row>
    <row r="121" spans="1:12" x14ac:dyDescent="0.25">
      <c r="A121" s="155">
        <v>1</v>
      </c>
      <c r="B121" s="80" t="s">
        <v>183</v>
      </c>
      <c r="C121" s="81">
        <v>30000</v>
      </c>
      <c r="D121" s="145">
        <v>4175.34</v>
      </c>
      <c r="E121" s="43">
        <v>0</v>
      </c>
      <c r="F121" s="43"/>
      <c r="G121" s="142">
        <f t="shared" ref="G121:G122" si="50">+E121+F121</f>
        <v>0</v>
      </c>
      <c r="H121" s="56">
        <f>21499-21499</f>
        <v>0</v>
      </c>
      <c r="I121" s="57">
        <f t="shared" ref="I121:I122" si="51">+G121-H121</f>
        <v>0</v>
      </c>
      <c r="J121" s="57">
        <f t="shared" ref="J121:J122" si="52">I121*C121</f>
        <v>0</v>
      </c>
      <c r="K121" s="58">
        <f t="shared" ref="K121:K122" si="53">+D121*I121</f>
        <v>0</v>
      </c>
      <c r="L121" s="363" t="s">
        <v>1021</v>
      </c>
    </row>
    <row r="122" spans="1:12" ht="15.75" thickBot="1" x14ac:dyDescent="0.3">
      <c r="A122" s="156">
        <v>2</v>
      </c>
      <c r="B122" s="147" t="s">
        <v>184</v>
      </c>
      <c r="C122" s="83">
        <v>12000</v>
      </c>
      <c r="D122" s="148">
        <v>976.95</v>
      </c>
      <c r="E122" s="157">
        <v>0</v>
      </c>
      <c r="F122" s="157"/>
      <c r="G122" s="150">
        <f t="shared" si="50"/>
        <v>0</v>
      </c>
      <c r="H122" s="56">
        <f>2000-2000</f>
        <v>0</v>
      </c>
      <c r="I122" s="65">
        <f t="shared" si="51"/>
        <v>0</v>
      </c>
      <c r="J122" s="65">
        <f t="shared" si="52"/>
        <v>0</v>
      </c>
      <c r="K122" s="66">
        <f t="shared" si="53"/>
        <v>0</v>
      </c>
      <c r="L122" s="351"/>
    </row>
    <row r="123" spans="1:12" ht="15.75" thickBot="1" x14ac:dyDescent="0.3">
      <c r="A123" s="131"/>
      <c r="B123" s="122" t="s">
        <v>666</v>
      </c>
      <c r="C123" s="36"/>
      <c r="D123" s="36"/>
      <c r="E123" s="29">
        <f>SUM(E121:E122)</f>
        <v>0</v>
      </c>
      <c r="F123" s="36"/>
      <c r="G123" s="29">
        <f>SUM(G121:G122)</f>
        <v>0</v>
      </c>
      <c r="H123" s="29">
        <f>SUM(H121:H122)</f>
        <v>0</v>
      </c>
      <c r="I123" s="29">
        <f>SUM(I121:I122)</f>
        <v>0</v>
      </c>
      <c r="J123" s="29">
        <f t="shared" ref="J123:K123" si="54">SUM(J121:J122)</f>
        <v>0</v>
      </c>
      <c r="K123" s="31">
        <f t="shared" si="54"/>
        <v>0</v>
      </c>
      <c r="L123" s="162"/>
    </row>
    <row r="124" spans="1:12" ht="15.75" thickBot="1" x14ac:dyDescent="0.3">
      <c r="B124" s="95"/>
      <c r="C124" s="96"/>
      <c r="D124" s="97"/>
      <c r="E124" s="98"/>
      <c r="F124" s="63"/>
      <c r="G124" s="98"/>
      <c r="H124" s="98"/>
      <c r="I124" s="98"/>
      <c r="J124" s="98"/>
      <c r="K124" s="97"/>
      <c r="L124" s="166"/>
    </row>
    <row r="125" spans="1:12" ht="15.75" thickBot="1" x14ac:dyDescent="0.3">
      <c r="A125" s="365" t="s">
        <v>657</v>
      </c>
      <c r="B125" s="372" t="s">
        <v>708</v>
      </c>
      <c r="C125" s="372" t="s">
        <v>1</v>
      </c>
      <c r="D125" s="373" t="s">
        <v>649</v>
      </c>
      <c r="E125" s="374" t="s">
        <v>19</v>
      </c>
      <c r="F125" s="374"/>
      <c r="G125" s="374"/>
      <c r="H125" s="374"/>
      <c r="I125" s="374"/>
      <c r="J125" s="368" t="s">
        <v>21</v>
      </c>
      <c r="K125" s="370" t="s">
        <v>602</v>
      </c>
      <c r="L125" s="349"/>
    </row>
    <row r="126" spans="1:12" ht="15.75" thickBot="1" x14ac:dyDescent="0.3">
      <c r="A126" s="366"/>
      <c r="B126" s="372"/>
      <c r="C126" s="372"/>
      <c r="D126" s="373"/>
      <c r="E126" s="69" t="s">
        <v>22</v>
      </c>
      <c r="F126" s="69" t="s">
        <v>600</v>
      </c>
      <c r="G126" s="69" t="s">
        <v>601</v>
      </c>
      <c r="H126" s="69" t="s">
        <v>589</v>
      </c>
      <c r="I126" s="69" t="s">
        <v>601</v>
      </c>
      <c r="J126" s="369"/>
      <c r="K126" s="371"/>
      <c r="L126" s="349"/>
    </row>
    <row r="127" spans="1:12" ht="15.75" thickBot="1" x14ac:dyDescent="0.3">
      <c r="A127" s="367"/>
      <c r="B127" s="171">
        <v>1</v>
      </c>
      <c r="C127" s="171">
        <v>2</v>
      </c>
      <c r="D127" s="171">
        <v>3</v>
      </c>
      <c r="E127" s="71">
        <v>4</v>
      </c>
      <c r="F127" s="71">
        <f>+E127+1</f>
        <v>5</v>
      </c>
      <c r="G127" s="71" t="s">
        <v>652</v>
      </c>
      <c r="H127" s="71">
        <v>7</v>
      </c>
      <c r="I127" s="72" t="s">
        <v>651</v>
      </c>
      <c r="J127" s="42" t="s">
        <v>650</v>
      </c>
      <c r="K127" s="42" t="s">
        <v>653</v>
      </c>
      <c r="L127" s="350"/>
    </row>
    <row r="128" spans="1:12" x14ac:dyDescent="0.25">
      <c r="A128" s="163"/>
      <c r="B128" s="73" t="s">
        <v>703</v>
      </c>
      <c r="C128" s="55"/>
      <c r="D128" s="55"/>
      <c r="E128" s="55"/>
      <c r="F128" s="55"/>
      <c r="G128" s="55"/>
      <c r="H128" s="55"/>
      <c r="I128" s="55"/>
      <c r="J128" s="55"/>
      <c r="K128" s="55"/>
      <c r="L128" s="135"/>
    </row>
    <row r="129" spans="1:12" x14ac:dyDescent="0.25">
      <c r="A129" s="155">
        <v>1</v>
      </c>
      <c r="B129" s="80" t="s">
        <v>185</v>
      </c>
      <c r="C129" s="81">
        <v>60000</v>
      </c>
      <c r="D129" s="145">
        <v>60000</v>
      </c>
      <c r="E129" s="43">
        <v>0</v>
      </c>
      <c r="F129" s="61"/>
      <c r="G129" s="142">
        <f t="shared" ref="G129:G130" si="55">+E129+F129</f>
        <v>0</v>
      </c>
      <c r="H129" s="56">
        <f>1004-1004</f>
        <v>0</v>
      </c>
      <c r="I129" s="57">
        <f t="shared" ref="I129:I130" si="56">+G129-H129</f>
        <v>0</v>
      </c>
      <c r="J129" s="57">
        <f t="shared" ref="J129:J130" si="57">I129*C129</f>
        <v>0</v>
      </c>
      <c r="K129" s="58">
        <f t="shared" ref="K129:K130" si="58">+D129*I129</f>
        <v>0</v>
      </c>
      <c r="L129" s="351"/>
    </row>
    <row r="130" spans="1:12" ht="15.75" thickBot="1" x14ac:dyDescent="0.3">
      <c r="A130" s="156">
        <v>2</v>
      </c>
      <c r="B130" s="147" t="s">
        <v>186</v>
      </c>
      <c r="C130" s="83">
        <v>50000</v>
      </c>
      <c r="D130" s="148">
        <v>50000</v>
      </c>
      <c r="E130" s="157">
        <v>0</v>
      </c>
      <c r="F130" s="159"/>
      <c r="G130" s="150">
        <f t="shared" si="55"/>
        <v>0</v>
      </c>
      <c r="H130" s="56">
        <f>1040-1040</f>
        <v>0</v>
      </c>
      <c r="I130" s="65">
        <f t="shared" si="56"/>
        <v>0</v>
      </c>
      <c r="J130" s="65">
        <f t="shared" si="57"/>
        <v>0</v>
      </c>
      <c r="K130" s="66">
        <f t="shared" si="58"/>
        <v>0</v>
      </c>
      <c r="L130" s="351"/>
    </row>
    <row r="131" spans="1:12" ht="15.75" thickBot="1" x14ac:dyDescent="0.3">
      <c r="A131" s="131"/>
      <c r="B131" s="122" t="s">
        <v>669</v>
      </c>
      <c r="C131" s="36"/>
      <c r="D131" s="36"/>
      <c r="E131" s="29">
        <f>SUM(E129:E130)</f>
        <v>0</v>
      </c>
      <c r="F131" s="36"/>
      <c r="G131" s="29">
        <f>SUM(G129:G130)</f>
        <v>0</v>
      </c>
      <c r="H131" s="29">
        <f>SUM(H129:H130)</f>
        <v>0</v>
      </c>
      <c r="I131" s="29">
        <f>SUM(I129:I130)</f>
        <v>0</v>
      </c>
      <c r="J131" s="29">
        <f t="shared" ref="J131:K131" si="59">SUM(J129:J130)</f>
        <v>0</v>
      </c>
      <c r="K131" s="47">
        <f t="shared" si="59"/>
        <v>0</v>
      </c>
      <c r="L131" s="218"/>
    </row>
    <row r="132" spans="1:12" ht="15.75" thickBot="1" x14ac:dyDescent="0.3">
      <c r="B132" s="95"/>
      <c r="C132" s="96"/>
      <c r="D132" s="97"/>
      <c r="E132" s="98"/>
      <c r="F132" s="63"/>
      <c r="G132" s="98"/>
      <c r="H132" s="98"/>
      <c r="I132" s="98"/>
      <c r="J132" s="98"/>
      <c r="K132" s="97"/>
      <c r="L132" s="166"/>
    </row>
    <row r="133" spans="1:12" ht="15.75" thickBot="1" x14ac:dyDescent="0.3">
      <c r="A133" s="365" t="s">
        <v>657</v>
      </c>
      <c r="B133" s="372" t="s">
        <v>708</v>
      </c>
      <c r="C133" s="372" t="s">
        <v>1</v>
      </c>
      <c r="D133" s="373" t="s">
        <v>649</v>
      </c>
      <c r="E133" s="374" t="s">
        <v>19</v>
      </c>
      <c r="F133" s="374"/>
      <c r="G133" s="374"/>
      <c r="H133" s="374"/>
      <c r="I133" s="374"/>
      <c r="J133" s="368" t="s">
        <v>21</v>
      </c>
      <c r="K133" s="370" t="s">
        <v>602</v>
      </c>
      <c r="L133" s="349"/>
    </row>
    <row r="134" spans="1:12" ht="15.75" thickBot="1" x14ac:dyDescent="0.3">
      <c r="A134" s="366"/>
      <c r="B134" s="372"/>
      <c r="C134" s="372"/>
      <c r="D134" s="373"/>
      <c r="E134" s="69" t="s">
        <v>22</v>
      </c>
      <c r="F134" s="69" t="s">
        <v>600</v>
      </c>
      <c r="G134" s="69" t="s">
        <v>601</v>
      </c>
      <c r="H134" s="69" t="s">
        <v>589</v>
      </c>
      <c r="I134" s="69" t="s">
        <v>601</v>
      </c>
      <c r="J134" s="369"/>
      <c r="K134" s="371"/>
      <c r="L134" s="349"/>
    </row>
    <row r="135" spans="1:12" ht="15.75" thickBot="1" x14ac:dyDescent="0.3">
      <c r="A135" s="367"/>
      <c r="B135" s="171">
        <v>1</v>
      </c>
      <c r="C135" s="171">
        <v>2</v>
      </c>
      <c r="D135" s="171">
        <v>3</v>
      </c>
      <c r="E135" s="71">
        <v>4</v>
      </c>
      <c r="F135" s="71">
        <f>+E135+1</f>
        <v>5</v>
      </c>
      <c r="G135" s="71" t="s">
        <v>652</v>
      </c>
      <c r="H135" s="71">
        <v>7</v>
      </c>
      <c r="I135" s="72" t="s">
        <v>651</v>
      </c>
      <c r="J135" s="42" t="s">
        <v>650</v>
      </c>
      <c r="K135" s="42" t="s">
        <v>653</v>
      </c>
      <c r="L135" s="350"/>
    </row>
    <row r="136" spans="1:12" x14ac:dyDescent="0.25">
      <c r="A136" s="163"/>
      <c r="B136" s="73" t="s">
        <v>709</v>
      </c>
      <c r="C136" s="55"/>
      <c r="D136" s="55"/>
      <c r="E136" s="55"/>
      <c r="F136" s="55"/>
      <c r="G136" s="55"/>
      <c r="H136" s="55"/>
      <c r="I136" s="55"/>
      <c r="J136" s="55"/>
      <c r="K136" s="55"/>
      <c r="L136" s="135"/>
    </row>
    <row r="137" spans="1:12" x14ac:dyDescent="0.25">
      <c r="A137" s="155">
        <v>1</v>
      </c>
      <c r="B137" s="80" t="s">
        <v>187</v>
      </c>
      <c r="C137" s="81">
        <v>12000</v>
      </c>
      <c r="D137" s="145">
        <v>1732.5</v>
      </c>
      <c r="E137" s="43">
        <v>0</v>
      </c>
      <c r="F137" s="61"/>
      <c r="G137" s="142">
        <f t="shared" ref="G137:G140" si="60">+E137+F137</f>
        <v>0</v>
      </c>
      <c r="H137" s="56">
        <f>1154-1154</f>
        <v>0</v>
      </c>
      <c r="I137" s="57">
        <f t="shared" ref="I137:I140" si="61">+G137-H137</f>
        <v>0</v>
      </c>
      <c r="J137" s="57">
        <f t="shared" ref="J137:J140" si="62">I137*C137</f>
        <v>0</v>
      </c>
      <c r="K137" s="58">
        <f t="shared" ref="K137:K140" si="63">+D137*I137</f>
        <v>0</v>
      </c>
      <c r="L137" s="351"/>
    </row>
    <row r="138" spans="1:12" x14ac:dyDescent="0.25">
      <c r="A138" s="155">
        <v>2</v>
      </c>
      <c r="B138" s="80" t="s">
        <v>188</v>
      </c>
      <c r="C138" s="81">
        <v>31000</v>
      </c>
      <c r="D138" s="145">
        <v>1784.75</v>
      </c>
      <c r="E138" s="43">
        <v>0</v>
      </c>
      <c r="F138" s="61"/>
      <c r="G138" s="142">
        <f t="shared" si="60"/>
        <v>0</v>
      </c>
      <c r="H138" s="56">
        <f>5775-5775</f>
        <v>0</v>
      </c>
      <c r="I138" s="57">
        <f t="shared" si="61"/>
        <v>0</v>
      </c>
      <c r="J138" s="57">
        <f t="shared" si="62"/>
        <v>0</v>
      </c>
      <c r="K138" s="58">
        <f t="shared" si="63"/>
        <v>0</v>
      </c>
      <c r="L138" s="351"/>
    </row>
    <row r="139" spans="1:12" x14ac:dyDescent="0.25">
      <c r="A139" s="155">
        <v>3</v>
      </c>
      <c r="B139" s="80" t="s">
        <v>189</v>
      </c>
      <c r="C139" s="81">
        <v>15000</v>
      </c>
      <c r="D139" s="145">
        <f>1696.75+495</f>
        <v>2191.75</v>
      </c>
      <c r="E139" s="43">
        <v>0</v>
      </c>
      <c r="F139" s="61"/>
      <c r="G139" s="142">
        <f t="shared" si="60"/>
        <v>0</v>
      </c>
      <c r="H139" s="56">
        <f>20-20</f>
        <v>0</v>
      </c>
      <c r="I139" s="57">
        <f t="shared" si="61"/>
        <v>0</v>
      </c>
      <c r="J139" s="57">
        <f t="shared" si="62"/>
        <v>0</v>
      </c>
      <c r="K139" s="58">
        <f t="shared" si="63"/>
        <v>0</v>
      </c>
      <c r="L139" s="351"/>
    </row>
    <row r="140" spans="1:12" ht="15.75" thickBot="1" x14ac:dyDescent="0.3">
      <c r="A140" s="156">
        <v>4</v>
      </c>
      <c r="B140" s="147" t="s">
        <v>190</v>
      </c>
      <c r="C140" s="83">
        <v>27000</v>
      </c>
      <c r="D140" s="148">
        <v>1815</v>
      </c>
      <c r="E140" s="157">
        <v>1000</v>
      </c>
      <c r="F140" s="159"/>
      <c r="G140" s="150">
        <f t="shared" si="60"/>
        <v>1000</v>
      </c>
      <c r="H140" s="59">
        <v>1000</v>
      </c>
      <c r="I140" s="65">
        <f t="shared" si="61"/>
        <v>0</v>
      </c>
      <c r="J140" s="65">
        <f t="shared" si="62"/>
        <v>0</v>
      </c>
      <c r="K140" s="66">
        <f t="shared" si="63"/>
        <v>0</v>
      </c>
      <c r="L140" s="351"/>
    </row>
    <row r="141" spans="1:12" ht="15.75" thickBot="1" x14ac:dyDescent="0.3">
      <c r="A141" s="131"/>
      <c r="B141" s="122" t="s">
        <v>670</v>
      </c>
      <c r="C141" s="36"/>
      <c r="D141" s="36"/>
      <c r="E141" s="29">
        <f>SUM(E137:E140)</f>
        <v>1000</v>
      </c>
      <c r="F141" s="29"/>
      <c r="G141" s="29">
        <f>SUM(G137:G140)</f>
        <v>1000</v>
      </c>
      <c r="H141" s="29">
        <f>SUM(H137:H140)</f>
        <v>1000</v>
      </c>
      <c r="I141" s="29">
        <f>SUM(I137:I140)</f>
        <v>0</v>
      </c>
      <c r="J141" s="29">
        <f t="shared" ref="J141:K141" si="64">SUM(J137:J140)</f>
        <v>0</v>
      </c>
      <c r="K141" s="47">
        <f t="shared" si="64"/>
        <v>0</v>
      </c>
      <c r="L141" s="218"/>
    </row>
    <row r="142" spans="1:12" ht="15.75" thickBot="1" x14ac:dyDescent="0.3">
      <c r="B142" s="95"/>
      <c r="C142" s="96"/>
      <c r="D142" s="97"/>
      <c r="E142" s="98"/>
      <c r="F142" s="63"/>
      <c r="G142" s="98"/>
      <c r="H142" s="98"/>
      <c r="I142" s="98"/>
      <c r="J142" s="98"/>
      <c r="K142" s="97"/>
      <c r="L142" s="166"/>
    </row>
    <row r="143" spans="1:12" ht="15.75" thickBot="1" x14ac:dyDescent="0.3">
      <c r="A143" s="365" t="s">
        <v>657</v>
      </c>
      <c r="B143" s="372" t="s">
        <v>708</v>
      </c>
      <c r="C143" s="372" t="s">
        <v>1</v>
      </c>
      <c r="D143" s="373" t="s">
        <v>649</v>
      </c>
      <c r="E143" s="374" t="s">
        <v>19</v>
      </c>
      <c r="F143" s="374"/>
      <c r="G143" s="374"/>
      <c r="H143" s="374"/>
      <c r="I143" s="374"/>
      <c r="J143" s="368" t="s">
        <v>21</v>
      </c>
      <c r="K143" s="370" t="s">
        <v>602</v>
      </c>
      <c r="L143" s="349"/>
    </row>
    <row r="144" spans="1:12" ht="15.75" thickBot="1" x14ac:dyDescent="0.3">
      <c r="A144" s="366"/>
      <c r="B144" s="372"/>
      <c r="C144" s="372"/>
      <c r="D144" s="373"/>
      <c r="E144" s="69" t="s">
        <v>22</v>
      </c>
      <c r="F144" s="69" t="s">
        <v>600</v>
      </c>
      <c r="G144" s="69" t="s">
        <v>601</v>
      </c>
      <c r="H144" s="69" t="s">
        <v>589</v>
      </c>
      <c r="I144" s="69" t="s">
        <v>601</v>
      </c>
      <c r="J144" s="369"/>
      <c r="K144" s="371"/>
      <c r="L144" s="349"/>
    </row>
    <row r="145" spans="1:12" ht="15.75" thickBot="1" x14ac:dyDescent="0.3">
      <c r="A145" s="367"/>
      <c r="B145" s="171">
        <v>1</v>
      </c>
      <c r="C145" s="171">
        <v>2</v>
      </c>
      <c r="D145" s="171">
        <v>3</v>
      </c>
      <c r="E145" s="71">
        <v>4</v>
      </c>
      <c r="F145" s="71">
        <f>+E145+1</f>
        <v>5</v>
      </c>
      <c r="G145" s="71" t="s">
        <v>652</v>
      </c>
      <c r="H145" s="71">
        <v>7</v>
      </c>
      <c r="I145" s="72" t="s">
        <v>651</v>
      </c>
      <c r="J145" s="42" t="s">
        <v>650</v>
      </c>
      <c r="K145" s="42" t="s">
        <v>653</v>
      </c>
      <c r="L145" s="350"/>
    </row>
    <row r="146" spans="1:12" x14ac:dyDescent="0.25">
      <c r="A146" s="163"/>
      <c r="B146" s="73" t="s">
        <v>704</v>
      </c>
      <c r="C146" s="55"/>
      <c r="D146" s="55"/>
      <c r="E146" s="55"/>
      <c r="F146" s="55"/>
      <c r="G146" s="55"/>
      <c r="H146" s="55"/>
      <c r="I146" s="55"/>
      <c r="J146" s="55"/>
      <c r="K146" s="55"/>
      <c r="L146" s="135"/>
    </row>
    <row r="147" spans="1:12" x14ac:dyDescent="0.25">
      <c r="A147" s="155">
        <v>1</v>
      </c>
      <c r="B147" s="80" t="s">
        <v>775</v>
      </c>
      <c r="C147" s="81">
        <v>9000</v>
      </c>
      <c r="D147" s="145">
        <v>4838</v>
      </c>
      <c r="E147" s="43">
        <v>0</v>
      </c>
      <c r="F147" s="43"/>
      <c r="G147" s="142">
        <f t="shared" ref="G147:G151" si="65">+E147+F147</f>
        <v>0</v>
      </c>
      <c r="H147" s="56">
        <f>500-500</f>
        <v>0</v>
      </c>
      <c r="I147" s="57">
        <f t="shared" ref="I147:I151" si="66">+G147-H147</f>
        <v>0</v>
      </c>
      <c r="J147" s="57">
        <f t="shared" ref="J147:J151" si="67">I147*C147</f>
        <v>0</v>
      </c>
      <c r="K147" s="58">
        <f t="shared" ref="K147:K151" si="68">+D147*I147</f>
        <v>0</v>
      </c>
      <c r="L147" s="351"/>
    </row>
    <row r="148" spans="1:12" x14ac:dyDescent="0.25">
      <c r="A148" s="155">
        <v>2</v>
      </c>
      <c r="B148" s="80" t="s">
        <v>191</v>
      </c>
      <c r="C148" s="81">
        <v>6000</v>
      </c>
      <c r="D148" s="145">
        <f>176.31*4</f>
        <v>705.24</v>
      </c>
      <c r="E148" s="43">
        <v>0</v>
      </c>
      <c r="F148" s="43"/>
      <c r="G148" s="142">
        <f t="shared" si="65"/>
        <v>0</v>
      </c>
      <c r="H148" s="56">
        <f>41-41</f>
        <v>0</v>
      </c>
      <c r="I148" s="57">
        <f t="shared" si="66"/>
        <v>0</v>
      </c>
      <c r="J148" s="57">
        <f t="shared" si="67"/>
        <v>0</v>
      </c>
      <c r="K148" s="58">
        <f t="shared" si="68"/>
        <v>0</v>
      </c>
      <c r="L148" s="351"/>
    </row>
    <row r="149" spans="1:12" x14ac:dyDescent="0.25">
      <c r="A149" s="155">
        <v>3</v>
      </c>
      <c r="B149" s="80" t="s">
        <v>192</v>
      </c>
      <c r="C149" s="81">
        <v>9000</v>
      </c>
      <c r="D149" s="145">
        <v>4270.13</v>
      </c>
      <c r="E149" s="43">
        <v>200</v>
      </c>
      <c r="F149" s="43"/>
      <c r="G149" s="142">
        <f t="shared" si="65"/>
        <v>200</v>
      </c>
      <c r="H149" s="56"/>
      <c r="I149" s="57">
        <f t="shared" si="66"/>
        <v>200</v>
      </c>
      <c r="J149" s="57">
        <f t="shared" si="67"/>
        <v>1800000</v>
      </c>
      <c r="K149" s="58">
        <f t="shared" si="68"/>
        <v>854026</v>
      </c>
      <c r="L149" s="363" t="s">
        <v>1027</v>
      </c>
    </row>
    <row r="150" spans="1:12" x14ac:dyDescent="0.25">
      <c r="A150" s="155">
        <v>4</v>
      </c>
      <c r="B150" s="80" t="s">
        <v>193</v>
      </c>
      <c r="C150" s="81">
        <v>20000</v>
      </c>
      <c r="D150" s="145">
        <v>4318</v>
      </c>
      <c r="E150" s="43">
        <v>0</v>
      </c>
      <c r="F150" s="43"/>
      <c r="G150" s="142">
        <f t="shared" si="65"/>
        <v>0</v>
      </c>
      <c r="H150" s="56">
        <f>100-100</f>
        <v>0</v>
      </c>
      <c r="I150" s="57">
        <f t="shared" si="66"/>
        <v>0</v>
      </c>
      <c r="J150" s="57">
        <f t="shared" si="67"/>
        <v>0</v>
      </c>
      <c r="K150" s="58">
        <f t="shared" si="68"/>
        <v>0</v>
      </c>
      <c r="L150" s="351"/>
    </row>
    <row r="151" spans="1:12" ht="15.75" thickBot="1" x14ac:dyDescent="0.3">
      <c r="A151" s="156">
        <v>5</v>
      </c>
      <c r="B151" s="147" t="s">
        <v>194</v>
      </c>
      <c r="C151" s="83">
        <v>16500</v>
      </c>
      <c r="D151" s="148">
        <v>4036.8</v>
      </c>
      <c r="E151" s="157">
        <v>0</v>
      </c>
      <c r="F151" s="157"/>
      <c r="G151" s="150">
        <f t="shared" si="65"/>
        <v>0</v>
      </c>
      <c r="H151" s="56">
        <f>500-500</f>
        <v>0</v>
      </c>
      <c r="I151" s="65">
        <f t="shared" si="66"/>
        <v>0</v>
      </c>
      <c r="J151" s="65">
        <f t="shared" si="67"/>
        <v>0</v>
      </c>
      <c r="K151" s="66">
        <f t="shared" si="68"/>
        <v>0</v>
      </c>
      <c r="L151" s="351"/>
    </row>
    <row r="152" spans="1:12" ht="15.75" thickBot="1" x14ac:dyDescent="0.3">
      <c r="A152" s="131"/>
      <c r="B152" s="122" t="s">
        <v>673</v>
      </c>
      <c r="C152" s="36"/>
      <c r="D152" s="36"/>
      <c r="E152" s="29">
        <f>SUM(E147:E151)</f>
        <v>200</v>
      </c>
      <c r="F152" s="29"/>
      <c r="G152" s="29">
        <f>SUM(G147:G151)</f>
        <v>200</v>
      </c>
      <c r="H152" s="29">
        <f>SUM(H147:H151)</f>
        <v>0</v>
      </c>
      <c r="I152" s="29">
        <f>SUM(I147:I151)</f>
        <v>200</v>
      </c>
      <c r="J152" s="29">
        <f t="shared" ref="J152:K152" si="69">SUM(J147:J151)</f>
        <v>1800000</v>
      </c>
      <c r="K152" s="47">
        <f t="shared" si="69"/>
        <v>854026</v>
      </c>
      <c r="L152" s="218"/>
    </row>
    <row r="153" spans="1:12" ht="15.75" thickBot="1" x14ac:dyDescent="0.3">
      <c r="B153" s="95"/>
      <c r="C153" s="96"/>
      <c r="D153" s="97"/>
      <c r="E153" s="98"/>
      <c r="F153" s="63"/>
      <c r="G153" s="98"/>
      <c r="H153" s="98"/>
      <c r="I153" s="98"/>
      <c r="J153" s="98"/>
      <c r="K153" s="97"/>
      <c r="L153" s="166"/>
    </row>
    <row r="154" spans="1:12" ht="15.75" thickBot="1" x14ac:dyDescent="0.3">
      <c r="A154" s="365" t="s">
        <v>657</v>
      </c>
      <c r="B154" s="372" t="s">
        <v>708</v>
      </c>
      <c r="C154" s="372" t="s">
        <v>1</v>
      </c>
      <c r="D154" s="373" t="s">
        <v>649</v>
      </c>
      <c r="E154" s="374" t="s">
        <v>19</v>
      </c>
      <c r="F154" s="374"/>
      <c r="G154" s="374"/>
      <c r="H154" s="374"/>
      <c r="I154" s="374"/>
      <c r="J154" s="368" t="s">
        <v>21</v>
      </c>
      <c r="K154" s="370" t="s">
        <v>602</v>
      </c>
      <c r="L154" s="349"/>
    </row>
    <row r="155" spans="1:12" ht="15.75" thickBot="1" x14ac:dyDescent="0.3">
      <c r="A155" s="366"/>
      <c r="B155" s="372"/>
      <c r="C155" s="372"/>
      <c r="D155" s="373"/>
      <c r="E155" s="69" t="s">
        <v>22</v>
      </c>
      <c r="F155" s="69" t="s">
        <v>600</v>
      </c>
      <c r="G155" s="69" t="s">
        <v>601</v>
      </c>
      <c r="H155" s="69" t="s">
        <v>589</v>
      </c>
      <c r="I155" s="69" t="s">
        <v>601</v>
      </c>
      <c r="J155" s="369"/>
      <c r="K155" s="371"/>
      <c r="L155" s="349"/>
    </row>
    <row r="156" spans="1:12" ht="15.75" thickBot="1" x14ac:dyDescent="0.3">
      <c r="A156" s="367"/>
      <c r="B156" s="171">
        <v>1</v>
      </c>
      <c r="C156" s="171">
        <v>2</v>
      </c>
      <c r="D156" s="171">
        <v>3</v>
      </c>
      <c r="E156" s="71">
        <v>4</v>
      </c>
      <c r="F156" s="71">
        <f>+E156+1</f>
        <v>5</v>
      </c>
      <c r="G156" s="71" t="s">
        <v>652</v>
      </c>
      <c r="H156" s="71">
        <v>7</v>
      </c>
      <c r="I156" s="72" t="s">
        <v>651</v>
      </c>
      <c r="J156" s="42" t="s">
        <v>650</v>
      </c>
      <c r="K156" s="42" t="s">
        <v>653</v>
      </c>
      <c r="L156" s="350"/>
    </row>
    <row r="157" spans="1:12" x14ac:dyDescent="0.25">
      <c r="A157" s="163"/>
      <c r="B157" s="73" t="s">
        <v>706</v>
      </c>
      <c r="C157" s="55"/>
      <c r="D157" s="55"/>
      <c r="E157" s="55"/>
      <c r="F157" s="55"/>
      <c r="G157" s="55"/>
      <c r="H157" s="55"/>
      <c r="I157" s="55"/>
      <c r="J157" s="55"/>
      <c r="K157" s="55"/>
      <c r="L157" s="135"/>
    </row>
    <row r="158" spans="1:12" x14ac:dyDescent="0.25">
      <c r="A158" s="155">
        <v>1</v>
      </c>
      <c r="B158" s="80" t="s">
        <v>195</v>
      </c>
      <c r="C158" s="81">
        <v>17000</v>
      </c>
      <c r="D158" s="145">
        <v>1175.8699999999999</v>
      </c>
      <c r="E158" s="43">
        <v>700</v>
      </c>
      <c r="F158" s="43"/>
      <c r="G158" s="142">
        <f t="shared" ref="G158:G161" si="70">+E158+F158</f>
        <v>700</v>
      </c>
      <c r="H158" s="56">
        <v>500</v>
      </c>
      <c r="I158" s="57">
        <f t="shared" ref="I158:I161" si="71">+G158-H158</f>
        <v>200</v>
      </c>
      <c r="J158" s="57">
        <f t="shared" ref="J158:J161" si="72">I158*C158</f>
        <v>3400000</v>
      </c>
      <c r="K158" s="58">
        <f t="shared" ref="K158:K161" si="73">+D158*I158</f>
        <v>235173.99999999997</v>
      </c>
      <c r="L158" s="363" t="s">
        <v>1024</v>
      </c>
    </row>
    <row r="159" spans="1:12" x14ac:dyDescent="0.25">
      <c r="A159" s="155">
        <v>2</v>
      </c>
      <c r="B159" s="80" t="s">
        <v>196</v>
      </c>
      <c r="C159" s="81">
        <v>9500</v>
      </c>
      <c r="D159" s="145">
        <v>1216.3800000000001</v>
      </c>
      <c r="E159" s="43">
        <v>0</v>
      </c>
      <c r="F159" s="43"/>
      <c r="G159" s="142">
        <f t="shared" si="70"/>
        <v>0</v>
      </c>
      <c r="H159" s="56">
        <f>5000-5000</f>
        <v>0</v>
      </c>
      <c r="I159" s="57">
        <f t="shared" si="71"/>
        <v>0</v>
      </c>
      <c r="J159" s="57">
        <f t="shared" si="72"/>
        <v>0</v>
      </c>
      <c r="K159" s="58">
        <f t="shared" si="73"/>
        <v>0</v>
      </c>
      <c r="L159" s="351"/>
    </row>
    <row r="160" spans="1:12" x14ac:dyDescent="0.25">
      <c r="A160" s="155">
        <v>3</v>
      </c>
      <c r="B160" s="80" t="s">
        <v>197</v>
      </c>
      <c r="C160" s="81">
        <v>20000</v>
      </c>
      <c r="D160" s="145">
        <v>1728.55</v>
      </c>
      <c r="E160" s="43">
        <v>0</v>
      </c>
      <c r="F160" s="43"/>
      <c r="G160" s="142">
        <f t="shared" si="70"/>
        <v>0</v>
      </c>
      <c r="H160" s="56">
        <f>1800-1800</f>
        <v>0</v>
      </c>
      <c r="I160" s="57">
        <f t="shared" si="71"/>
        <v>0</v>
      </c>
      <c r="J160" s="57">
        <f t="shared" si="72"/>
        <v>0</v>
      </c>
      <c r="K160" s="58">
        <f t="shared" si="73"/>
        <v>0</v>
      </c>
      <c r="L160" s="351"/>
    </row>
    <row r="161" spans="1:12" ht="15.75" thickBot="1" x14ac:dyDescent="0.3">
      <c r="A161" s="156">
        <v>4</v>
      </c>
      <c r="B161" s="147" t="s">
        <v>198</v>
      </c>
      <c r="C161" s="83">
        <v>20000</v>
      </c>
      <c r="D161" s="148">
        <v>3828.97</v>
      </c>
      <c r="E161" s="157">
        <v>470</v>
      </c>
      <c r="F161" s="157"/>
      <c r="G161" s="150">
        <f t="shared" si="70"/>
        <v>470</v>
      </c>
      <c r="H161" s="59">
        <f>30-30</f>
        <v>0</v>
      </c>
      <c r="I161" s="65">
        <f t="shared" si="71"/>
        <v>470</v>
      </c>
      <c r="J161" s="65">
        <f t="shared" si="72"/>
        <v>9400000</v>
      </c>
      <c r="K161" s="66">
        <f t="shared" si="73"/>
        <v>1799615.9</v>
      </c>
      <c r="L161" s="363" t="s">
        <v>1025</v>
      </c>
    </row>
    <row r="162" spans="1:12" ht="15.75" thickBot="1" x14ac:dyDescent="0.3">
      <c r="A162" s="131"/>
      <c r="B162" s="122" t="s">
        <v>674</v>
      </c>
      <c r="C162" s="36"/>
      <c r="D162" s="36"/>
      <c r="E162" s="29">
        <f>SUM(E158:E161)</f>
        <v>1170</v>
      </c>
      <c r="F162" s="29"/>
      <c r="G162" s="29">
        <f>SUM(G158:G161)</f>
        <v>1170</v>
      </c>
      <c r="H162" s="29">
        <f>SUM(H158:H161)</f>
        <v>500</v>
      </c>
      <c r="I162" s="29">
        <f>SUM(I158:I161)</f>
        <v>670</v>
      </c>
      <c r="J162" s="29">
        <f t="shared" ref="J162:K162" si="74">SUM(J158:J161)</f>
        <v>12800000</v>
      </c>
      <c r="K162" s="47">
        <f t="shared" si="74"/>
        <v>2034789.9</v>
      </c>
      <c r="L162" s="218"/>
    </row>
    <row r="163" spans="1:12" ht="15.75" thickBot="1" x14ac:dyDescent="0.3">
      <c r="B163" s="95"/>
      <c r="C163" s="96"/>
      <c r="D163" s="97"/>
      <c r="E163" s="98"/>
      <c r="F163" s="63"/>
      <c r="G163" s="98"/>
      <c r="H163" s="98"/>
      <c r="I163" s="98"/>
      <c r="J163" s="98"/>
      <c r="K163" s="97"/>
      <c r="L163" s="166"/>
    </row>
    <row r="164" spans="1:12" ht="15.75" thickBot="1" x14ac:dyDescent="0.3">
      <c r="A164" s="365" t="s">
        <v>657</v>
      </c>
      <c r="B164" s="372" t="s">
        <v>708</v>
      </c>
      <c r="C164" s="372" t="s">
        <v>1</v>
      </c>
      <c r="D164" s="373" t="s">
        <v>649</v>
      </c>
      <c r="E164" s="374" t="s">
        <v>19</v>
      </c>
      <c r="F164" s="374"/>
      <c r="G164" s="374"/>
      <c r="H164" s="374"/>
      <c r="I164" s="374"/>
      <c r="J164" s="368" t="s">
        <v>21</v>
      </c>
      <c r="K164" s="370" t="s">
        <v>602</v>
      </c>
      <c r="L164" s="349"/>
    </row>
    <row r="165" spans="1:12" ht="15.75" thickBot="1" x14ac:dyDescent="0.3">
      <c r="A165" s="366"/>
      <c r="B165" s="372"/>
      <c r="C165" s="372"/>
      <c r="D165" s="373"/>
      <c r="E165" s="69" t="s">
        <v>22</v>
      </c>
      <c r="F165" s="69" t="s">
        <v>600</v>
      </c>
      <c r="G165" s="69" t="s">
        <v>601</v>
      </c>
      <c r="H165" s="69" t="s">
        <v>589</v>
      </c>
      <c r="I165" s="69" t="s">
        <v>601</v>
      </c>
      <c r="J165" s="369"/>
      <c r="K165" s="371"/>
      <c r="L165" s="349"/>
    </row>
    <row r="166" spans="1:12" ht="15.75" thickBot="1" x14ac:dyDescent="0.3">
      <c r="A166" s="367"/>
      <c r="B166" s="171">
        <v>1</v>
      </c>
      <c r="C166" s="171">
        <v>2</v>
      </c>
      <c r="D166" s="171">
        <v>3</v>
      </c>
      <c r="E166" s="71">
        <v>4</v>
      </c>
      <c r="F166" s="71">
        <f>+E166+1</f>
        <v>5</v>
      </c>
      <c r="G166" s="71" t="s">
        <v>652</v>
      </c>
      <c r="H166" s="71">
        <v>7</v>
      </c>
      <c r="I166" s="72" t="s">
        <v>651</v>
      </c>
      <c r="J166" s="42" t="s">
        <v>650</v>
      </c>
      <c r="K166" s="42" t="s">
        <v>653</v>
      </c>
      <c r="L166" s="350"/>
    </row>
    <row r="167" spans="1:12" x14ac:dyDescent="0.25">
      <c r="A167" s="163"/>
      <c r="B167" s="73" t="s">
        <v>710</v>
      </c>
      <c r="C167" s="55"/>
      <c r="D167" s="55"/>
      <c r="E167" s="55"/>
      <c r="F167" s="55"/>
      <c r="G167" s="55"/>
      <c r="H167" s="55"/>
      <c r="I167" s="55"/>
      <c r="J167" s="55"/>
      <c r="K167" s="55"/>
      <c r="L167" s="135"/>
    </row>
    <row r="168" spans="1:12" x14ac:dyDescent="0.25">
      <c r="A168" s="155">
        <v>1</v>
      </c>
      <c r="B168" s="80" t="s">
        <v>199</v>
      </c>
      <c r="C168" s="81">
        <v>15000</v>
      </c>
      <c r="D168" s="145">
        <v>1187.75</v>
      </c>
      <c r="E168" s="43">
        <v>0</v>
      </c>
      <c r="F168" s="61"/>
      <c r="G168" s="142">
        <f t="shared" ref="G168:G182" si="75">+E168+F168</f>
        <v>0</v>
      </c>
      <c r="H168" s="56">
        <f>3700-3700</f>
        <v>0</v>
      </c>
      <c r="I168" s="57">
        <f t="shared" ref="I168:I182" si="76">+G168-H168</f>
        <v>0</v>
      </c>
      <c r="J168" s="57">
        <f t="shared" ref="J168:J182" si="77">I168*C168</f>
        <v>0</v>
      </c>
      <c r="K168" s="58">
        <f t="shared" ref="K168:K182" si="78">+D168*I168</f>
        <v>0</v>
      </c>
      <c r="L168" s="351"/>
    </row>
    <row r="169" spans="1:12" x14ac:dyDescent="0.25">
      <c r="A169" s="155">
        <v>2</v>
      </c>
      <c r="B169" s="80" t="s">
        <v>875</v>
      </c>
      <c r="C169" s="81">
        <v>20000</v>
      </c>
      <c r="D169" s="145">
        <v>1221.53</v>
      </c>
      <c r="E169" s="43">
        <v>0</v>
      </c>
      <c r="F169" s="61"/>
      <c r="G169" s="142">
        <f t="shared" si="75"/>
        <v>0</v>
      </c>
      <c r="H169" s="56">
        <f>800-800</f>
        <v>0</v>
      </c>
      <c r="I169" s="57">
        <f t="shared" si="76"/>
        <v>0</v>
      </c>
      <c r="J169" s="57">
        <f t="shared" si="77"/>
        <v>0</v>
      </c>
      <c r="K169" s="58">
        <f t="shared" si="78"/>
        <v>0</v>
      </c>
      <c r="L169" s="351"/>
    </row>
    <row r="170" spans="1:12" x14ac:dyDescent="0.25">
      <c r="A170" s="155">
        <v>3</v>
      </c>
      <c r="B170" s="80" t="s">
        <v>876</v>
      </c>
      <c r="C170" s="81">
        <v>2500</v>
      </c>
      <c r="D170" s="145">
        <v>1221.53</v>
      </c>
      <c r="E170" s="43">
        <v>0</v>
      </c>
      <c r="F170" s="61"/>
      <c r="G170" s="142">
        <f t="shared" si="75"/>
        <v>0</v>
      </c>
      <c r="H170" s="56">
        <f>1300-1300</f>
        <v>0</v>
      </c>
      <c r="I170" s="57">
        <f t="shared" si="76"/>
        <v>0</v>
      </c>
      <c r="J170" s="57">
        <f t="shared" si="77"/>
        <v>0</v>
      </c>
      <c r="K170" s="58">
        <f t="shared" si="78"/>
        <v>0</v>
      </c>
      <c r="L170" s="351"/>
    </row>
    <row r="171" spans="1:12" x14ac:dyDescent="0.25">
      <c r="A171" s="155">
        <v>4</v>
      </c>
      <c r="B171" s="80" t="s">
        <v>200</v>
      </c>
      <c r="C171" s="81">
        <v>5000</v>
      </c>
      <c r="D171" s="145">
        <v>1009.13</v>
      </c>
      <c r="E171" s="43">
        <v>0</v>
      </c>
      <c r="F171" s="61"/>
      <c r="G171" s="142">
        <f t="shared" si="75"/>
        <v>0</v>
      </c>
      <c r="H171" s="56">
        <f t="shared" ref="H171:H177" si="79">2400-2400</f>
        <v>0</v>
      </c>
      <c r="I171" s="57">
        <f t="shared" si="76"/>
        <v>0</v>
      </c>
      <c r="J171" s="57">
        <f t="shared" si="77"/>
        <v>0</v>
      </c>
      <c r="K171" s="58">
        <f t="shared" si="78"/>
        <v>0</v>
      </c>
      <c r="L171" s="351"/>
    </row>
    <row r="172" spans="1:12" x14ac:dyDescent="0.25">
      <c r="A172" s="155">
        <v>5</v>
      </c>
      <c r="B172" s="80" t="s">
        <v>201</v>
      </c>
      <c r="C172" s="81">
        <v>5000</v>
      </c>
      <c r="D172" s="145">
        <v>1009.13</v>
      </c>
      <c r="E172" s="43">
        <v>0</v>
      </c>
      <c r="F172" s="61"/>
      <c r="G172" s="142">
        <f t="shared" si="75"/>
        <v>0</v>
      </c>
      <c r="H172" s="56">
        <f t="shared" si="79"/>
        <v>0</v>
      </c>
      <c r="I172" s="57">
        <f t="shared" si="76"/>
        <v>0</v>
      </c>
      <c r="J172" s="57">
        <f t="shared" si="77"/>
        <v>0</v>
      </c>
      <c r="K172" s="58">
        <f t="shared" si="78"/>
        <v>0</v>
      </c>
      <c r="L172" s="351"/>
    </row>
    <row r="173" spans="1:12" x14ac:dyDescent="0.25">
      <c r="A173" s="155">
        <v>6</v>
      </c>
      <c r="B173" s="80" t="s">
        <v>202</v>
      </c>
      <c r="C173" s="81">
        <v>5000</v>
      </c>
      <c r="D173" s="145">
        <v>1009.13</v>
      </c>
      <c r="E173" s="43">
        <v>0</v>
      </c>
      <c r="F173" s="61"/>
      <c r="G173" s="142">
        <f t="shared" si="75"/>
        <v>0</v>
      </c>
      <c r="H173" s="56">
        <f t="shared" si="79"/>
        <v>0</v>
      </c>
      <c r="I173" s="57">
        <f t="shared" si="76"/>
        <v>0</v>
      </c>
      <c r="J173" s="57">
        <f t="shared" si="77"/>
        <v>0</v>
      </c>
      <c r="K173" s="58">
        <f t="shared" si="78"/>
        <v>0</v>
      </c>
      <c r="L173" s="351"/>
    </row>
    <row r="174" spans="1:12" x14ac:dyDescent="0.25">
      <c r="A174" s="155">
        <v>7</v>
      </c>
      <c r="B174" s="80" t="s">
        <v>203</v>
      </c>
      <c r="C174" s="81">
        <v>5000</v>
      </c>
      <c r="D174" s="145">
        <v>1009.13</v>
      </c>
      <c r="E174" s="43">
        <v>0</v>
      </c>
      <c r="F174" s="61"/>
      <c r="G174" s="142">
        <f t="shared" si="75"/>
        <v>0</v>
      </c>
      <c r="H174" s="56">
        <f t="shared" si="79"/>
        <v>0</v>
      </c>
      <c r="I174" s="57">
        <f t="shared" si="76"/>
        <v>0</v>
      </c>
      <c r="J174" s="57">
        <f t="shared" si="77"/>
        <v>0</v>
      </c>
      <c r="K174" s="58">
        <f t="shared" si="78"/>
        <v>0</v>
      </c>
      <c r="L174" s="351"/>
    </row>
    <row r="175" spans="1:12" x14ac:dyDescent="0.25">
      <c r="A175" s="155">
        <v>8</v>
      </c>
      <c r="B175" s="80" t="s">
        <v>204</v>
      </c>
      <c r="C175" s="81">
        <v>5000</v>
      </c>
      <c r="D175" s="145">
        <v>1009.13</v>
      </c>
      <c r="E175" s="43">
        <v>0</v>
      </c>
      <c r="F175" s="61"/>
      <c r="G175" s="142">
        <f t="shared" si="75"/>
        <v>0</v>
      </c>
      <c r="H175" s="56">
        <f t="shared" si="79"/>
        <v>0</v>
      </c>
      <c r="I175" s="57">
        <f t="shared" si="76"/>
        <v>0</v>
      </c>
      <c r="J175" s="57">
        <f t="shared" si="77"/>
        <v>0</v>
      </c>
      <c r="K175" s="58">
        <f t="shared" si="78"/>
        <v>0</v>
      </c>
      <c r="L175" s="351"/>
    </row>
    <row r="176" spans="1:12" x14ac:dyDescent="0.25">
      <c r="A176" s="155">
        <v>9</v>
      </c>
      <c r="B176" s="80" t="s">
        <v>205</v>
      </c>
      <c r="C176" s="81">
        <v>5000</v>
      </c>
      <c r="D176" s="145">
        <v>1009.13</v>
      </c>
      <c r="E176" s="43">
        <v>0</v>
      </c>
      <c r="F176" s="61"/>
      <c r="G176" s="142">
        <f t="shared" si="75"/>
        <v>0</v>
      </c>
      <c r="H176" s="56">
        <f t="shared" si="79"/>
        <v>0</v>
      </c>
      <c r="I176" s="57">
        <f t="shared" si="76"/>
        <v>0</v>
      </c>
      <c r="J176" s="57">
        <f t="shared" si="77"/>
        <v>0</v>
      </c>
      <c r="K176" s="58">
        <f t="shared" si="78"/>
        <v>0</v>
      </c>
      <c r="L176" s="351"/>
    </row>
    <row r="177" spans="1:13" x14ac:dyDescent="0.25">
      <c r="A177" s="155">
        <v>10</v>
      </c>
      <c r="B177" s="80" t="s">
        <v>206</v>
      </c>
      <c r="C177" s="81">
        <v>5000</v>
      </c>
      <c r="D177" s="145">
        <v>1009.13</v>
      </c>
      <c r="E177" s="43">
        <v>0</v>
      </c>
      <c r="F177" s="61"/>
      <c r="G177" s="142">
        <f t="shared" si="75"/>
        <v>0</v>
      </c>
      <c r="H177" s="56">
        <f t="shared" si="79"/>
        <v>0</v>
      </c>
      <c r="I177" s="57">
        <f t="shared" si="76"/>
        <v>0</v>
      </c>
      <c r="J177" s="57">
        <f t="shared" si="77"/>
        <v>0</v>
      </c>
      <c r="K177" s="58">
        <f t="shared" si="78"/>
        <v>0</v>
      </c>
      <c r="L177" s="351"/>
    </row>
    <row r="178" spans="1:13" x14ac:dyDescent="0.25">
      <c r="A178" s="155">
        <v>11</v>
      </c>
      <c r="B178" s="80" t="s">
        <v>207</v>
      </c>
      <c r="C178" s="247">
        <v>2500</v>
      </c>
      <c r="D178" s="145">
        <v>1018.33</v>
      </c>
      <c r="E178" s="43">
        <v>0</v>
      </c>
      <c r="F178" s="61">
        <f>1800-1800</f>
        <v>0</v>
      </c>
      <c r="G178" s="142">
        <f t="shared" si="75"/>
        <v>0</v>
      </c>
      <c r="H178" s="56">
        <f>400-400</f>
        <v>0</v>
      </c>
      <c r="I178" s="57">
        <f t="shared" si="76"/>
        <v>0</v>
      </c>
      <c r="J178" s="57">
        <f t="shared" si="77"/>
        <v>0</v>
      </c>
      <c r="K178" s="58">
        <f t="shared" si="78"/>
        <v>0</v>
      </c>
      <c r="L178" s="326"/>
      <c r="M178" s="335" t="s">
        <v>942</v>
      </c>
    </row>
    <row r="179" spans="1:13" x14ac:dyDescent="0.25">
      <c r="A179" s="155">
        <v>12</v>
      </c>
      <c r="B179" s="80" t="s">
        <v>776</v>
      </c>
      <c r="C179" s="81">
        <v>5000</v>
      </c>
      <c r="D179" s="145">
        <v>1221.53</v>
      </c>
      <c r="E179" s="43">
        <v>0</v>
      </c>
      <c r="F179" s="61"/>
      <c r="G179" s="142">
        <f t="shared" si="75"/>
        <v>0</v>
      </c>
      <c r="H179" s="56">
        <f>800-800</f>
        <v>0</v>
      </c>
      <c r="I179" s="57">
        <f t="shared" si="76"/>
        <v>0</v>
      </c>
      <c r="J179" s="57">
        <f t="shared" si="77"/>
        <v>0</v>
      </c>
      <c r="K179" s="58">
        <f t="shared" si="78"/>
        <v>0</v>
      </c>
      <c r="L179" s="351"/>
    </row>
    <row r="180" spans="1:13" x14ac:dyDescent="0.25">
      <c r="A180" s="155">
        <v>13</v>
      </c>
      <c r="B180" s="80" t="s">
        <v>208</v>
      </c>
      <c r="C180" s="81">
        <v>5000</v>
      </c>
      <c r="D180" s="145">
        <v>2009.13</v>
      </c>
      <c r="E180" s="43">
        <v>0</v>
      </c>
      <c r="F180" s="61"/>
      <c r="G180" s="142">
        <f t="shared" si="75"/>
        <v>0</v>
      </c>
      <c r="H180" s="56">
        <f>995-995</f>
        <v>0</v>
      </c>
      <c r="I180" s="57">
        <f t="shared" si="76"/>
        <v>0</v>
      </c>
      <c r="J180" s="57">
        <f t="shared" si="77"/>
        <v>0</v>
      </c>
      <c r="K180" s="58">
        <f t="shared" si="78"/>
        <v>0</v>
      </c>
      <c r="L180" s="351"/>
    </row>
    <row r="181" spans="1:13" x14ac:dyDescent="0.25">
      <c r="A181" s="155">
        <v>14</v>
      </c>
      <c r="B181" s="80" t="s">
        <v>923</v>
      </c>
      <c r="C181" s="81">
        <v>10000</v>
      </c>
      <c r="D181" s="145">
        <v>956.88</v>
      </c>
      <c r="E181" s="43">
        <v>200</v>
      </c>
      <c r="F181" s="61"/>
      <c r="G181" s="142">
        <f t="shared" si="75"/>
        <v>200</v>
      </c>
      <c r="H181" s="56">
        <f>1200/2-600</f>
        <v>0</v>
      </c>
      <c r="I181" s="57">
        <f t="shared" si="76"/>
        <v>200</v>
      </c>
      <c r="J181" s="57">
        <f t="shared" si="77"/>
        <v>2000000</v>
      </c>
      <c r="K181" s="58">
        <f t="shared" si="78"/>
        <v>191376</v>
      </c>
      <c r="L181" s="363" t="s">
        <v>1024</v>
      </c>
      <c r="M181" t="s">
        <v>943</v>
      </c>
    </row>
    <row r="182" spans="1:13" ht="15.75" thickBot="1" x14ac:dyDescent="0.3">
      <c r="A182" s="156">
        <v>15</v>
      </c>
      <c r="B182" s="147" t="s">
        <v>210</v>
      </c>
      <c r="C182" s="83">
        <f>+'[5]KEL B'!$FA$5</f>
        <v>5000</v>
      </c>
      <c r="D182" s="148">
        <v>1009.13</v>
      </c>
      <c r="E182" s="157">
        <v>0</v>
      </c>
      <c r="F182" s="159"/>
      <c r="G182" s="150">
        <f t="shared" si="75"/>
        <v>0</v>
      </c>
      <c r="H182" s="59">
        <f>1000-1000</f>
        <v>0</v>
      </c>
      <c r="I182" s="65">
        <f t="shared" si="76"/>
        <v>0</v>
      </c>
      <c r="J182" s="65">
        <f t="shared" si="77"/>
        <v>0</v>
      </c>
      <c r="K182" s="66">
        <f t="shared" si="78"/>
        <v>0</v>
      </c>
      <c r="L182" s="351"/>
    </row>
    <row r="183" spans="1:13" ht="15.75" thickBot="1" x14ac:dyDescent="0.3">
      <c r="A183" s="131"/>
      <c r="B183" s="122" t="s">
        <v>676</v>
      </c>
      <c r="C183" s="36"/>
      <c r="D183" s="29"/>
      <c r="E183" s="29">
        <f>SUM(E168:E182)</f>
        <v>200</v>
      </c>
      <c r="F183" s="29">
        <f>SUM(F168:F182)</f>
        <v>0</v>
      </c>
      <c r="G183" s="29">
        <f>SUM(G168:G182)</f>
        <v>200</v>
      </c>
      <c r="H183" s="29">
        <f>SUM(H168:H182)</f>
        <v>0</v>
      </c>
      <c r="I183" s="29">
        <f>SUM(I168:I182)</f>
        <v>200</v>
      </c>
      <c r="J183" s="29">
        <f t="shared" ref="J183:K183" si="80">SUM(J168:J182)</f>
        <v>2000000</v>
      </c>
      <c r="K183" s="47">
        <f t="shared" si="80"/>
        <v>191376</v>
      </c>
      <c r="L183" s="218"/>
    </row>
    <row r="184" spans="1:13" ht="15.75" thickBot="1" x14ac:dyDescent="0.3">
      <c r="B184" s="95"/>
      <c r="C184" s="96"/>
      <c r="D184" s="97"/>
      <c r="E184" s="98"/>
      <c r="F184" s="63"/>
      <c r="G184" s="98"/>
      <c r="H184" s="98"/>
      <c r="I184" s="98"/>
      <c r="J184" s="98"/>
      <c r="K184" s="97"/>
      <c r="L184" s="166"/>
    </row>
    <row r="185" spans="1:13" ht="15.75" thickBot="1" x14ac:dyDescent="0.3">
      <c r="A185" s="365" t="s">
        <v>657</v>
      </c>
      <c r="B185" s="372" t="s">
        <v>708</v>
      </c>
      <c r="C185" s="372" t="s">
        <v>1</v>
      </c>
      <c r="D185" s="373" t="s">
        <v>649</v>
      </c>
      <c r="E185" s="374" t="s">
        <v>19</v>
      </c>
      <c r="F185" s="374"/>
      <c r="G185" s="374"/>
      <c r="H185" s="374"/>
      <c r="I185" s="374"/>
      <c r="J185" s="368" t="s">
        <v>21</v>
      </c>
      <c r="K185" s="370" t="s">
        <v>602</v>
      </c>
      <c r="L185" s="349"/>
    </row>
    <row r="186" spans="1:13" ht="15.75" thickBot="1" x14ac:dyDescent="0.3">
      <c r="A186" s="366"/>
      <c r="B186" s="372"/>
      <c r="C186" s="372"/>
      <c r="D186" s="373"/>
      <c r="E186" s="69" t="s">
        <v>22</v>
      </c>
      <c r="F186" s="69" t="s">
        <v>600</v>
      </c>
      <c r="G186" s="69" t="s">
        <v>601</v>
      </c>
      <c r="H186" s="69" t="s">
        <v>589</v>
      </c>
      <c r="I186" s="69" t="s">
        <v>601</v>
      </c>
      <c r="J186" s="369"/>
      <c r="K186" s="371"/>
      <c r="L186" s="349"/>
    </row>
    <row r="187" spans="1:13" ht="15.75" thickBot="1" x14ac:dyDescent="0.3">
      <c r="A187" s="367"/>
      <c r="B187" s="171">
        <v>1</v>
      </c>
      <c r="C187" s="171">
        <v>2</v>
      </c>
      <c r="D187" s="171">
        <v>3</v>
      </c>
      <c r="E187" s="71">
        <v>4</v>
      </c>
      <c r="F187" s="71">
        <f>+E187+1</f>
        <v>5</v>
      </c>
      <c r="G187" s="71" t="s">
        <v>652</v>
      </c>
      <c r="H187" s="71">
        <v>7</v>
      </c>
      <c r="I187" s="72" t="s">
        <v>651</v>
      </c>
      <c r="J187" s="42" t="s">
        <v>650</v>
      </c>
      <c r="K187" s="42" t="s">
        <v>653</v>
      </c>
      <c r="L187" s="350"/>
    </row>
    <row r="188" spans="1:13" x14ac:dyDescent="0.25">
      <c r="A188" s="163"/>
      <c r="B188" s="73" t="s">
        <v>711</v>
      </c>
      <c r="C188" s="55"/>
      <c r="D188" s="55"/>
      <c r="E188" s="55"/>
      <c r="F188" s="55"/>
      <c r="G188" s="55"/>
      <c r="H188" s="55"/>
      <c r="I188" s="55"/>
      <c r="J188" s="55"/>
      <c r="K188" s="55"/>
      <c r="L188" s="135"/>
    </row>
    <row r="189" spans="1:13" x14ac:dyDescent="0.25">
      <c r="A189" s="155">
        <v>1</v>
      </c>
      <c r="B189" s="80" t="s">
        <v>760</v>
      </c>
      <c r="C189" s="81">
        <v>10000</v>
      </c>
      <c r="D189" s="145">
        <v>896</v>
      </c>
      <c r="E189" s="43">
        <v>10798</v>
      </c>
      <c r="F189" s="61"/>
      <c r="G189" s="142">
        <f t="shared" ref="G189:G195" si="81">+E189+F189</f>
        <v>10798</v>
      </c>
      <c r="H189" s="56">
        <f>5000-5000</f>
        <v>0</v>
      </c>
      <c r="I189" s="57">
        <f t="shared" ref="I189:I195" si="82">+G189-H189</f>
        <v>10798</v>
      </c>
      <c r="J189" s="57">
        <f t="shared" ref="J189:J195" si="83">I189*C189</f>
        <v>107980000</v>
      </c>
      <c r="K189" s="58">
        <f t="shared" ref="K189:K195" si="84">+D189*I189</f>
        <v>9675008</v>
      </c>
      <c r="L189" s="363" t="s">
        <v>1037</v>
      </c>
    </row>
    <row r="190" spans="1:13" x14ac:dyDescent="0.25">
      <c r="A190" s="155">
        <v>2</v>
      </c>
      <c r="B190" s="80" t="s">
        <v>761</v>
      </c>
      <c r="C190" s="81">
        <v>30000</v>
      </c>
      <c r="D190" s="145">
        <v>1344.75</v>
      </c>
      <c r="E190" s="43">
        <v>5798</v>
      </c>
      <c r="F190" s="61"/>
      <c r="G190" s="142">
        <f t="shared" si="81"/>
        <v>5798</v>
      </c>
      <c r="H190" s="56">
        <v>5000</v>
      </c>
      <c r="I190" s="57">
        <f t="shared" si="82"/>
        <v>798</v>
      </c>
      <c r="J190" s="57">
        <f t="shared" si="83"/>
        <v>23940000</v>
      </c>
      <c r="K190" s="58">
        <f t="shared" si="84"/>
        <v>1073110.5</v>
      </c>
      <c r="L190" s="363" t="s">
        <v>1029</v>
      </c>
    </row>
    <row r="191" spans="1:13" x14ac:dyDescent="0.25">
      <c r="A191" s="155">
        <v>3</v>
      </c>
      <c r="B191" s="80" t="s">
        <v>762</v>
      </c>
      <c r="C191" s="81">
        <f>+'[4]KEL B'!$FG$5</f>
        <v>10000</v>
      </c>
      <c r="D191" s="145">
        <v>962</v>
      </c>
      <c r="E191" s="43">
        <v>11600</v>
      </c>
      <c r="F191" s="61"/>
      <c r="G191" s="142">
        <f t="shared" si="81"/>
        <v>11600</v>
      </c>
      <c r="H191" s="56">
        <v>5000</v>
      </c>
      <c r="I191" s="57">
        <f t="shared" si="82"/>
        <v>6600</v>
      </c>
      <c r="J191" s="57">
        <f t="shared" si="83"/>
        <v>66000000</v>
      </c>
      <c r="K191" s="58">
        <f t="shared" si="84"/>
        <v>6349200</v>
      </c>
      <c r="L191" s="363" t="s">
        <v>1036</v>
      </c>
    </row>
    <row r="192" spans="1:13" x14ac:dyDescent="0.25">
      <c r="A192" s="155">
        <v>4</v>
      </c>
      <c r="B192" s="80" t="s">
        <v>763</v>
      </c>
      <c r="C192" s="81">
        <f>+'[4]KEL B'!$FE$5</f>
        <v>5000</v>
      </c>
      <c r="D192" s="145">
        <v>896</v>
      </c>
      <c r="E192" s="43">
        <v>1000</v>
      </c>
      <c r="F192" s="61"/>
      <c r="G192" s="142">
        <f t="shared" si="81"/>
        <v>1000</v>
      </c>
      <c r="H192" s="56">
        <v>1000</v>
      </c>
      <c r="I192" s="57">
        <f t="shared" si="82"/>
        <v>0</v>
      </c>
      <c r="J192" s="57">
        <f t="shared" si="83"/>
        <v>0</v>
      </c>
      <c r="K192" s="58">
        <f t="shared" si="84"/>
        <v>0</v>
      </c>
      <c r="L192" s="351"/>
    </row>
    <row r="193" spans="1:14" x14ac:dyDescent="0.25">
      <c r="A193" s="155">
        <v>5</v>
      </c>
      <c r="B193" s="80" t="s">
        <v>764</v>
      </c>
      <c r="C193" s="81">
        <f>+'[4]KEL B'!$FF$5</f>
        <v>10000</v>
      </c>
      <c r="D193" s="145">
        <v>896</v>
      </c>
      <c r="E193" s="43">
        <v>800</v>
      </c>
      <c r="F193" s="61"/>
      <c r="G193" s="142">
        <f t="shared" si="81"/>
        <v>800</v>
      </c>
      <c r="H193" s="56">
        <v>500</v>
      </c>
      <c r="I193" s="57">
        <f t="shared" si="82"/>
        <v>300</v>
      </c>
      <c r="J193" s="57">
        <f t="shared" si="83"/>
        <v>3000000</v>
      </c>
      <c r="K193" s="58">
        <f t="shared" si="84"/>
        <v>268800</v>
      </c>
      <c r="L193" s="363" t="s">
        <v>1030</v>
      </c>
    </row>
    <row r="194" spans="1:14" x14ac:dyDescent="0.25">
      <c r="A194" s="155">
        <v>6</v>
      </c>
      <c r="B194" s="80" t="s">
        <v>765</v>
      </c>
      <c r="C194" s="81">
        <f>+'[6]KEL B'!$FH$5</f>
        <v>10000</v>
      </c>
      <c r="D194" s="34">
        <v>670</v>
      </c>
      <c r="E194" s="43">
        <v>800</v>
      </c>
      <c r="F194" s="61"/>
      <c r="G194" s="142">
        <f t="shared" si="81"/>
        <v>800</v>
      </c>
      <c r="H194" s="56">
        <v>500</v>
      </c>
      <c r="I194" s="57">
        <f t="shared" si="82"/>
        <v>300</v>
      </c>
      <c r="J194" s="57">
        <f t="shared" si="83"/>
        <v>3000000</v>
      </c>
      <c r="K194" s="58">
        <f t="shared" si="84"/>
        <v>201000</v>
      </c>
      <c r="L194" s="363" t="s">
        <v>1030</v>
      </c>
    </row>
    <row r="195" spans="1:14" ht="15.75" thickBot="1" x14ac:dyDescent="0.3">
      <c r="A195" s="156">
        <v>7</v>
      </c>
      <c r="B195" s="159" t="s">
        <v>209</v>
      </c>
      <c r="C195" s="83">
        <f>+'[6]KEL B'!$FH$5</f>
        <v>10000</v>
      </c>
      <c r="D195" s="174">
        <v>970.67</v>
      </c>
      <c r="E195" s="157">
        <v>800</v>
      </c>
      <c r="F195" s="159">
        <f>100-100</f>
        <v>0</v>
      </c>
      <c r="G195" s="150">
        <f t="shared" si="81"/>
        <v>800</v>
      </c>
      <c r="H195" s="56">
        <v>500</v>
      </c>
      <c r="I195" s="65">
        <f t="shared" si="82"/>
        <v>300</v>
      </c>
      <c r="J195" s="65">
        <f t="shared" si="83"/>
        <v>3000000</v>
      </c>
      <c r="K195" s="66">
        <f t="shared" si="84"/>
        <v>291201</v>
      </c>
      <c r="L195" s="363" t="s">
        <v>1035</v>
      </c>
      <c r="N195" s="267">
        <v>100</v>
      </c>
    </row>
    <row r="196" spans="1:14" ht="15.75" thickBot="1" x14ac:dyDescent="0.3">
      <c r="A196" s="131"/>
      <c r="B196" s="122" t="s">
        <v>684</v>
      </c>
      <c r="C196" s="36"/>
      <c r="D196" s="29"/>
      <c r="E196" s="29">
        <f>SUM(E189:E195)</f>
        <v>31596</v>
      </c>
      <c r="F196" s="29">
        <f t="shared" ref="F196:H196" si="85">SUM(F189:F195)</f>
        <v>0</v>
      </c>
      <c r="G196" s="29">
        <f t="shared" si="85"/>
        <v>31596</v>
      </c>
      <c r="H196" s="29">
        <f t="shared" si="85"/>
        <v>12500</v>
      </c>
      <c r="I196" s="29">
        <f>SUM(I189:I195)</f>
        <v>19096</v>
      </c>
      <c r="J196" s="29">
        <f t="shared" ref="J196:K196" si="86">SUM(J189:J195)</f>
        <v>206920000</v>
      </c>
      <c r="K196" s="47">
        <f t="shared" si="86"/>
        <v>17858319.5</v>
      </c>
      <c r="L196" s="218"/>
    </row>
    <row r="197" spans="1:14" ht="15.75" thickBot="1" x14ac:dyDescent="0.3">
      <c r="B197" s="95"/>
      <c r="C197" s="96"/>
      <c r="D197" s="97"/>
      <c r="E197" s="98"/>
      <c r="F197" s="63"/>
      <c r="G197" s="98"/>
      <c r="H197" s="98"/>
      <c r="I197" s="98"/>
      <c r="J197" s="98"/>
      <c r="K197" s="97"/>
      <c r="L197" s="166"/>
    </row>
    <row r="198" spans="1:14" ht="15.75" thickBot="1" x14ac:dyDescent="0.3">
      <c r="A198" s="365" t="s">
        <v>657</v>
      </c>
      <c r="B198" s="372" t="s">
        <v>708</v>
      </c>
      <c r="C198" s="372" t="s">
        <v>1</v>
      </c>
      <c r="D198" s="373" t="s">
        <v>649</v>
      </c>
      <c r="E198" s="374" t="s">
        <v>19</v>
      </c>
      <c r="F198" s="374"/>
      <c r="G198" s="374"/>
      <c r="H198" s="374"/>
      <c r="I198" s="374"/>
      <c r="J198" s="368" t="s">
        <v>21</v>
      </c>
      <c r="K198" s="370" t="s">
        <v>602</v>
      </c>
      <c r="L198" s="349"/>
    </row>
    <row r="199" spans="1:14" ht="15.75" thickBot="1" x14ac:dyDescent="0.3">
      <c r="A199" s="366"/>
      <c r="B199" s="372"/>
      <c r="C199" s="372"/>
      <c r="D199" s="373"/>
      <c r="E199" s="69" t="s">
        <v>22</v>
      </c>
      <c r="F199" s="69" t="s">
        <v>600</v>
      </c>
      <c r="G199" s="69" t="s">
        <v>601</v>
      </c>
      <c r="H199" s="69" t="s">
        <v>589</v>
      </c>
      <c r="I199" s="69" t="s">
        <v>601</v>
      </c>
      <c r="J199" s="369"/>
      <c r="K199" s="371"/>
      <c r="L199" s="349"/>
    </row>
    <row r="200" spans="1:14" ht="15.75" thickBot="1" x14ac:dyDescent="0.3">
      <c r="A200" s="367"/>
      <c r="B200" s="171">
        <v>1</v>
      </c>
      <c r="C200" s="171">
        <v>2</v>
      </c>
      <c r="D200" s="171">
        <v>3</v>
      </c>
      <c r="E200" s="71">
        <v>4</v>
      </c>
      <c r="F200" s="71">
        <f>+E200+1</f>
        <v>5</v>
      </c>
      <c r="G200" s="71" t="s">
        <v>652</v>
      </c>
      <c r="H200" s="71">
        <v>7</v>
      </c>
      <c r="I200" s="72" t="s">
        <v>651</v>
      </c>
      <c r="J200" s="42" t="s">
        <v>650</v>
      </c>
      <c r="K200" s="42" t="s">
        <v>653</v>
      </c>
      <c r="L200" s="350"/>
    </row>
    <row r="201" spans="1:14" x14ac:dyDescent="0.25">
      <c r="A201" s="163"/>
      <c r="B201" s="73" t="s">
        <v>712</v>
      </c>
      <c r="C201" s="55"/>
      <c r="D201" s="55"/>
      <c r="E201" s="55"/>
      <c r="F201" s="55"/>
      <c r="G201" s="55"/>
      <c r="H201" s="55"/>
      <c r="I201" s="55"/>
      <c r="J201" s="55"/>
      <c r="K201" s="55"/>
      <c r="L201" s="135"/>
    </row>
    <row r="202" spans="1:14" x14ac:dyDescent="0.25">
      <c r="A202" s="155">
        <v>1</v>
      </c>
      <c r="B202" s="61" t="s">
        <v>211</v>
      </c>
      <c r="C202" s="176">
        <v>15000</v>
      </c>
      <c r="D202" s="177">
        <v>1457</v>
      </c>
      <c r="E202" s="43">
        <v>400</v>
      </c>
      <c r="F202" s="61"/>
      <c r="G202" s="142">
        <f t="shared" ref="G202" si="87">+E202+F202</f>
        <v>400</v>
      </c>
      <c r="H202" s="56"/>
      <c r="I202" s="57">
        <f t="shared" ref="I202" si="88">+G202-H202</f>
        <v>400</v>
      </c>
      <c r="J202" s="57">
        <f t="shared" ref="J202" si="89">I202*C202</f>
        <v>6000000</v>
      </c>
      <c r="K202" s="58">
        <f t="shared" ref="K202" si="90">+D202*I202</f>
        <v>582800</v>
      </c>
      <c r="L202" s="363" t="s">
        <v>1028</v>
      </c>
    </row>
    <row r="203" spans="1:14" x14ac:dyDescent="0.25">
      <c r="A203" s="155">
        <v>2</v>
      </c>
      <c r="B203" s="61" t="s">
        <v>212</v>
      </c>
      <c r="C203" s="176">
        <v>10000</v>
      </c>
      <c r="D203" s="177">
        <v>1107.1099999999999</v>
      </c>
      <c r="E203" s="43">
        <v>195</v>
      </c>
      <c r="F203" s="61"/>
      <c r="G203" s="142">
        <f t="shared" ref="G203:G210" si="91">+E203+F203</f>
        <v>195</v>
      </c>
      <c r="H203" s="56"/>
      <c r="I203" s="57">
        <f t="shared" ref="I203:I210" si="92">+G203-H203</f>
        <v>195</v>
      </c>
      <c r="J203" s="57">
        <f t="shared" ref="J203:J210" si="93">I203*C203</f>
        <v>1950000</v>
      </c>
      <c r="K203" s="58">
        <f t="shared" ref="K203:K210" si="94">+D203*I203</f>
        <v>215886.44999999998</v>
      </c>
      <c r="L203" s="363" t="s">
        <v>1034</v>
      </c>
    </row>
    <row r="204" spans="1:14" x14ac:dyDescent="0.25">
      <c r="A204" s="155">
        <v>3</v>
      </c>
      <c r="B204" s="80" t="str">
        <f>+'[4]KEL B'!$FE$3</f>
        <v>SS PEDULI LINGK</v>
      </c>
      <c r="C204" s="176">
        <v>10000</v>
      </c>
      <c r="D204" s="177">
        <v>1146</v>
      </c>
      <c r="E204" s="43">
        <v>0</v>
      </c>
      <c r="F204" s="61"/>
      <c r="G204" s="142">
        <f t="shared" si="91"/>
        <v>0</v>
      </c>
      <c r="H204" s="56">
        <f>5000-5000</f>
        <v>0</v>
      </c>
      <c r="I204" s="57">
        <f t="shared" si="92"/>
        <v>0</v>
      </c>
      <c r="J204" s="57">
        <f t="shared" si="93"/>
        <v>0</v>
      </c>
      <c r="K204" s="58">
        <f t="shared" si="94"/>
        <v>0</v>
      </c>
      <c r="L204" s="351"/>
    </row>
    <row r="205" spans="1:14" x14ac:dyDescent="0.25">
      <c r="A205" s="155">
        <v>4</v>
      </c>
      <c r="B205" s="61" t="s">
        <v>213</v>
      </c>
      <c r="C205" s="176">
        <v>20000</v>
      </c>
      <c r="D205" s="178">
        <v>1586.85</v>
      </c>
      <c r="E205" s="43">
        <v>1000</v>
      </c>
      <c r="F205" s="61"/>
      <c r="G205" s="142">
        <f t="shared" si="91"/>
        <v>1000</v>
      </c>
      <c r="H205" s="56">
        <f>5000-5000</f>
        <v>0</v>
      </c>
      <c r="I205" s="57">
        <f t="shared" si="92"/>
        <v>1000</v>
      </c>
      <c r="J205" s="57">
        <f t="shared" si="93"/>
        <v>20000000</v>
      </c>
      <c r="K205" s="58">
        <f t="shared" si="94"/>
        <v>1586850</v>
      </c>
      <c r="L205" s="363" t="s">
        <v>1033</v>
      </c>
    </row>
    <row r="206" spans="1:14" x14ac:dyDescent="0.25">
      <c r="A206" s="155">
        <v>5</v>
      </c>
      <c r="B206" s="61" t="s">
        <v>214</v>
      </c>
      <c r="C206" s="176">
        <v>60000</v>
      </c>
      <c r="D206" s="179">
        <v>3173.7</v>
      </c>
      <c r="E206" s="43">
        <v>0</v>
      </c>
      <c r="F206" s="61"/>
      <c r="G206" s="142">
        <f t="shared" si="91"/>
        <v>0</v>
      </c>
      <c r="H206" s="56">
        <f>30-30</f>
        <v>0</v>
      </c>
      <c r="I206" s="57">
        <f t="shared" si="92"/>
        <v>0</v>
      </c>
      <c r="J206" s="57">
        <f t="shared" si="93"/>
        <v>0</v>
      </c>
      <c r="K206" s="58">
        <f t="shared" si="94"/>
        <v>0</v>
      </c>
      <c r="L206" s="351"/>
    </row>
    <row r="207" spans="1:14" x14ac:dyDescent="0.25">
      <c r="A207" s="155">
        <v>6</v>
      </c>
      <c r="B207" s="61" t="s">
        <v>540</v>
      </c>
      <c r="C207" s="176">
        <v>50000</v>
      </c>
      <c r="D207" s="178">
        <v>22904.74</v>
      </c>
      <c r="E207" s="43">
        <v>6850</v>
      </c>
      <c r="F207" s="61"/>
      <c r="G207" s="142">
        <f t="shared" si="91"/>
        <v>6850</v>
      </c>
      <c r="H207" s="169">
        <f>400-400</f>
        <v>0</v>
      </c>
      <c r="I207" s="57">
        <f t="shared" si="92"/>
        <v>6850</v>
      </c>
      <c r="J207" s="57">
        <f t="shared" si="93"/>
        <v>342500000</v>
      </c>
      <c r="K207" s="58">
        <f t="shared" si="94"/>
        <v>156897469</v>
      </c>
      <c r="L207" s="326"/>
      <c r="M207" s="274">
        <f>+I207-7250</f>
        <v>-400</v>
      </c>
    </row>
    <row r="208" spans="1:14" x14ac:dyDescent="0.25">
      <c r="A208" s="155">
        <v>7</v>
      </c>
      <c r="B208" s="61" t="s">
        <v>556</v>
      </c>
      <c r="C208" s="176">
        <v>20000</v>
      </c>
      <c r="D208" s="43">
        <v>1287</v>
      </c>
      <c r="E208" s="43">
        <v>200</v>
      </c>
      <c r="F208" s="61"/>
      <c r="G208" s="142">
        <f t="shared" si="91"/>
        <v>200</v>
      </c>
      <c r="H208" s="56">
        <f>6000/4-1500</f>
        <v>0</v>
      </c>
      <c r="I208" s="57">
        <f t="shared" si="92"/>
        <v>200</v>
      </c>
      <c r="J208" s="57">
        <f t="shared" si="93"/>
        <v>4000000</v>
      </c>
      <c r="K208" s="58">
        <f t="shared" si="94"/>
        <v>257400</v>
      </c>
      <c r="L208" s="363" t="s">
        <v>1024</v>
      </c>
      <c r="M208" t="s">
        <v>944</v>
      </c>
    </row>
    <row r="209" spans="1:14" x14ac:dyDescent="0.25">
      <c r="A209" s="155">
        <v>8</v>
      </c>
      <c r="B209" s="61" t="s">
        <v>573</v>
      </c>
      <c r="C209" s="43">
        <v>10000</v>
      </c>
      <c r="D209" s="179">
        <v>931.5</v>
      </c>
      <c r="E209" s="43">
        <v>0</v>
      </c>
      <c r="F209" s="61"/>
      <c r="G209" s="142">
        <f t="shared" si="91"/>
        <v>0</v>
      </c>
      <c r="H209" s="56">
        <f>4000-4000</f>
        <v>0</v>
      </c>
      <c r="I209" s="57">
        <f t="shared" si="92"/>
        <v>0</v>
      </c>
      <c r="J209" s="57">
        <f t="shared" si="93"/>
        <v>0</v>
      </c>
      <c r="K209" s="58">
        <f t="shared" si="94"/>
        <v>0</v>
      </c>
      <c r="L209" s="351"/>
    </row>
    <row r="210" spans="1:14" ht="15.75" thickBot="1" x14ac:dyDescent="0.3">
      <c r="A210" s="156">
        <v>9</v>
      </c>
      <c r="B210" s="217" t="s">
        <v>777</v>
      </c>
      <c r="C210" s="157">
        <v>10000</v>
      </c>
      <c r="D210" s="157">
        <v>1871</v>
      </c>
      <c r="E210" s="157">
        <v>0</v>
      </c>
      <c r="F210" s="159"/>
      <c r="G210" s="150">
        <f t="shared" si="91"/>
        <v>0</v>
      </c>
      <c r="H210" s="344">
        <f>4000-4000</f>
        <v>0</v>
      </c>
      <c r="I210" s="65">
        <f t="shared" si="92"/>
        <v>0</v>
      </c>
      <c r="J210" s="65">
        <f t="shared" si="93"/>
        <v>0</v>
      </c>
      <c r="K210" s="66">
        <f t="shared" si="94"/>
        <v>0</v>
      </c>
      <c r="L210" s="351"/>
    </row>
    <row r="211" spans="1:14" ht="15.75" thickBot="1" x14ac:dyDescent="0.3">
      <c r="A211" s="131"/>
      <c r="B211" s="122" t="s">
        <v>686</v>
      </c>
      <c r="C211" s="36"/>
      <c r="D211" s="36"/>
      <c r="E211" s="29">
        <f>SUM(E202:E210)</f>
        <v>8645</v>
      </c>
      <c r="F211" s="29">
        <f t="shared" ref="F211:K211" si="95">SUM(F202:F210)</f>
        <v>0</v>
      </c>
      <c r="G211" s="29">
        <f t="shared" si="95"/>
        <v>8645</v>
      </c>
      <c r="H211" s="29">
        <f t="shared" si="95"/>
        <v>0</v>
      </c>
      <c r="I211" s="29">
        <f t="shared" si="95"/>
        <v>8645</v>
      </c>
      <c r="J211" s="29">
        <f t="shared" si="95"/>
        <v>374450000</v>
      </c>
      <c r="K211" s="175">
        <f t="shared" si="95"/>
        <v>159540405.44999999</v>
      </c>
      <c r="L211" s="218"/>
    </row>
    <row r="212" spans="1:14" ht="15.75" thickBot="1" x14ac:dyDescent="0.3">
      <c r="B212" s="95"/>
      <c r="C212" s="96"/>
      <c r="D212" s="97"/>
      <c r="E212" s="98"/>
      <c r="F212" s="63"/>
      <c r="G212" s="98"/>
      <c r="H212" s="98"/>
      <c r="I212" s="98"/>
      <c r="J212" s="98"/>
      <c r="K212" s="97"/>
      <c r="L212" s="166"/>
    </row>
    <row r="213" spans="1:14" ht="15.75" thickBot="1" x14ac:dyDescent="0.3">
      <c r="A213" s="365" t="s">
        <v>657</v>
      </c>
      <c r="B213" s="372" t="s">
        <v>708</v>
      </c>
      <c r="C213" s="372" t="s">
        <v>1</v>
      </c>
      <c r="D213" s="373" t="s">
        <v>649</v>
      </c>
      <c r="E213" s="374" t="s">
        <v>19</v>
      </c>
      <c r="F213" s="374"/>
      <c r="G213" s="374"/>
      <c r="H213" s="374"/>
      <c r="I213" s="374"/>
      <c r="J213" s="368" t="s">
        <v>21</v>
      </c>
      <c r="K213" s="370" t="s">
        <v>602</v>
      </c>
      <c r="L213" s="349"/>
    </row>
    <row r="214" spans="1:14" ht="15.75" thickBot="1" x14ac:dyDescent="0.3">
      <c r="A214" s="366"/>
      <c r="B214" s="372"/>
      <c r="C214" s="372"/>
      <c r="D214" s="373"/>
      <c r="E214" s="69" t="s">
        <v>22</v>
      </c>
      <c r="F214" s="69" t="s">
        <v>600</v>
      </c>
      <c r="G214" s="69" t="s">
        <v>601</v>
      </c>
      <c r="H214" s="69" t="s">
        <v>589</v>
      </c>
      <c r="I214" s="69" t="s">
        <v>601</v>
      </c>
      <c r="J214" s="369"/>
      <c r="K214" s="371"/>
      <c r="L214" s="349"/>
    </row>
    <row r="215" spans="1:14" ht="15.75" thickBot="1" x14ac:dyDescent="0.3">
      <c r="A215" s="367"/>
      <c r="B215" s="171">
        <v>1</v>
      </c>
      <c r="C215" s="171">
        <v>2</v>
      </c>
      <c r="D215" s="171">
        <v>3</v>
      </c>
      <c r="E215" s="71">
        <v>4</v>
      </c>
      <c r="F215" s="71">
        <f>+E215+1</f>
        <v>5</v>
      </c>
      <c r="G215" s="71" t="s">
        <v>652</v>
      </c>
      <c r="H215" s="71">
        <v>7</v>
      </c>
      <c r="I215" s="72" t="s">
        <v>651</v>
      </c>
      <c r="J215" s="42" t="s">
        <v>650</v>
      </c>
      <c r="K215" s="42" t="s">
        <v>653</v>
      </c>
      <c r="L215" s="350"/>
    </row>
    <row r="216" spans="1:14" x14ac:dyDescent="0.25">
      <c r="A216" s="163"/>
      <c r="B216" s="180" t="s">
        <v>713</v>
      </c>
      <c r="C216" s="55"/>
      <c r="D216" s="55"/>
      <c r="E216" s="55"/>
      <c r="F216" s="55"/>
      <c r="G216" s="181">
        <f t="shared" ref="G216" si="96">+E216+F216</f>
        <v>0</v>
      </c>
      <c r="H216" s="163"/>
      <c r="I216" s="182">
        <f t="shared" ref="I216" si="97">+G216-H216</f>
        <v>0</v>
      </c>
      <c r="J216" s="182">
        <f t="shared" ref="J216" si="98">I216*C216</f>
        <v>0</v>
      </c>
      <c r="K216" s="183">
        <f t="shared" ref="K216" si="99">+D216*I216</f>
        <v>0</v>
      </c>
      <c r="L216" s="351"/>
    </row>
    <row r="217" spans="1:14" x14ac:dyDescent="0.25">
      <c r="A217" s="155">
        <v>1</v>
      </c>
      <c r="B217" s="80" t="s">
        <v>172</v>
      </c>
      <c r="C217" s="43">
        <v>5000</v>
      </c>
      <c r="D217" s="178">
        <v>1064.25</v>
      </c>
      <c r="E217" s="43">
        <v>0</v>
      </c>
      <c r="F217" s="61"/>
      <c r="G217" s="142">
        <f t="shared" ref="G217:G225" si="100">+E217+F217</f>
        <v>0</v>
      </c>
      <c r="H217" s="56">
        <f>2000-2000</f>
        <v>0</v>
      </c>
      <c r="I217" s="57">
        <f t="shared" ref="I217:I225" si="101">+G217-H217</f>
        <v>0</v>
      </c>
      <c r="J217" s="57">
        <f t="shared" ref="J217:J225" si="102">I217*C217</f>
        <v>0</v>
      </c>
      <c r="K217" s="58">
        <f t="shared" ref="K217:K225" si="103">+D217*I217</f>
        <v>0</v>
      </c>
      <c r="L217" s="351"/>
    </row>
    <row r="218" spans="1:14" x14ac:dyDescent="0.25">
      <c r="A218" s="155">
        <v>2</v>
      </c>
      <c r="B218" s="216" t="s">
        <v>735</v>
      </c>
      <c r="C218" s="43">
        <v>22000</v>
      </c>
      <c r="D218" s="43">
        <v>1620</v>
      </c>
      <c r="E218" s="104">
        <v>5000</v>
      </c>
      <c r="F218" s="61"/>
      <c r="G218" s="142">
        <f t="shared" si="100"/>
        <v>5000</v>
      </c>
      <c r="H218" s="56">
        <v>5000</v>
      </c>
      <c r="I218" s="57">
        <f t="shared" si="101"/>
        <v>0</v>
      </c>
      <c r="J218" s="57">
        <f t="shared" si="102"/>
        <v>0</v>
      </c>
      <c r="K218" s="58">
        <f t="shared" si="103"/>
        <v>0</v>
      </c>
      <c r="L218" s="351"/>
    </row>
    <row r="219" spans="1:14" x14ac:dyDescent="0.25">
      <c r="A219" s="155">
        <v>3</v>
      </c>
      <c r="B219" s="61" t="s">
        <v>594</v>
      </c>
      <c r="C219" s="43">
        <v>18000</v>
      </c>
      <c r="D219" s="43">
        <v>1620</v>
      </c>
      <c r="E219" s="43">
        <v>1000</v>
      </c>
      <c r="F219" s="61"/>
      <c r="G219" s="142">
        <f t="shared" si="100"/>
        <v>1000</v>
      </c>
      <c r="H219" s="56">
        <f>5000-5000</f>
        <v>0</v>
      </c>
      <c r="I219" s="57">
        <f t="shared" si="101"/>
        <v>1000</v>
      </c>
      <c r="J219" s="57">
        <f t="shared" si="102"/>
        <v>18000000</v>
      </c>
      <c r="K219" s="58">
        <f t="shared" si="103"/>
        <v>1620000</v>
      </c>
      <c r="L219" s="363" t="s">
        <v>1026</v>
      </c>
      <c r="N219" t="s">
        <v>972</v>
      </c>
    </row>
    <row r="220" spans="1:14" x14ac:dyDescent="0.25">
      <c r="A220" s="155">
        <v>4</v>
      </c>
      <c r="B220" s="61" t="s">
        <v>595</v>
      </c>
      <c r="C220" s="43">
        <v>10000</v>
      </c>
      <c r="D220" s="43">
        <v>1410</v>
      </c>
      <c r="E220" s="104">
        <v>0</v>
      </c>
      <c r="F220" s="61"/>
      <c r="G220" s="142">
        <f t="shared" si="100"/>
        <v>0</v>
      </c>
      <c r="H220" s="56">
        <f>2000-2000</f>
        <v>0</v>
      </c>
      <c r="I220" s="57">
        <f t="shared" si="101"/>
        <v>0</v>
      </c>
      <c r="J220" s="57">
        <f t="shared" si="102"/>
        <v>0</v>
      </c>
      <c r="K220" s="58">
        <f t="shared" si="103"/>
        <v>0</v>
      </c>
      <c r="L220" s="351"/>
    </row>
    <row r="221" spans="1:14" x14ac:dyDescent="0.25">
      <c r="A221" s="155">
        <v>5</v>
      </c>
      <c r="B221" s="216" t="s">
        <v>733</v>
      </c>
      <c r="C221" s="43">
        <v>5000</v>
      </c>
      <c r="D221" s="179">
        <v>1272.5</v>
      </c>
      <c r="E221" s="104">
        <v>0</v>
      </c>
      <c r="F221" s="61"/>
      <c r="G221" s="142">
        <f t="shared" si="100"/>
        <v>0</v>
      </c>
      <c r="H221" s="56">
        <f>4300-4300</f>
        <v>0</v>
      </c>
      <c r="I221" s="57">
        <f t="shared" si="101"/>
        <v>0</v>
      </c>
      <c r="J221" s="57">
        <f t="shared" si="102"/>
        <v>0</v>
      </c>
      <c r="K221" s="58">
        <f t="shared" si="103"/>
        <v>0</v>
      </c>
      <c r="L221" s="351"/>
      <c r="M221" s="53" t="s">
        <v>913</v>
      </c>
    </row>
    <row r="222" spans="1:14" x14ac:dyDescent="0.25">
      <c r="A222" s="155">
        <v>6</v>
      </c>
      <c r="B222" s="61" t="s">
        <v>620</v>
      </c>
      <c r="C222" s="43">
        <v>5000</v>
      </c>
      <c r="D222" s="178">
        <v>1270.9100000000001</v>
      </c>
      <c r="E222" s="104">
        <v>0</v>
      </c>
      <c r="F222" s="184"/>
      <c r="G222" s="142">
        <f t="shared" si="100"/>
        <v>0</v>
      </c>
      <c r="H222" s="56">
        <f>4000-4000</f>
        <v>0</v>
      </c>
      <c r="I222" s="57">
        <f t="shared" si="101"/>
        <v>0</v>
      </c>
      <c r="J222" s="57">
        <f t="shared" si="102"/>
        <v>0</v>
      </c>
      <c r="K222" s="58">
        <f t="shared" si="103"/>
        <v>0</v>
      </c>
      <c r="L222" s="351"/>
    </row>
    <row r="223" spans="1:14" x14ac:dyDescent="0.25">
      <c r="A223" s="155">
        <v>7</v>
      </c>
      <c r="B223" s="216" t="s">
        <v>1039</v>
      </c>
      <c r="C223" s="43">
        <v>16000</v>
      </c>
      <c r="D223" s="178">
        <v>1270.9100000000001</v>
      </c>
      <c r="E223" s="43">
        <v>2700</v>
      </c>
      <c r="F223" s="61"/>
      <c r="G223" s="142">
        <f t="shared" si="100"/>
        <v>2700</v>
      </c>
      <c r="H223" s="56">
        <f>5000-5000</f>
        <v>0</v>
      </c>
      <c r="I223" s="104">
        <f t="shared" si="101"/>
        <v>2700</v>
      </c>
      <c r="J223" s="57">
        <f t="shared" si="102"/>
        <v>43200000</v>
      </c>
      <c r="K223" s="58">
        <f t="shared" si="103"/>
        <v>3431457</v>
      </c>
      <c r="L223" s="363" t="s">
        <v>1038</v>
      </c>
      <c r="M223" s="258"/>
    </row>
    <row r="224" spans="1:14" x14ac:dyDescent="0.25">
      <c r="A224" s="155">
        <v>8</v>
      </c>
      <c r="B224" s="61" t="s">
        <v>209</v>
      </c>
      <c r="C224" s="43">
        <v>5000</v>
      </c>
      <c r="D224" s="185">
        <v>1186.92</v>
      </c>
      <c r="E224" s="43">
        <v>4800</v>
      </c>
      <c r="F224" s="184"/>
      <c r="G224" s="142">
        <f t="shared" si="100"/>
        <v>4800</v>
      </c>
      <c r="H224" s="56">
        <f>5000-5000+1920</f>
        <v>1920</v>
      </c>
      <c r="I224" s="57">
        <f t="shared" si="101"/>
        <v>2880</v>
      </c>
      <c r="J224" s="57">
        <f t="shared" si="102"/>
        <v>14400000</v>
      </c>
      <c r="K224" s="58">
        <f t="shared" si="103"/>
        <v>3418329.6</v>
      </c>
      <c r="L224" s="363" t="s">
        <v>1041</v>
      </c>
      <c r="M224" t="s">
        <v>989</v>
      </c>
      <c r="N224" s="53">
        <v>1920</v>
      </c>
    </row>
    <row r="225" spans="1:23" ht="15.75" thickBot="1" x14ac:dyDescent="0.3">
      <c r="A225" s="156">
        <v>9</v>
      </c>
      <c r="B225" s="217" t="s">
        <v>734</v>
      </c>
      <c r="C225" s="157">
        <v>20000</v>
      </c>
      <c r="D225" s="186">
        <v>2134.42</v>
      </c>
      <c r="E225" s="157">
        <v>0</v>
      </c>
      <c r="F225" s="159"/>
      <c r="G225" s="150">
        <f t="shared" si="100"/>
        <v>0</v>
      </c>
      <c r="H225" s="59">
        <f>3000-3000</f>
        <v>0</v>
      </c>
      <c r="I225" s="65">
        <f t="shared" si="101"/>
        <v>0</v>
      </c>
      <c r="J225" s="65">
        <f t="shared" si="102"/>
        <v>0</v>
      </c>
      <c r="K225" s="66">
        <f t="shared" si="103"/>
        <v>0</v>
      </c>
      <c r="L225" s="351"/>
      <c r="M225" s="258"/>
    </row>
    <row r="226" spans="1:23" ht="15.75" thickBot="1" x14ac:dyDescent="0.3">
      <c r="A226" s="131"/>
      <c r="B226" s="122" t="s">
        <v>688</v>
      </c>
      <c r="C226" s="36"/>
      <c r="D226" s="36"/>
      <c r="E226" s="29">
        <f t="shared" ref="E226:K226" si="104">SUM(E217:E225)</f>
        <v>13500</v>
      </c>
      <c r="F226" s="29">
        <f t="shared" si="104"/>
        <v>0</v>
      </c>
      <c r="G226" s="29">
        <f t="shared" si="104"/>
        <v>13500</v>
      </c>
      <c r="H226" s="29">
        <f t="shared" si="104"/>
        <v>6920</v>
      </c>
      <c r="I226" s="29">
        <f t="shared" si="104"/>
        <v>6580</v>
      </c>
      <c r="J226" s="29">
        <f t="shared" si="104"/>
        <v>75600000</v>
      </c>
      <c r="K226" s="47">
        <f t="shared" si="104"/>
        <v>8469786.5999999996</v>
      </c>
      <c r="L226" s="218"/>
    </row>
    <row r="227" spans="1:23" ht="15.75" thickBot="1" x14ac:dyDescent="0.3">
      <c r="A227" s="68"/>
      <c r="B227" s="141"/>
      <c r="C227" s="135"/>
      <c r="D227" s="135"/>
      <c r="E227" s="162"/>
      <c r="F227" s="162"/>
      <c r="G227" s="162"/>
      <c r="H227" s="162"/>
      <c r="I227" s="162"/>
      <c r="J227" s="162"/>
      <c r="K227" s="218"/>
      <c r="L227" s="218"/>
    </row>
    <row r="228" spans="1:23" ht="15.75" thickBot="1" x14ac:dyDescent="0.3">
      <c r="A228" s="365" t="s">
        <v>657</v>
      </c>
      <c r="B228" s="372" t="s">
        <v>708</v>
      </c>
      <c r="C228" s="372" t="s">
        <v>1</v>
      </c>
      <c r="D228" s="373" t="s">
        <v>649</v>
      </c>
      <c r="E228" s="374" t="s">
        <v>19</v>
      </c>
      <c r="F228" s="374"/>
      <c r="G228" s="374"/>
      <c r="H228" s="374"/>
      <c r="I228" s="374"/>
      <c r="J228" s="368" t="s">
        <v>21</v>
      </c>
      <c r="K228" s="370" t="s">
        <v>602</v>
      </c>
      <c r="L228" s="349"/>
    </row>
    <row r="229" spans="1:23" ht="15.75" thickBot="1" x14ac:dyDescent="0.3">
      <c r="A229" s="366"/>
      <c r="B229" s="372"/>
      <c r="C229" s="372"/>
      <c r="D229" s="373"/>
      <c r="E229" s="69" t="s">
        <v>22</v>
      </c>
      <c r="F229" s="69" t="s">
        <v>600</v>
      </c>
      <c r="G229" s="69" t="s">
        <v>601</v>
      </c>
      <c r="H229" s="69" t="s">
        <v>589</v>
      </c>
      <c r="I229" s="69" t="s">
        <v>601</v>
      </c>
      <c r="J229" s="369"/>
      <c r="K229" s="371"/>
      <c r="L229" s="349"/>
    </row>
    <row r="230" spans="1:23" ht="15.75" thickBot="1" x14ac:dyDescent="0.3">
      <c r="A230" s="367"/>
      <c r="B230" s="212">
        <v>1</v>
      </c>
      <c r="C230" s="212">
        <v>2</v>
      </c>
      <c r="D230" s="212">
        <v>3</v>
      </c>
      <c r="E230" s="71">
        <v>4</v>
      </c>
      <c r="F230" s="71">
        <f>+E230+1</f>
        <v>5</v>
      </c>
      <c r="G230" s="71" t="s">
        <v>652</v>
      </c>
      <c r="H230" s="71">
        <v>7</v>
      </c>
      <c r="I230" s="72" t="s">
        <v>651</v>
      </c>
      <c r="J230" s="42" t="s">
        <v>650</v>
      </c>
      <c r="K230" s="42" t="s">
        <v>653</v>
      </c>
      <c r="L230" s="350"/>
    </row>
    <row r="231" spans="1:23" x14ac:dyDescent="0.25">
      <c r="A231" s="163"/>
      <c r="B231" s="180" t="s">
        <v>736</v>
      </c>
      <c r="C231" s="55"/>
      <c r="D231" s="55"/>
      <c r="E231" s="55"/>
      <c r="F231" s="55"/>
      <c r="G231" s="181">
        <f t="shared" ref="G231:G239" si="105">+E231+F231</f>
        <v>0</v>
      </c>
      <c r="H231" s="163"/>
      <c r="I231" s="182">
        <f t="shared" ref="I231:I239" si="106">+G231-H231</f>
        <v>0</v>
      </c>
      <c r="J231" s="182">
        <f t="shared" ref="J231:J239" si="107">I231*C231</f>
        <v>0</v>
      </c>
      <c r="K231" s="183">
        <f t="shared" ref="K231:K239" si="108">+D231*I231</f>
        <v>0</v>
      </c>
      <c r="L231" s="351"/>
    </row>
    <row r="232" spans="1:23" x14ac:dyDescent="0.25">
      <c r="A232" s="155">
        <v>1</v>
      </c>
      <c r="B232" s="216" t="s">
        <v>785</v>
      </c>
      <c r="C232" s="43">
        <v>5000</v>
      </c>
      <c r="D232" s="178">
        <v>1265.25</v>
      </c>
      <c r="E232" s="43">
        <v>0</v>
      </c>
      <c r="F232" s="60"/>
      <c r="G232" s="142">
        <f t="shared" si="105"/>
        <v>0</v>
      </c>
      <c r="H232" s="60">
        <f>4000-4000+2496-2496+2000-2000</f>
        <v>0</v>
      </c>
      <c r="I232" s="57">
        <f t="shared" si="106"/>
        <v>0</v>
      </c>
      <c r="J232" s="57">
        <f t="shared" si="107"/>
        <v>0</v>
      </c>
      <c r="K232" s="58">
        <f t="shared" si="108"/>
        <v>0</v>
      </c>
      <c r="L232" s="326"/>
      <c r="M232" s="287"/>
      <c r="N232" s="53" t="s">
        <v>953</v>
      </c>
    </row>
    <row r="233" spans="1:23" x14ac:dyDescent="0.25">
      <c r="A233" s="155">
        <v>2</v>
      </c>
      <c r="B233" s="216" t="s">
        <v>789</v>
      </c>
      <c r="C233" s="43">
        <v>10000</v>
      </c>
      <c r="D233" s="185">
        <v>5304</v>
      </c>
      <c r="E233" s="104">
        <v>0</v>
      </c>
      <c r="F233" s="60">
        <f>14-14</f>
        <v>0</v>
      </c>
      <c r="G233" s="142">
        <f t="shared" si="105"/>
        <v>0</v>
      </c>
      <c r="H233" s="142">
        <f>1800+2700-4500</f>
        <v>0</v>
      </c>
      <c r="I233" s="57">
        <f t="shared" si="106"/>
        <v>0</v>
      </c>
      <c r="J233" s="57">
        <f t="shared" si="107"/>
        <v>0</v>
      </c>
      <c r="K233" s="58">
        <f t="shared" si="108"/>
        <v>0</v>
      </c>
      <c r="L233" s="351"/>
    </row>
    <row r="234" spans="1:23" x14ac:dyDescent="0.25">
      <c r="A234" s="155">
        <v>3</v>
      </c>
      <c r="B234" s="216" t="s">
        <v>790</v>
      </c>
      <c r="C234" s="43">
        <v>18000</v>
      </c>
      <c r="D234" s="185">
        <v>5456.36</v>
      </c>
      <c r="E234" s="43">
        <v>32</v>
      </c>
      <c r="F234" s="60"/>
      <c r="G234" s="142">
        <f t="shared" si="105"/>
        <v>32</v>
      </c>
      <c r="H234" s="142">
        <f>500+2400-2900</f>
        <v>0</v>
      </c>
      <c r="I234" s="57">
        <f t="shared" si="106"/>
        <v>32</v>
      </c>
      <c r="J234" s="57">
        <f t="shared" si="107"/>
        <v>576000</v>
      </c>
      <c r="K234" s="58">
        <f t="shared" si="108"/>
        <v>174603.51999999999</v>
      </c>
      <c r="L234" s="358" t="s">
        <v>1023</v>
      </c>
      <c r="M234" s="287" t="s">
        <v>846</v>
      </c>
    </row>
    <row r="235" spans="1:23" x14ac:dyDescent="0.25">
      <c r="A235" s="155">
        <v>4</v>
      </c>
      <c r="B235" s="216" t="s">
        <v>796</v>
      </c>
      <c r="C235" s="43">
        <v>15000</v>
      </c>
      <c r="D235" s="185">
        <v>3594.5</v>
      </c>
      <c r="E235" s="104">
        <v>0</v>
      </c>
      <c r="F235" s="60">
        <f>5000-200-4800</f>
        <v>0</v>
      </c>
      <c r="G235" s="142">
        <f t="shared" si="105"/>
        <v>0</v>
      </c>
      <c r="H235" s="142">
        <f>100-100+69-69</f>
        <v>0</v>
      </c>
      <c r="I235" s="57">
        <f t="shared" si="106"/>
        <v>0</v>
      </c>
      <c r="J235" s="57">
        <f t="shared" si="107"/>
        <v>0</v>
      </c>
      <c r="K235" s="58">
        <f t="shared" si="108"/>
        <v>0</v>
      </c>
      <c r="L235" s="326"/>
      <c r="M235" s="275">
        <f>+I235-24-15-25-2</f>
        <v>-66</v>
      </c>
      <c r="N235" s="258">
        <v>24</v>
      </c>
      <c r="O235" s="258">
        <v>25</v>
      </c>
      <c r="P235" s="258">
        <v>15</v>
      </c>
      <c r="Q235" s="288">
        <v>2</v>
      </c>
      <c r="R235" s="53">
        <f>+N235+O235+P235+Q235</f>
        <v>66</v>
      </c>
    </row>
    <row r="236" spans="1:23" x14ac:dyDescent="0.25">
      <c r="A236" s="155">
        <v>5</v>
      </c>
      <c r="B236" s="216" t="s">
        <v>809</v>
      </c>
      <c r="C236" s="43">
        <v>40000</v>
      </c>
      <c r="D236" s="185">
        <v>28594.5</v>
      </c>
      <c r="E236" s="104">
        <v>0</v>
      </c>
      <c r="F236" s="60">
        <f>200-200</f>
        <v>0</v>
      </c>
      <c r="G236" s="142">
        <f t="shared" si="105"/>
        <v>0</v>
      </c>
      <c r="H236" s="142">
        <f>39+160-199+1-1</f>
        <v>0</v>
      </c>
      <c r="I236" s="57">
        <f t="shared" si="106"/>
        <v>0</v>
      </c>
      <c r="J236" s="57">
        <f t="shared" si="107"/>
        <v>0</v>
      </c>
      <c r="K236" s="58">
        <f t="shared" si="108"/>
        <v>0</v>
      </c>
      <c r="L236" s="351"/>
      <c r="S236" s="248">
        <v>42492</v>
      </c>
      <c r="T236" s="248">
        <v>42512</v>
      </c>
      <c r="U236" s="248">
        <v>42503</v>
      </c>
      <c r="V236" s="248">
        <v>42494</v>
      </c>
      <c r="W236" t="s">
        <v>826</v>
      </c>
    </row>
    <row r="237" spans="1:23" x14ac:dyDescent="0.25">
      <c r="A237" s="155">
        <v>6</v>
      </c>
      <c r="B237" s="61" t="s">
        <v>812</v>
      </c>
      <c r="C237" s="43">
        <v>64000</v>
      </c>
      <c r="D237" s="295">
        <v>9200</v>
      </c>
      <c r="E237" s="104">
        <v>5396</v>
      </c>
      <c r="F237" s="235">
        <f>20000-20000</f>
        <v>0</v>
      </c>
      <c r="G237" s="142">
        <f t="shared" si="105"/>
        <v>5396</v>
      </c>
      <c r="H237" s="142">
        <f>(700+250+4150+6900)+750+600+750+4+500-14604+2500</f>
        <v>2500</v>
      </c>
      <c r="I237" s="57">
        <f t="shared" si="106"/>
        <v>2896</v>
      </c>
      <c r="J237" s="57">
        <f t="shared" si="107"/>
        <v>185344000</v>
      </c>
      <c r="K237" s="58">
        <f t="shared" si="108"/>
        <v>26643200</v>
      </c>
      <c r="L237" s="358" t="s">
        <v>1022</v>
      </c>
      <c r="M237" s="287" t="s">
        <v>846</v>
      </c>
      <c r="R237" s="242"/>
      <c r="S237" s="251">
        <v>750</v>
      </c>
      <c r="T237" s="251">
        <v>600</v>
      </c>
      <c r="U237" s="252">
        <v>750</v>
      </c>
      <c r="V237" s="253">
        <v>4</v>
      </c>
      <c r="W237" s="251">
        <v>500</v>
      </c>
    </row>
    <row r="238" spans="1:23" x14ac:dyDescent="0.25">
      <c r="A238" s="155">
        <v>7</v>
      </c>
      <c r="B238" s="61" t="s">
        <v>813</v>
      </c>
      <c r="C238" s="43">
        <v>36000</v>
      </c>
      <c r="D238" s="294">
        <v>34323</v>
      </c>
      <c r="E238" s="43">
        <v>241</v>
      </c>
      <c r="F238" s="60">
        <f>9500-9500+500-500</f>
        <v>0</v>
      </c>
      <c r="G238" s="142">
        <f t="shared" si="105"/>
        <v>241</v>
      </c>
      <c r="H238" s="142">
        <f>50+50-100+500+5-505</f>
        <v>0</v>
      </c>
      <c r="I238" s="57">
        <f t="shared" si="106"/>
        <v>241</v>
      </c>
      <c r="J238" s="57">
        <f t="shared" si="107"/>
        <v>8676000</v>
      </c>
      <c r="K238" s="58">
        <f t="shared" si="108"/>
        <v>8271843</v>
      </c>
      <c r="L238" s="358" t="s">
        <v>1043</v>
      </c>
      <c r="M238" s="274"/>
      <c r="N238" s="267"/>
      <c r="O238" s="267"/>
      <c r="P238" s="258">
        <f>500+5</f>
        <v>505</v>
      </c>
      <c r="Q238" s="242"/>
      <c r="R238" s="242"/>
      <c r="V238" s="254">
        <v>4</v>
      </c>
      <c r="W238" s="255">
        <v>500</v>
      </c>
    </row>
    <row r="239" spans="1:23" x14ac:dyDescent="0.25">
      <c r="A239" s="155">
        <v>8</v>
      </c>
      <c r="B239" s="61" t="s">
        <v>814</v>
      </c>
      <c r="C239" s="43">
        <v>18000</v>
      </c>
      <c r="D239" s="185">
        <v>7603</v>
      </c>
      <c r="E239" s="43">
        <v>0</v>
      </c>
      <c r="F239" s="235">
        <f>2566-2566</f>
        <v>0</v>
      </c>
      <c r="G239" s="142">
        <f t="shared" si="105"/>
        <v>0</v>
      </c>
      <c r="H239" s="56">
        <f>2566-2566</f>
        <v>0</v>
      </c>
      <c r="I239" s="57">
        <f t="shared" si="106"/>
        <v>0</v>
      </c>
      <c r="J239" s="57">
        <f t="shared" si="107"/>
        <v>0</v>
      </c>
      <c r="K239" s="58">
        <f t="shared" si="108"/>
        <v>0</v>
      </c>
      <c r="L239" s="351"/>
    </row>
    <row r="240" spans="1:23" x14ac:dyDescent="0.25">
      <c r="A240" s="173">
        <v>9</v>
      </c>
      <c r="B240" s="124" t="s">
        <v>836</v>
      </c>
      <c r="C240" s="125">
        <v>36000</v>
      </c>
      <c r="D240" s="294">
        <v>4109</v>
      </c>
      <c r="E240" s="104">
        <v>0</v>
      </c>
      <c r="F240" s="60">
        <f>50000-50000</f>
        <v>0</v>
      </c>
      <c r="G240" s="142">
        <f t="shared" ref="G240:G248" si="109">+E240+F240</f>
        <v>0</v>
      </c>
      <c r="H240" s="142">
        <f>3000+2794-5794+2000-2000</f>
        <v>0</v>
      </c>
      <c r="I240" s="57">
        <f t="shared" ref="I240:I242" si="110">+G240-H240</f>
        <v>0</v>
      </c>
      <c r="J240" s="57">
        <f t="shared" ref="J240:J242" si="111">I240*C240</f>
        <v>0</v>
      </c>
      <c r="K240" s="58">
        <f t="shared" ref="K240:K242" si="112">+D240*I240</f>
        <v>0</v>
      </c>
      <c r="L240" s="351"/>
      <c r="M240" t="s">
        <v>945</v>
      </c>
      <c r="N240" s="53" t="s">
        <v>952</v>
      </c>
      <c r="P240" s="285"/>
      <c r="Q240" s="255"/>
    </row>
    <row r="241" spans="1:24" x14ac:dyDescent="0.25">
      <c r="A241" s="173">
        <v>10</v>
      </c>
      <c r="B241" s="124" t="s">
        <v>837</v>
      </c>
      <c r="C241" s="125">
        <v>10000</v>
      </c>
      <c r="D241" s="294">
        <v>3456.25</v>
      </c>
      <c r="E241" s="104">
        <v>0</v>
      </c>
      <c r="F241" s="60">
        <f>12000-12000</f>
        <v>0</v>
      </c>
      <c r="G241" s="142">
        <f t="shared" si="109"/>
        <v>0</v>
      </c>
      <c r="H241" s="142">
        <f>2150-2150</f>
        <v>0</v>
      </c>
      <c r="I241" s="57">
        <f t="shared" si="110"/>
        <v>0</v>
      </c>
      <c r="J241" s="57">
        <f t="shared" si="111"/>
        <v>0</v>
      </c>
      <c r="K241" s="58">
        <f t="shared" si="112"/>
        <v>0</v>
      </c>
      <c r="L241" s="351"/>
      <c r="P241" s="285"/>
    </row>
    <row r="242" spans="1:24" x14ac:dyDescent="0.25">
      <c r="A242" s="155">
        <v>11</v>
      </c>
      <c r="B242" s="216" t="s">
        <v>843</v>
      </c>
      <c r="C242" s="43">
        <v>10000</v>
      </c>
      <c r="D242" s="185">
        <v>2120.48</v>
      </c>
      <c r="E242" s="43">
        <v>800</v>
      </c>
      <c r="F242" s="60">
        <f t="shared" ref="F242" si="113">12000-12000</f>
        <v>0</v>
      </c>
      <c r="G242" s="142">
        <f t="shared" si="109"/>
        <v>800</v>
      </c>
      <c r="H242" s="142">
        <f>300-300+4000-4000</f>
        <v>0</v>
      </c>
      <c r="I242" s="57">
        <f t="shared" si="110"/>
        <v>800</v>
      </c>
      <c r="J242" s="57">
        <f t="shared" si="111"/>
        <v>8000000</v>
      </c>
      <c r="K242" s="58">
        <f t="shared" si="112"/>
        <v>1696384</v>
      </c>
      <c r="L242" s="363" t="s">
        <v>1044</v>
      </c>
      <c r="P242" s="285"/>
    </row>
    <row r="243" spans="1:24" x14ac:dyDescent="0.25">
      <c r="A243" s="155">
        <v>12</v>
      </c>
      <c r="B243" s="216" t="s">
        <v>868</v>
      </c>
      <c r="C243" s="43">
        <v>10000</v>
      </c>
      <c r="D243" s="304">
        <v>2120.25</v>
      </c>
      <c r="E243" s="43">
        <v>0</v>
      </c>
      <c r="F243" s="60">
        <f>15000-15000</f>
        <v>0</v>
      </c>
      <c r="G243" s="142">
        <f t="shared" si="109"/>
        <v>0</v>
      </c>
      <c r="H243" s="142">
        <f>7000+4000-11000+1000-1000+2000-2000+1000-1000</f>
        <v>0</v>
      </c>
      <c r="I243" s="57">
        <f t="shared" ref="I243:I244" si="114">+G243-H243</f>
        <v>0</v>
      </c>
      <c r="J243" s="57">
        <f t="shared" ref="J243:J244" si="115">I243*C243</f>
        <v>0</v>
      </c>
      <c r="K243" s="58">
        <f t="shared" ref="K243:K244" si="116">+D243*I243</f>
        <v>0</v>
      </c>
      <c r="L243" s="351"/>
      <c r="N243" s="242"/>
      <c r="P243" s="285"/>
    </row>
    <row r="244" spans="1:24" x14ac:dyDescent="0.25">
      <c r="A244" s="155">
        <v>13</v>
      </c>
      <c r="B244" s="216" t="s">
        <v>963</v>
      </c>
      <c r="C244" s="43">
        <v>18000</v>
      </c>
      <c r="D244" s="305">
        <v>3322</v>
      </c>
      <c r="E244" s="104">
        <v>0</v>
      </c>
      <c r="F244" s="60">
        <f>100000-100000</f>
        <v>0</v>
      </c>
      <c r="G244" s="142">
        <f t="shared" si="109"/>
        <v>0</v>
      </c>
      <c r="H244" s="142">
        <f>3000+9000+9000-21000+5200+12400+1700+6300-25600+1300-1300</f>
        <v>0</v>
      </c>
      <c r="I244" s="57">
        <f t="shared" si="114"/>
        <v>0</v>
      </c>
      <c r="J244" s="57">
        <f t="shared" si="115"/>
        <v>0</v>
      </c>
      <c r="K244" s="58">
        <f t="shared" si="116"/>
        <v>0</v>
      </c>
      <c r="L244" s="351"/>
      <c r="M244" t="s">
        <v>946</v>
      </c>
      <c r="N244" t="s">
        <v>967</v>
      </c>
      <c r="O244" t="s">
        <v>968</v>
      </c>
      <c r="P244" s="285"/>
    </row>
    <row r="245" spans="1:24" x14ac:dyDescent="0.25">
      <c r="A245" s="173">
        <v>14</v>
      </c>
      <c r="B245" s="124" t="s">
        <v>878</v>
      </c>
      <c r="C245" s="125">
        <v>10000</v>
      </c>
      <c r="D245" s="306">
        <v>1400.48</v>
      </c>
      <c r="E245" s="259">
        <v>9000</v>
      </c>
      <c r="F245" s="60">
        <f>30000-30000</f>
        <v>0</v>
      </c>
      <c r="G245" s="142">
        <f t="shared" si="109"/>
        <v>9000</v>
      </c>
      <c r="H245" s="142">
        <f>20350+100+50-20500+500-500</f>
        <v>0</v>
      </c>
      <c r="I245" s="57">
        <f t="shared" ref="I245" si="117">+G245-H245</f>
        <v>9000</v>
      </c>
      <c r="J245" s="57">
        <f t="shared" ref="J245" si="118">I245*C245</f>
        <v>90000000</v>
      </c>
      <c r="K245" s="58">
        <f t="shared" ref="K245" si="119">+D245*I245</f>
        <v>12604320</v>
      </c>
      <c r="L245" s="363" t="s">
        <v>1042</v>
      </c>
      <c r="P245" s="285"/>
    </row>
    <row r="246" spans="1:24" x14ac:dyDescent="0.25">
      <c r="A246" s="173">
        <v>15</v>
      </c>
      <c r="B246" s="239" t="s">
        <v>887</v>
      </c>
      <c r="C246" s="125">
        <v>10000</v>
      </c>
      <c r="D246" s="307">
        <v>4905.25</v>
      </c>
      <c r="E246" s="259">
        <v>0</v>
      </c>
      <c r="F246" s="60">
        <f>8000-8000</f>
        <v>0</v>
      </c>
      <c r="G246" s="142">
        <f t="shared" si="109"/>
        <v>0</v>
      </c>
      <c r="H246" s="142">
        <f>1000+2000+2000+1000-6000+2000-2000</f>
        <v>0</v>
      </c>
      <c r="I246" s="57">
        <f t="shared" ref="I246:I248" si="120">+G246-H246</f>
        <v>0</v>
      </c>
      <c r="J246" s="57">
        <f t="shared" ref="J246:J248" si="121">I246*C246</f>
        <v>0</v>
      </c>
      <c r="K246" s="58">
        <f t="shared" ref="K246:K248" si="122">+D246*I246</f>
        <v>0</v>
      </c>
      <c r="L246" s="351"/>
      <c r="P246" s="285"/>
      <c r="Q246" s="242"/>
    </row>
    <row r="247" spans="1:24" x14ac:dyDescent="0.25">
      <c r="A247" s="173">
        <v>16</v>
      </c>
      <c r="B247" s="239" t="s">
        <v>889</v>
      </c>
      <c r="C247" s="125">
        <v>160000</v>
      </c>
      <c r="D247" s="307">
        <v>20160.16</v>
      </c>
      <c r="E247" s="259">
        <v>0</v>
      </c>
      <c r="F247" s="60">
        <f>888-888</f>
        <v>0</v>
      </c>
      <c r="G247" s="142">
        <f t="shared" si="109"/>
        <v>0</v>
      </c>
      <c r="H247" s="142">
        <f>888-888</f>
        <v>0</v>
      </c>
      <c r="I247" s="57">
        <f t="shared" si="120"/>
        <v>0</v>
      </c>
      <c r="J247" s="57">
        <f t="shared" si="121"/>
        <v>0</v>
      </c>
      <c r="K247" s="58">
        <f t="shared" si="122"/>
        <v>0</v>
      </c>
      <c r="L247" s="351"/>
      <c r="P247" s="285"/>
    </row>
    <row r="248" spans="1:24" ht="15.75" thickBot="1" x14ac:dyDescent="0.3">
      <c r="A248" s="156">
        <v>17</v>
      </c>
      <c r="B248" s="217" t="s">
        <v>890</v>
      </c>
      <c r="C248" s="157">
        <v>36000</v>
      </c>
      <c r="D248" s="186">
        <v>34323</v>
      </c>
      <c r="E248" s="157">
        <v>0</v>
      </c>
      <c r="F248" s="60">
        <f>2000-2000</f>
        <v>0</v>
      </c>
      <c r="G248" s="142">
        <f t="shared" si="109"/>
        <v>0</v>
      </c>
      <c r="H248" s="142">
        <f>2000-2000</f>
        <v>0</v>
      </c>
      <c r="I248" s="57">
        <f t="shared" si="120"/>
        <v>0</v>
      </c>
      <c r="J248" s="57">
        <f t="shared" si="121"/>
        <v>0</v>
      </c>
      <c r="K248" s="58">
        <f t="shared" si="122"/>
        <v>0</v>
      </c>
      <c r="L248" s="351"/>
    </row>
    <row r="249" spans="1:24" ht="15.75" thickBot="1" x14ac:dyDescent="0.3">
      <c r="A249" s="131"/>
      <c r="B249" s="122" t="s">
        <v>730</v>
      </c>
      <c r="C249" s="36"/>
      <c r="D249" s="36"/>
      <c r="E249" s="29">
        <f>SUM(E232:E248)</f>
        <v>15469</v>
      </c>
      <c r="F249" s="29">
        <f t="shared" ref="F249:K249" si="123">SUM(F232:F248)</f>
        <v>0</v>
      </c>
      <c r="G249" s="29">
        <f t="shared" si="123"/>
        <v>15469</v>
      </c>
      <c r="H249" s="29">
        <f t="shared" si="123"/>
        <v>2500</v>
      </c>
      <c r="I249" s="29">
        <f t="shared" si="123"/>
        <v>12969</v>
      </c>
      <c r="J249" s="29">
        <f t="shared" si="123"/>
        <v>292596000</v>
      </c>
      <c r="K249" s="47">
        <f t="shared" si="123"/>
        <v>49390350.519999996</v>
      </c>
      <c r="L249" s="218"/>
    </row>
    <row r="250" spans="1:24" ht="15.75" thickBot="1" x14ac:dyDescent="0.3">
      <c r="A250" s="68"/>
      <c r="B250" s="141"/>
      <c r="C250" s="135"/>
      <c r="D250" s="135"/>
      <c r="E250" s="162"/>
      <c r="F250" s="162"/>
      <c r="G250" s="162"/>
      <c r="H250" s="162"/>
      <c r="I250" s="162"/>
      <c r="J250" s="162"/>
      <c r="K250" s="218"/>
      <c r="L250" s="218"/>
    </row>
    <row r="251" spans="1:24" ht="15.75" thickBot="1" x14ac:dyDescent="0.3">
      <c r="A251" s="365" t="s">
        <v>657</v>
      </c>
      <c r="B251" s="372" t="s">
        <v>708</v>
      </c>
      <c r="C251" s="372" t="s">
        <v>1</v>
      </c>
      <c r="D251" s="373" t="s">
        <v>649</v>
      </c>
      <c r="E251" s="374" t="s">
        <v>19</v>
      </c>
      <c r="F251" s="374"/>
      <c r="G251" s="374"/>
      <c r="H251" s="374"/>
      <c r="I251" s="374"/>
      <c r="J251" s="368" t="s">
        <v>21</v>
      </c>
      <c r="K251" s="370" t="s">
        <v>602</v>
      </c>
      <c r="L251" s="349"/>
    </row>
    <row r="252" spans="1:24" ht="15.75" thickBot="1" x14ac:dyDescent="0.3">
      <c r="A252" s="366"/>
      <c r="B252" s="372"/>
      <c r="C252" s="372"/>
      <c r="D252" s="373"/>
      <c r="E252" s="69" t="s">
        <v>22</v>
      </c>
      <c r="F252" s="69" t="s">
        <v>600</v>
      </c>
      <c r="G252" s="69" t="s">
        <v>601</v>
      </c>
      <c r="H252" s="69" t="s">
        <v>589</v>
      </c>
      <c r="I252" s="69" t="s">
        <v>601</v>
      </c>
      <c r="J252" s="369"/>
      <c r="K252" s="371"/>
      <c r="L252" s="349"/>
    </row>
    <row r="253" spans="1:24" ht="15.75" thickBot="1" x14ac:dyDescent="0.3">
      <c r="A253" s="367"/>
      <c r="B253" s="322">
        <v>1</v>
      </c>
      <c r="C253" s="322">
        <v>2</v>
      </c>
      <c r="D253" s="322">
        <v>3</v>
      </c>
      <c r="E253" s="71">
        <v>4</v>
      </c>
      <c r="F253" s="71">
        <f>+E253+1</f>
        <v>5</v>
      </c>
      <c r="G253" s="71" t="s">
        <v>652</v>
      </c>
      <c r="H253" s="71">
        <v>7</v>
      </c>
      <c r="I253" s="72" t="s">
        <v>651</v>
      </c>
      <c r="J253" s="42" t="s">
        <v>650</v>
      </c>
      <c r="K253" s="324" t="s">
        <v>653</v>
      </c>
      <c r="L253" s="350"/>
      <c r="M253" s="68"/>
      <c r="N253" s="68"/>
      <c r="O253" s="68"/>
      <c r="P253" s="68"/>
      <c r="Q253" s="68"/>
      <c r="R253" s="68"/>
      <c r="S253" s="68"/>
      <c r="T253" s="68"/>
      <c r="U253" s="68"/>
      <c r="V253" s="68"/>
      <c r="W253" s="68"/>
      <c r="X253" s="68"/>
    </row>
    <row r="254" spans="1:24" x14ac:dyDescent="0.25">
      <c r="A254" s="163"/>
      <c r="B254" s="180" t="s">
        <v>917</v>
      </c>
      <c r="C254" s="55"/>
      <c r="D254" s="55"/>
      <c r="E254" s="55"/>
      <c r="F254" s="55"/>
      <c r="G254" s="181">
        <f t="shared" ref="G254:G266" si="124">+E254+F254</f>
        <v>0</v>
      </c>
      <c r="H254" s="163"/>
      <c r="I254" s="182">
        <f t="shared" ref="I254:I266" si="125">+G254-H254</f>
        <v>0</v>
      </c>
      <c r="J254" s="182">
        <f t="shared" ref="J254:J266" si="126">I254*C254</f>
        <v>0</v>
      </c>
      <c r="K254" s="325">
        <f t="shared" ref="K254:K266" si="127">+D254*I254</f>
        <v>0</v>
      </c>
      <c r="L254" s="356"/>
      <c r="M254" s="332"/>
      <c r="N254" s="68"/>
      <c r="O254" s="68"/>
      <c r="P254" s="68"/>
      <c r="Q254" s="68"/>
      <c r="R254" s="68"/>
      <c r="S254" s="68"/>
      <c r="T254" s="68"/>
      <c r="U254" s="68"/>
      <c r="V254" s="68"/>
      <c r="W254" s="68"/>
      <c r="X254" s="68"/>
    </row>
    <row r="255" spans="1:24" x14ac:dyDescent="0.25">
      <c r="A255" s="155">
        <v>1</v>
      </c>
      <c r="B255" s="216" t="s">
        <v>925</v>
      </c>
      <c r="C255" s="43">
        <v>18000</v>
      </c>
      <c r="D255" s="240">
        <v>0</v>
      </c>
      <c r="E255" s="43">
        <v>50</v>
      </c>
      <c r="F255" s="261">
        <f>40000-40000</f>
        <v>0</v>
      </c>
      <c r="G255" s="142">
        <f t="shared" si="124"/>
        <v>50</v>
      </c>
      <c r="H255" s="60">
        <f>25000+100-25100+50-50+13800+1000-14800+50</f>
        <v>50</v>
      </c>
      <c r="I255" s="342">
        <f t="shared" si="125"/>
        <v>0</v>
      </c>
      <c r="J255" s="57">
        <f t="shared" si="126"/>
        <v>0</v>
      </c>
      <c r="K255" s="326">
        <f t="shared" si="127"/>
        <v>0</v>
      </c>
      <c r="L255" s="356"/>
      <c r="M255" s="347" t="s">
        <v>986</v>
      </c>
      <c r="N255" s="68"/>
      <c r="O255" s="329" t="s">
        <v>992</v>
      </c>
      <c r="P255" s="68"/>
      <c r="Q255" s="68"/>
      <c r="R255" s="68"/>
      <c r="S255" s="68"/>
      <c r="T255" s="68"/>
      <c r="U255" s="68"/>
      <c r="V255" s="68"/>
      <c r="W255" s="68"/>
      <c r="X255" s="68"/>
    </row>
    <row r="256" spans="1:24" x14ac:dyDescent="0.25">
      <c r="A256" s="155">
        <v>2</v>
      </c>
      <c r="B256" s="216" t="s">
        <v>926</v>
      </c>
      <c r="C256" s="43">
        <v>10000</v>
      </c>
      <c r="D256" s="240">
        <v>0</v>
      </c>
      <c r="E256" s="104">
        <v>300</v>
      </c>
      <c r="F256" s="60">
        <f>24000-24000</f>
        <v>0</v>
      </c>
      <c r="G256" s="142">
        <f t="shared" si="124"/>
        <v>300</v>
      </c>
      <c r="H256" s="142">
        <f>17000+100+4000-21100+100-100+2500-2500</f>
        <v>0</v>
      </c>
      <c r="I256" s="342">
        <f t="shared" si="125"/>
        <v>300</v>
      </c>
      <c r="J256" s="57">
        <f t="shared" si="126"/>
        <v>3000000</v>
      </c>
      <c r="K256" s="326">
        <f t="shared" si="127"/>
        <v>0</v>
      </c>
      <c r="L256" s="362" t="s">
        <v>1030</v>
      </c>
      <c r="M256" s="332"/>
      <c r="N256" s="68"/>
      <c r="O256" s="68"/>
      <c r="P256" s="329"/>
      <c r="Q256" s="329" t="s">
        <v>982</v>
      </c>
      <c r="R256" s="68"/>
      <c r="S256" s="68"/>
      <c r="T256" s="68"/>
      <c r="U256" s="68" t="s">
        <v>965</v>
      </c>
      <c r="V256" s="68"/>
      <c r="W256" s="68"/>
      <c r="X256" s="68"/>
    </row>
    <row r="257" spans="1:24" x14ac:dyDescent="0.25">
      <c r="A257" s="155">
        <v>3</v>
      </c>
      <c r="B257" s="216" t="s">
        <v>947</v>
      </c>
      <c r="C257" s="43">
        <v>40000</v>
      </c>
      <c r="D257" s="240">
        <v>3335</v>
      </c>
      <c r="E257" s="43">
        <v>1360</v>
      </c>
      <c r="F257" s="60">
        <f>100000-100000</f>
        <v>0</v>
      </c>
      <c r="G257" s="142">
        <f t="shared" si="124"/>
        <v>1360</v>
      </c>
      <c r="H257" s="142">
        <f>7200+14800+10+1500-23510+3800+3600-7400+5500+2200+2060+2000+370-12130+240</f>
        <v>240</v>
      </c>
      <c r="I257" s="342">
        <f t="shared" si="125"/>
        <v>1120</v>
      </c>
      <c r="J257" s="57">
        <f t="shared" si="126"/>
        <v>44800000</v>
      </c>
      <c r="K257" s="326">
        <f t="shared" si="127"/>
        <v>3735200</v>
      </c>
      <c r="L257" s="356"/>
      <c r="M257" s="347" t="s">
        <v>986</v>
      </c>
      <c r="N257" s="348" t="s">
        <v>989</v>
      </c>
      <c r="O257" s="68">
        <v>240</v>
      </c>
      <c r="P257" s="68"/>
      <c r="Q257" s="242"/>
      <c r="R257" s="242"/>
      <c r="S257" s="242"/>
      <c r="T257" s="242"/>
      <c r="U257" s="242"/>
      <c r="V257" s="68"/>
      <c r="W257" s="68"/>
      <c r="X257" s="68"/>
    </row>
    <row r="258" spans="1:24" x14ac:dyDescent="0.25">
      <c r="A258" s="155">
        <v>4</v>
      </c>
      <c r="B258" s="216" t="s">
        <v>948</v>
      </c>
      <c r="C258" s="43">
        <v>8000</v>
      </c>
      <c r="D258" s="240">
        <v>1354.83</v>
      </c>
      <c r="E258" s="104">
        <v>4399</v>
      </c>
      <c r="F258" s="60">
        <f>24000-24000</f>
        <v>0</v>
      </c>
      <c r="G258" s="142">
        <f t="shared" si="124"/>
        <v>4399</v>
      </c>
      <c r="H258" s="142">
        <f>17000+101-17101+2500-2500</f>
        <v>0</v>
      </c>
      <c r="I258" s="342">
        <f t="shared" si="125"/>
        <v>4399</v>
      </c>
      <c r="J258" s="57">
        <f t="shared" si="126"/>
        <v>35192000</v>
      </c>
      <c r="K258" s="326">
        <f t="shared" si="127"/>
        <v>5959897.1699999999</v>
      </c>
      <c r="L258" s="362" t="s">
        <v>1040</v>
      </c>
      <c r="M258" s="334"/>
      <c r="N258" s="327"/>
      <c r="O258" s="327"/>
      <c r="P258" s="327"/>
      <c r="Q258" s="288"/>
      <c r="R258" s="68"/>
      <c r="S258" s="68"/>
      <c r="T258" s="68"/>
      <c r="U258" s="68"/>
      <c r="V258" s="68"/>
      <c r="W258" s="68"/>
      <c r="X258" s="68"/>
    </row>
    <row r="259" spans="1:24" x14ac:dyDescent="0.25">
      <c r="A259" s="155">
        <v>5</v>
      </c>
      <c r="B259" s="216" t="s">
        <v>973</v>
      </c>
      <c r="C259" s="43">
        <v>18000</v>
      </c>
      <c r="D259" s="240">
        <v>0</v>
      </c>
      <c r="E259" s="104">
        <v>0</v>
      </c>
      <c r="F259" s="60">
        <f>1000-1000</f>
        <v>0</v>
      </c>
      <c r="G259" s="142">
        <f t="shared" si="124"/>
        <v>0</v>
      </c>
      <c r="H259" s="142">
        <f>1000-1000</f>
        <v>0</v>
      </c>
      <c r="I259" s="342">
        <f t="shared" si="125"/>
        <v>0</v>
      </c>
      <c r="J259" s="57">
        <f t="shared" si="126"/>
        <v>0</v>
      </c>
      <c r="K259" s="326">
        <f t="shared" si="127"/>
        <v>0</v>
      </c>
      <c r="L259" s="356"/>
      <c r="M259" s="332"/>
      <c r="N259" s="68"/>
      <c r="O259" s="68"/>
      <c r="P259" s="68"/>
      <c r="Q259" s="68"/>
      <c r="R259" s="68"/>
      <c r="S259" s="328"/>
      <c r="T259" s="328"/>
      <c r="U259" s="328"/>
      <c r="V259" s="328"/>
      <c r="W259" s="329"/>
      <c r="X259" s="68"/>
    </row>
    <row r="260" spans="1:24" x14ac:dyDescent="0.25">
      <c r="A260" s="155">
        <v>6</v>
      </c>
      <c r="B260" s="61" t="s">
        <v>974</v>
      </c>
      <c r="C260" s="43">
        <v>32000</v>
      </c>
      <c r="D260" s="240">
        <v>3729</v>
      </c>
      <c r="E260" s="104">
        <v>1000</v>
      </c>
      <c r="F260" s="60">
        <f>10000-10000</f>
        <v>0</v>
      </c>
      <c r="G260" s="142">
        <f t="shared" si="124"/>
        <v>1000</v>
      </c>
      <c r="H260" s="142">
        <f>9000-9000+500</f>
        <v>500</v>
      </c>
      <c r="I260" s="57">
        <f t="shared" si="125"/>
        <v>500</v>
      </c>
      <c r="J260" s="57">
        <f t="shared" si="126"/>
        <v>16000000</v>
      </c>
      <c r="K260" s="326">
        <f t="shared" si="127"/>
        <v>1864500</v>
      </c>
      <c r="L260" s="362" t="s">
        <v>1004</v>
      </c>
      <c r="M260" s="333"/>
      <c r="N260" s="68"/>
      <c r="O260" s="68"/>
      <c r="P260" s="68"/>
      <c r="Q260" s="68"/>
      <c r="R260" s="242"/>
      <c r="S260" s="330"/>
      <c r="T260" s="330"/>
      <c r="U260" s="330"/>
      <c r="V260" s="330"/>
      <c r="W260" s="330"/>
      <c r="X260" s="68"/>
    </row>
    <row r="261" spans="1:24" x14ac:dyDescent="0.25">
      <c r="A261" s="155">
        <v>7</v>
      </c>
      <c r="B261" s="216" t="s">
        <v>980</v>
      </c>
      <c r="C261" s="43">
        <v>102000</v>
      </c>
      <c r="D261" s="240">
        <v>7618</v>
      </c>
      <c r="E261" s="43">
        <v>30050</v>
      </c>
      <c r="F261" s="60">
        <f>1000+2000+3000+14000+6000+14000+500+39000-79500+20500</f>
        <v>20500</v>
      </c>
      <c r="G261" s="142">
        <f t="shared" si="124"/>
        <v>50550</v>
      </c>
      <c r="H261" s="142">
        <f>3000+10+41800+4640-49450+11520+1000+1800+1000</f>
        <v>15320</v>
      </c>
      <c r="I261" s="57">
        <f t="shared" si="125"/>
        <v>35230</v>
      </c>
      <c r="J261" s="57">
        <f t="shared" si="126"/>
        <v>3593460000</v>
      </c>
      <c r="K261" s="326">
        <f t="shared" si="127"/>
        <v>268382140</v>
      </c>
      <c r="L261" s="362" t="s">
        <v>1002</v>
      </c>
      <c r="M261" s="348" t="s">
        <v>989</v>
      </c>
      <c r="N261" s="272">
        <v>11520</v>
      </c>
      <c r="O261" s="272">
        <v>1000</v>
      </c>
      <c r="P261" s="327">
        <v>1800</v>
      </c>
      <c r="Q261" s="242">
        <v>1000</v>
      </c>
      <c r="R261" s="242"/>
      <c r="S261" s="68"/>
      <c r="T261" s="68"/>
      <c r="U261" s="68"/>
      <c r="V261" s="265"/>
      <c r="W261" s="265"/>
      <c r="X261" s="68"/>
    </row>
    <row r="262" spans="1:24" x14ac:dyDescent="0.25">
      <c r="A262" s="155">
        <v>8</v>
      </c>
      <c r="B262" s="216" t="s">
        <v>979</v>
      </c>
      <c r="C262" s="43">
        <v>20000</v>
      </c>
      <c r="D262" s="240">
        <v>5511.62</v>
      </c>
      <c r="E262" s="43">
        <v>1990</v>
      </c>
      <c r="F262" s="60">
        <f>2000+3000+3000+3000+6000+3000-20000</f>
        <v>0</v>
      </c>
      <c r="G262" s="142">
        <f t="shared" si="124"/>
        <v>1990</v>
      </c>
      <c r="H262" s="345">
        <f>10+18000-18010</f>
        <v>0</v>
      </c>
      <c r="I262" s="57">
        <f t="shared" si="125"/>
        <v>1990</v>
      </c>
      <c r="J262" s="57">
        <f t="shared" si="126"/>
        <v>39800000</v>
      </c>
      <c r="K262" s="326">
        <f t="shared" si="127"/>
        <v>10968123.799999999</v>
      </c>
      <c r="L262" s="356"/>
      <c r="M262" s="332"/>
      <c r="N262" s="68"/>
      <c r="O262" s="68"/>
      <c r="P262" s="68"/>
      <c r="Q262" s="68"/>
      <c r="R262" s="68"/>
      <c r="S262" s="68"/>
      <c r="T262" s="68"/>
      <c r="U262" s="68"/>
      <c r="V262" s="68"/>
      <c r="W262" s="68"/>
      <c r="X262" s="68"/>
    </row>
    <row r="263" spans="1:24" x14ac:dyDescent="0.25">
      <c r="A263" s="173">
        <v>9</v>
      </c>
      <c r="B263" s="216" t="s">
        <v>997</v>
      </c>
      <c r="C263" s="43">
        <v>40000</v>
      </c>
      <c r="D263" s="240">
        <v>3935</v>
      </c>
      <c r="E263" s="104">
        <v>0</v>
      </c>
      <c r="F263" s="60">
        <v>2000</v>
      </c>
      <c r="G263" s="142">
        <f t="shared" si="124"/>
        <v>2000</v>
      </c>
      <c r="H263" s="142">
        <v>2000</v>
      </c>
      <c r="I263" s="57">
        <f t="shared" si="125"/>
        <v>0</v>
      </c>
      <c r="J263" s="57">
        <f t="shared" si="126"/>
        <v>0</v>
      </c>
      <c r="K263" s="326">
        <f t="shared" si="127"/>
        <v>0</v>
      </c>
      <c r="L263" s="356"/>
      <c r="M263" s="332"/>
      <c r="N263" s="68"/>
      <c r="O263" s="329"/>
      <c r="P263" s="331"/>
      <c r="Q263" s="265"/>
      <c r="R263" s="68"/>
      <c r="S263" s="68"/>
      <c r="T263" s="68"/>
      <c r="U263" s="68"/>
      <c r="V263" s="68"/>
      <c r="W263" s="68"/>
      <c r="X263" s="68"/>
    </row>
    <row r="264" spans="1:24" x14ac:dyDescent="0.25">
      <c r="A264" s="173">
        <v>10</v>
      </c>
      <c r="B264" s="216" t="s">
        <v>176</v>
      </c>
      <c r="C264" s="125">
        <v>10000</v>
      </c>
      <c r="D264" s="240">
        <v>0</v>
      </c>
      <c r="E264" s="104">
        <v>0</v>
      </c>
      <c r="F264" s="60">
        <f>14500+500</f>
        <v>15000</v>
      </c>
      <c r="G264" s="142">
        <f t="shared" si="124"/>
        <v>15000</v>
      </c>
      <c r="H264" s="142">
        <f>1000+9900+3000</f>
        <v>13900</v>
      </c>
      <c r="I264" s="57">
        <f t="shared" si="125"/>
        <v>1100</v>
      </c>
      <c r="J264" s="57">
        <f t="shared" si="126"/>
        <v>11000000</v>
      </c>
      <c r="K264" s="326">
        <f t="shared" si="127"/>
        <v>0</v>
      </c>
      <c r="L264" s="362" t="s">
        <v>1005</v>
      </c>
      <c r="M264" s="332">
        <v>1000</v>
      </c>
      <c r="N264" s="68">
        <v>9900</v>
      </c>
      <c r="O264" s="329" t="s">
        <v>1001</v>
      </c>
      <c r="P264" s="331"/>
      <c r="Q264" s="68"/>
      <c r="R264" s="68"/>
      <c r="S264" s="68"/>
      <c r="T264" s="68"/>
      <c r="U264" s="68"/>
      <c r="V264" s="68"/>
      <c r="W264" s="68"/>
      <c r="X264" s="68"/>
    </row>
    <row r="265" spans="1:24" x14ac:dyDescent="0.25">
      <c r="A265" s="155">
        <v>11</v>
      </c>
      <c r="B265" s="216"/>
      <c r="C265" s="43"/>
      <c r="D265" s="240">
        <v>0</v>
      </c>
      <c r="E265" s="43">
        <v>0</v>
      </c>
      <c r="F265" s="60"/>
      <c r="G265" s="142">
        <f t="shared" si="124"/>
        <v>0</v>
      </c>
      <c r="H265" s="142">
        <v>0</v>
      </c>
      <c r="I265" s="57">
        <f t="shared" si="125"/>
        <v>0</v>
      </c>
      <c r="J265" s="57">
        <f t="shared" si="126"/>
        <v>0</v>
      </c>
      <c r="K265" s="326">
        <f t="shared" si="127"/>
        <v>0</v>
      </c>
      <c r="L265" s="356"/>
      <c r="M265" s="332"/>
      <c r="N265" s="68"/>
      <c r="O265" s="68"/>
      <c r="P265" s="331"/>
      <c r="Q265" s="68"/>
      <c r="R265" s="68"/>
      <c r="S265" s="68"/>
      <c r="T265" s="68"/>
      <c r="U265" s="68"/>
      <c r="V265" s="68"/>
      <c r="W265" s="68"/>
      <c r="X265" s="68"/>
    </row>
    <row r="266" spans="1:24" ht="15.75" thickBot="1" x14ac:dyDescent="0.3">
      <c r="A266" s="155">
        <v>12</v>
      </c>
      <c r="B266" s="216"/>
      <c r="C266" s="43"/>
      <c r="D266" s="240">
        <v>0</v>
      </c>
      <c r="E266" s="43">
        <v>0</v>
      </c>
      <c r="F266" s="60"/>
      <c r="G266" s="142">
        <f t="shared" si="124"/>
        <v>0</v>
      </c>
      <c r="H266" s="142">
        <v>0</v>
      </c>
      <c r="I266" s="57">
        <f t="shared" si="125"/>
        <v>0</v>
      </c>
      <c r="J266" s="57">
        <f t="shared" si="126"/>
        <v>0</v>
      </c>
      <c r="K266" s="326">
        <f t="shared" si="127"/>
        <v>0</v>
      </c>
      <c r="L266" s="356"/>
      <c r="M266" s="332"/>
      <c r="N266" s="242"/>
      <c r="O266" s="68"/>
      <c r="P266" s="331"/>
      <c r="Q266" s="68"/>
      <c r="R266" s="68"/>
      <c r="S266" s="68"/>
      <c r="T266" s="68"/>
      <c r="U266" s="68"/>
      <c r="V266" s="68"/>
      <c r="W266" s="68"/>
      <c r="X266" s="68"/>
    </row>
    <row r="267" spans="1:24" ht="15.75" thickBot="1" x14ac:dyDescent="0.3">
      <c r="A267" s="131"/>
      <c r="B267" s="122" t="s">
        <v>916</v>
      </c>
      <c r="C267" s="36"/>
      <c r="D267" s="36"/>
      <c r="E267" s="29">
        <f>SUM(E255:E266)</f>
        <v>39149</v>
      </c>
      <c r="F267" s="29">
        <f t="shared" ref="F267:J267" si="128">SUM(F255:F266)</f>
        <v>37500</v>
      </c>
      <c r="G267" s="29">
        <f t="shared" si="128"/>
        <v>76649</v>
      </c>
      <c r="H267" s="29">
        <f t="shared" si="128"/>
        <v>32010</v>
      </c>
      <c r="I267" s="29">
        <f t="shared" si="128"/>
        <v>44639</v>
      </c>
      <c r="J267" s="29">
        <f t="shared" si="128"/>
        <v>3743252000</v>
      </c>
      <c r="K267" s="47">
        <f>SUM(K254:K266)</f>
        <v>290909860.97000003</v>
      </c>
      <c r="L267" s="218"/>
      <c r="M267" s="68"/>
      <c r="N267" s="242"/>
      <c r="O267" s="68"/>
      <c r="P267" s="331"/>
      <c r="Q267" s="68"/>
      <c r="R267" s="68"/>
      <c r="S267" s="68"/>
      <c r="T267" s="68"/>
      <c r="U267" s="68"/>
      <c r="V267" s="68"/>
      <c r="W267" s="68"/>
      <c r="X267" s="68"/>
    </row>
    <row r="268" spans="1:24" x14ac:dyDescent="0.25">
      <c r="A268" s="68"/>
      <c r="B268" s="141"/>
      <c r="C268" s="135"/>
      <c r="D268" s="135"/>
      <c r="E268" s="162"/>
      <c r="F268" s="162"/>
      <c r="G268" s="162"/>
      <c r="H268" s="162"/>
      <c r="I268" s="162"/>
      <c r="J268" s="162"/>
      <c r="K268" s="218"/>
      <c r="L268" s="218"/>
    </row>
    <row r="269" spans="1:24" ht="15.75" thickBot="1" x14ac:dyDescent="0.3">
      <c r="A269" s="105" t="s">
        <v>716</v>
      </c>
    </row>
    <row r="270" spans="1:24" ht="15.75" thickBot="1" x14ac:dyDescent="0.3">
      <c r="A270" s="131"/>
      <c r="B270" s="41" t="s">
        <v>920</v>
      </c>
      <c r="C270" s="36"/>
      <c r="D270" s="36"/>
      <c r="E270" s="38">
        <f>+E13+E23+E33+E42+E56+E67+E79+E92+E105+E115+E123+E131+E141+E152+E162+E183+E196+E211+E226+E249+E267</f>
        <v>158927</v>
      </c>
      <c r="F270" s="38">
        <f t="shared" ref="F270:J270" si="129">+F13+F23+F33+F42+F56+F67+F79+F92+F105+F115+F123+F131+F141+F152+F162+F183+F196+F211+F226+F249+F267</f>
        <v>37500</v>
      </c>
      <c r="G270" s="38">
        <f t="shared" si="129"/>
        <v>196427</v>
      </c>
      <c r="H270" s="38">
        <f t="shared" si="129"/>
        <v>55430</v>
      </c>
      <c r="I270" s="38">
        <f t="shared" si="129"/>
        <v>140997</v>
      </c>
      <c r="J270" s="38">
        <f t="shared" si="129"/>
        <v>4977407000</v>
      </c>
      <c r="K270" s="320">
        <f>+K13+K23+K33+K42+K56+K67+K79+K92+K105+K115+K123+K131+K141+K152+K162+K183+K196+K211+K226+K249+K267</f>
        <v>592990215.5</v>
      </c>
      <c r="L270" s="361"/>
      <c r="M270" s="53">
        <v>158927</v>
      </c>
      <c r="N270" s="53">
        <v>4999647000</v>
      </c>
      <c r="O270" s="53">
        <v>351560260.92999995</v>
      </c>
    </row>
    <row r="271" spans="1:24" x14ac:dyDescent="0.25">
      <c r="M271" s="189">
        <f>+M270-I270</f>
        <v>17930</v>
      </c>
      <c r="N271" s="189">
        <f>+N270-J270</f>
        <v>22240000</v>
      </c>
      <c r="O271" s="189">
        <f>+O270-K270</f>
        <v>-241429954.57000005</v>
      </c>
    </row>
    <row r="273" spans="5:13" x14ac:dyDescent="0.25">
      <c r="M273" s="53">
        <v>7</v>
      </c>
    </row>
    <row r="276" spans="5:13" x14ac:dyDescent="0.25">
      <c r="E276" s="26"/>
      <c r="F276" s="26"/>
      <c r="G276" s="26"/>
      <c r="H276" s="26"/>
      <c r="I276" s="26"/>
      <c r="J276" s="26"/>
      <c r="K276" s="26"/>
      <c r="L276" s="26"/>
    </row>
    <row r="278" spans="5:13" x14ac:dyDescent="0.25">
      <c r="E278" s="168"/>
      <c r="F278" s="168"/>
      <c r="G278" s="168"/>
      <c r="H278" s="168"/>
      <c r="I278" s="168"/>
      <c r="J278" s="168"/>
      <c r="K278" s="168"/>
      <c r="L278" s="168"/>
    </row>
  </sheetData>
  <mergeCells count="150">
    <mergeCell ref="J185:J186"/>
    <mergeCell ref="K185:K186"/>
    <mergeCell ref="E213:I213"/>
    <mergeCell ref="E198:I198"/>
    <mergeCell ref="A228:A230"/>
    <mergeCell ref="B228:B229"/>
    <mergeCell ref="C228:C229"/>
    <mergeCell ref="A185:A187"/>
    <mergeCell ref="B185:B186"/>
    <mergeCell ref="C185:C186"/>
    <mergeCell ref="D185:D186"/>
    <mergeCell ref="E185:I185"/>
    <mergeCell ref="A251:A253"/>
    <mergeCell ref="B251:B252"/>
    <mergeCell ref="C251:C252"/>
    <mergeCell ref="D251:D252"/>
    <mergeCell ref="E251:I251"/>
    <mergeCell ref="J251:J252"/>
    <mergeCell ref="K251:K252"/>
    <mergeCell ref="A198:A200"/>
    <mergeCell ref="B198:B199"/>
    <mergeCell ref="C198:C199"/>
    <mergeCell ref="D198:D199"/>
    <mergeCell ref="J198:J199"/>
    <mergeCell ref="K198:K199"/>
    <mergeCell ref="A213:A215"/>
    <mergeCell ref="B213:B214"/>
    <mergeCell ref="C213:C214"/>
    <mergeCell ref="D228:D229"/>
    <mergeCell ref="E228:I228"/>
    <mergeCell ref="J228:J229"/>
    <mergeCell ref="K228:K229"/>
    <mergeCell ref="D213:D214"/>
    <mergeCell ref="J213:J214"/>
    <mergeCell ref="K213:K214"/>
    <mergeCell ref="A154:A156"/>
    <mergeCell ref="B154:B155"/>
    <mergeCell ref="C154:C155"/>
    <mergeCell ref="D154:D155"/>
    <mergeCell ref="J154:J155"/>
    <mergeCell ref="K154:K155"/>
    <mergeCell ref="E154:I154"/>
    <mergeCell ref="E143:I143"/>
    <mergeCell ref="A164:A166"/>
    <mergeCell ref="B164:B165"/>
    <mergeCell ref="C164:C165"/>
    <mergeCell ref="D164:D165"/>
    <mergeCell ref="J164:J165"/>
    <mergeCell ref="K164:K165"/>
    <mergeCell ref="E164:I164"/>
    <mergeCell ref="A133:A135"/>
    <mergeCell ref="B133:B134"/>
    <mergeCell ref="C133:C134"/>
    <mergeCell ref="D133:D134"/>
    <mergeCell ref="J133:J134"/>
    <mergeCell ref="K133:K134"/>
    <mergeCell ref="E125:I125"/>
    <mergeCell ref="E133:I133"/>
    <mergeCell ref="A143:A145"/>
    <mergeCell ref="B143:B144"/>
    <mergeCell ref="C143:C144"/>
    <mergeCell ref="D143:D144"/>
    <mergeCell ref="J143:J144"/>
    <mergeCell ref="K143:K144"/>
    <mergeCell ref="K25:K26"/>
    <mergeCell ref="A35:A37"/>
    <mergeCell ref="B35:B36"/>
    <mergeCell ref="C35:C36"/>
    <mergeCell ref="A125:A127"/>
    <mergeCell ref="B125:B126"/>
    <mergeCell ref="C125:C126"/>
    <mergeCell ref="D125:D126"/>
    <mergeCell ref="J125:J126"/>
    <mergeCell ref="K125:K126"/>
    <mergeCell ref="D35:D36"/>
    <mergeCell ref="J35:J36"/>
    <mergeCell ref="K35:K36"/>
    <mergeCell ref="A25:A27"/>
    <mergeCell ref="B25:B26"/>
    <mergeCell ref="C25:C26"/>
    <mergeCell ref="D25:D26"/>
    <mergeCell ref="J25:J26"/>
    <mergeCell ref="E25:I25"/>
    <mergeCell ref="E35:I35"/>
    <mergeCell ref="K44:K45"/>
    <mergeCell ref="A58:A60"/>
    <mergeCell ref="B58:B59"/>
    <mergeCell ref="C58:C59"/>
    <mergeCell ref="K3:K4"/>
    <mergeCell ref="A15:A17"/>
    <mergeCell ref="B15:B16"/>
    <mergeCell ref="C15:C16"/>
    <mergeCell ref="D15:D16"/>
    <mergeCell ref="J15:J16"/>
    <mergeCell ref="K15:K16"/>
    <mergeCell ref="A3:A5"/>
    <mergeCell ref="B3:B4"/>
    <mergeCell ref="C3:C4"/>
    <mergeCell ref="D3:D4"/>
    <mergeCell ref="J3:J4"/>
    <mergeCell ref="E3:I3"/>
    <mergeCell ref="E15:I15"/>
    <mergeCell ref="D58:D59"/>
    <mergeCell ref="J58:J59"/>
    <mergeCell ref="K58:K59"/>
    <mergeCell ref="A44:A46"/>
    <mergeCell ref="B44:B45"/>
    <mergeCell ref="C44:C45"/>
    <mergeCell ref="D44:D45"/>
    <mergeCell ref="J44:J45"/>
    <mergeCell ref="E44:I44"/>
    <mergeCell ref="B53:B55"/>
    <mergeCell ref="C53:C54"/>
    <mergeCell ref="D53:D54"/>
    <mergeCell ref="E58:I58"/>
    <mergeCell ref="K69:K70"/>
    <mergeCell ref="A81:A83"/>
    <mergeCell ref="B81:B82"/>
    <mergeCell ref="C81:C82"/>
    <mergeCell ref="D81:D82"/>
    <mergeCell ref="J81:J82"/>
    <mergeCell ref="K81:K82"/>
    <mergeCell ref="A69:A71"/>
    <mergeCell ref="B69:B70"/>
    <mergeCell ref="C69:C70"/>
    <mergeCell ref="D69:D70"/>
    <mergeCell ref="J69:J70"/>
    <mergeCell ref="E69:I69"/>
    <mergeCell ref="E81:I81"/>
    <mergeCell ref="A117:A119"/>
    <mergeCell ref="B117:B118"/>
    <mergeCell ref="C117:C118"/>
    <mergeCell ref="D117:D118"/>
    <mergeCell ref="J117:J118"/>
    <mergeCell ref="K117:K118"/>
    <mergeCell ref="E117:I117"/>
    <mergeCell ref="K94:K95"/>
    <mergeCell ref="A108:A110"/>
    <mergeCell ref="B108:B109"/>
    <mergeCell ref="C108:C109"/>
    <mergeCell ref="D108:D109"/>
    <mergeCell ref="J108:J109"/>
    <mergeCell ref="K108:K109"/>
    <mergeCell ref="A94:A96"/>
    <mergeCell ref="B94:B95"/>
    <mergeCell ref="C94:C95"/>
    <mergeCell ref="D94:D95"/>
    <mergeCell ref="J94:J95"/>
    <mergeCell ref="E108:I108"/>
    <mergeCell ref="E94:I94"/>
  </mergeCells>
  <pageMargins left="0" right="0" top="0.196850393700787" bottom="0.196850393700787" header="0.196850393700787" footer="0.196850393700787"/>
  <pageSetup scale="91"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455"/>
  <sheetViews>
    <sheetView topLeftCell="A361" workbookViewId="0">
      <selection activeCell="K381" sqref="A363:K381"/>
    </sheetView>
  </sheetViews>
  <sheetFormatPr defaultRowHeight="15" x14ac:dyDescent="0.25"/>
  <cols>
    <col min="1" max="1" width="4.7109375" style="53" customWidth="1"/>
    <col min="2" max="2" width="22.42578125" style="53" customWidth="1"/>
    <col min="3" max="3" width="11.42578125" style="53" customWidth="1"/>
    <col min="4" max="4" width="12" style="53" customWidth="1"/>
    <col min="5" max="5" width="13.42578125" style="53" customWidth="1"/>
    <col min="6" max="6" width="11.7109375" style="53" customWidth="1"/>
    <col min="7" max="7" width="14.5703125" style="53" customWidth="1"/>
    <col min="8" max="8" width="12.7109375" style="53" customWidth="1"/>
    <col min="9" max="9" width="10.85546875" style="53" customWidth="1"/>
    <col min="10" max="10" width="14.42578125" style="53" customWidth="1"/>
    <col min="11" max="11" width="15.28515625" style="53" bestFit="1" customWidth="1"/>
    <col min="12" max="12" width="15.28515625" style="53" customWidth="1"/>
    <col min="13" max="16384" width="9.140625" style="53"/>
  </cols>
  <sheetData>
    <row r="2" spans="1:12" ht="15.75" thickBot="1" x14ac:dyDescent="0.3">
      <c r="A2" s="105" t="s">
        <v>546</v>
      </c>
      <c r="B2" s="105"/>
      <c r="G2" s="54" t="str">
        <f>A.Prangko!G2</f>
        <v>mei 2017</v>
      </c>
    </row>
    <row r="3" spans="1:12" ht="15.75" thickBot="1" x14ac:dyDescent="0.3">
      <c r="A3" s="365" t="s">
        <v>657</v>
      </c>
      <c r="B3" s="372" t="s">
        <v>708</v>
      </c>
      <c r="C3" s="372" t="s">
        <v>1</v>
      </c>
      <c r="D3" s="373" t="s">
        <v>649</v>
      </c>
      <c r="E3" s="374" t="s">
        <v>19</v>
      </c>
      <c r="F3" s="374"/>
      <c r="G3" s="374"/>
      <c r="H3" s="374"/>
      <c r="I3" s="374"/>
      <c r="J3" s="368" t="s">
        <v>21</v>
      </c>
      <c r="K3" s="370" t="s">
        <v>602</v>
      </c>
      <c r="L3" s="349"/>
    </row>
    <row r="4" spans="1:12" ht="30.75" thickBot="1" x14ac:dyDescent="0.3">
      <c r="A4" s="366"/>
      <c r="B4" s="372"/>
      <c r="C4" s="372"/>
      <c r="D4" s="373"/>
      <c r="E4" s="69" t="s">
        <v>22</v>
      </c>
      <c r="F4" s="69" t="s">
        <v>600</v>
      </c>
      <c r="G4" s="69" t="s">
        <v>601</v>
      </c>
      <c r="H4" s="69" t="s">
        <v>589</v>
      </c>
      <c r="I4" s="69" t="s">
        <v>601</v>
      </c>
      <c r="J4" s="369"/>
      <c r="K4" s="371"/>
      <c r="L4" s="349"/>
    </row>
    <row r="5" spans="1:12" ht="15.75" thickBot="1" x14ac:dyDescent="0.3">
      <c r="A5" s="367"/>
      <c r="B5" s="188">
        <v>1</v>
      </c>
      <c r="C5" s="188">
        <v>2</v>
      </c>
      <c r="D5" s="188">
        <v>3</v>
      </c>
      <c r="E5" s="71">
        <v>4</v>
      </c>
      <c r="F5" s="71">
        <f>+E5+1</f>
        <v>5</v>
      </c>
      <c r="G5" s="71" t="s">
        <v>652</v>
      </c>
      <c r="H5" s="71">
        <v>7</v>
      </c>
      <c r="I5" s="72" t="s">
        <v>651</v>
      </c>
      <c r="J5" s="42" t="s">
        <v>650</v>
      </c>
      <c r="K5" s="42" t="s">
        <v>653</v>
      </c>
      <c r="L5" s="350"/>
    </row>
    <row r="6" spans="1:12" x14ac:dyDescent="0.25">
      <c r="A6" s="163"/>
      <c r="B6" s="73" t="s">
        <v>714</v>
      </c>
      <c r="C6" s="55"/>
      <c r="D6" s="55"/>
      <c r="E6" s="55"/>
      <c r="F6" s="55"/>
      <c r="G6" s="55"/>
      <c r="H6" s="55"/>
      <c r="I6" s="55"/>
      <c r="J6" s="55"/>
      <c r="K6" s="55"/>
      <c r="L6" s="135"/>
    </row>
    <row r="7" spans="1:12" x14ac:dyDescent="0.25">
      <c r="A7" s="155">
        <v>1</v>
      </c>
      <c r="B7" s="80" t="s">
        <v>215</v>
      </c>
      <c r="C7" s="81">
        <v>6500</v>
      </c>
      <c r="D7" s="145">
        <v>950.8</v>
      </c>
      <c r="E7" s="43">
        <v>24</v>
      </c>
      <c r="F7" s="61"/>
      <c r="G7" s="142">
        <f t="shared" ref="G7:G25" si="0">+E7+F7</f>
        <v>24</v>
      </c>
      <c r="H7" s="56"/>
      <c r="I7" s="57">
        <f t="shared" ref="I7:I25" si="1">+G7-H7</f>
        <v>24</v>
      </c>
      <c r="J7" s="57">
        <f t="shared" ref="J7:J25" si="2">I7*C7</f>
        <v>156000</v>
      </c>
      <c r="K7" s="58">
        <f t="shared" ref="K7:K25" si="3">+D7*I7</f>
        <v>22819.199999999997</v>
      </c>
      <c r="L7" s="351"/>
    </row>
    <row r="8" spans="1:12" x14ac:dyDescent="0.25">
      <c r="A8" s="155">
        <v>2</v>
      </c>
      <c r="B8" s="80" t="s">
        <v>216</v>
      </c>
      <c r="C8" s="81">
        <v>36000</v>
      </c>
      <c r="D8" s="145">
        <v>4664.8</v>
      </c>
      <c r="E8" s="43">
        <v>155</v>
      </c>
      <c r="F8" s="61"/>
      <c r="G8" s="142">
        <f t="shared" si="0"/>
        <v>155</v>
      </c>
      <c r="H8" s="56"/>
      <c r="I8" s="57">
        <f t="shared" si="1"/>
        <v>155</v>
      </c>
      <c r="J8" s="57">
        <f t="shared" si="2"/>
        <v>5580000</v>
      </c>
      <c r="K8" s="58">
        <f t="shared" si="3"/>
        <v>723044</v>
      </c>
      <c r="L8" s="351"/>
    </row>
    <row r="9" spans="1:12" x14ac:dyDescent="0.25">
      <c r="A9" s="155">
        <v>3</v>
      </c>
      <c r="B9" s="80" t="s">
        <v>217</v>
      </c>
      <c r="C9" s="81">
        <v>6500</v>
      </c>
      <c r="D9" s="145">
        <v>1535.6</v>
      </c>
      <c r="E9" s="43">
        <v>2</v>
      </c>
      <c r="F9" s="61"/>
      <c r="G9" s="142">
        <f t="shared" si="0"/>
        <v>2</v>
      </c>
      <c r="H9" s="56"/>
      <c r="I9" s="57">
        <f t="shared" si="1"/>
        <v>2</v>
      </c>
      <c r="J9" s="57">
        <f t="shared" si="2"/>
        <v>13000</v>
      </c>
      <c r="K9" s="58">
        <f t="shared" si="3"/>
        <v>3071.2</v>
      </c>
      <c r="L9" s="351"/>
    </row>
    <row r="10" spans="1:12" x14ac:dyDescent="0.25">
      <c r="A10" s="155">
        <v>4</v>
      </c>
      <c r="B10" s="80" t="s">
        <v>218</v>
      </c>
      <c r="C10" s="81">
        <v>5000</v>
      </c>
      <c r="D10" s="145">
        <v>1160.6099999999999</v>
      </c>
      <c r="E10" s="43">
        <v>174</v>
      </c>
      <c r="F10" s="61"/>
      <c r="G10" s="142">
        <f t="shared" si="0"/>
        <v>174</v>
      </c>
      <c r="H10" s="56"/>
      <c r="I10" s="57">
        <f t="shared" si="1"/>
        <v>174</v>
      </c>
      <c r="J10" s="57">
        <f t="shared" si="2"/>
        <v>870000</v>
      </c>
      <c r="K10" s="58">
        <f t="shared" si="3"/>
        <v>201946.13999999998</v>
      </c>
      <c r="L10" s="351"/>
    </row>
    <row r="11" spans="1:12" x14ac:dyDescent="0.25">
      <c r="A11" s="155">
        <v>5</v>
      </c>
      <c r="B11" s="80" t="s">
        <v>219</v>
      </c>
      <c r="C11" s="81">
        <v>6500</v>
      </c>
      <c r="D11" s="145">
        <v>1246.8800000000001</v>
      </c>
      <c r="E11" s="43">
        <v>1534</v>
      </c>
      <c r="F11" s="61"/>
      <c r="G11" s="142">
        <f t="shared" si="0"/>
        <v>1534</v>
      </c>
      <c r="H11" s="56"/>
      <c r="I11" s="57">
        <f t="shared" si="1"/>
        <v>1534</v>
      </c>
      <c r="J11" s="57">
        <f t="shared" si="2"/>
        <v>9971000</v>
      </c>
      <c r="K11" s="58">
        <f t="shared" si="3"/>
        <v>1912713.9200000002</v>
      </c>
      <c r="L11" s="351"/>
    </row>
    <row r="12" spans="1:12" x14ac:dyDescent="0.25">
      <c r="A12" s="155">
        <v>6</v>
      </c>
      <c r="B12" s="80" t="s">
        <v>220</v>
      </c>
      <c r="C12" s="81">
        <v>8500</v>
      </c>
      <c r="D12" s="145">
        <v>2312.6</v>
      </c>
      <c r="E12" s="43">
        <v>149</v>
      </c>
      <c r="F12" s="61"/>
      <c r="G12" s="142">
        <f t="shared" si="0"/>
        <v>149</v>
      </c>
      <c r="H12" s="56"/>
      <c r="I12" s="57">
        <f t="shared" si="1"/>
        <v>149</v>
      </c>
      <c r="J12" s="57">
        <f t="shared" si="2"/>
        <v>1266500</v>
      </c>
      <c r="K12" s="58">
        <f t="shared" si="3"/>
        <v>344577.39999999997</v>
      </c>
      <c r="L12" s="351"/>
    </row>
    <row r="13" spans="1:12" x14ac:dyDescent="0.25">
      <c r="A13" s="155">
        <v>7</v>
      </c>
      <c r="B13" s="80" t="s">
        <v>221</v>
      </c>
      <c r="C13" s="81">
        <v>5000</v>
      </c>
      <c r="D13" s="145">
        <v>791.34</v>
      </c>
      <c r="E13" s="43">
        <v>90</v>
      </c>
      <c r="F13" s="61"/>
      <c r="G13" s="142">
        <f t="shared" si="0"/>
        <v>90</v>
      </c>
      <c r="H13" s="56"/>
      <c r="I13" s="57">
        <f t="shared" si="1"/>
        <v>90</v>
      </c>
      <c r="J13" s="57">
        <f t="shared" si="2"/>
        <v>450000</v>
      </c>
      <c r="K13" s="58">
        <f t="shared" si="3"/>
        <v>71220.600000000006</v>
      </c>
      <c r="L13" s="351"/>
    </row>
    <row r="14" spans="1:12" x14ac:dyDescent="0.25">
      <c r="A14" s="155">
        <v>8</v>
      </c>
      <c r="B14" s="80" t="s">
        <v>222</v>
      </c>
      <c r="C14" s="81">
        <v>5000</v>
      </c>
      <c r="D14" s="145">
        <v>791.34</v>
      </c>
      <c r="E14" s="43">
        <v>50</v>
      </c>
      <c r="F14" s="61"/>
      <c r="G14" s="142">
        <f t="shared" si="0"/>
        <v>50</v>
      </c>
      <c r="H14" s="56"/>
      <c r="I14" s="57">
        <f t="shared" si="1"/>
        <v>50</v>
      </c>
      <c r="J14" s="57">
        <f t="shared" si="2"/>
        <v>250000</v>
      </c>
      <c r="K14" s="58">
        <f t="shared" si="3"/>
        <v>39567</v>
      </c>
      <c r="L14" s="351"/>
    </row>
    <row r="15" spans="1:12" x14ac:dyDescent="0.25">
      <c r="A15" s="155">
        <v>9</v>
      </c>
      <c r="B15" s="80" t="s">
        <v>223</v>
      </c>
      <c r="C15" s="81">
        <v>3500</v>
      </c>
      <c r="D15" s="145">
        <v>791.34</v>
      </c>
      <c r="E15" s="43">
        <v>90</v>
      </c>
      <c r="F15" s="61"/>
      <c r="G15" s="142">
        <f t="shared" si="0"/>
        <v>90</v>
      </c>
      <c r="H15" s="56"/>
      <c r="I15" s="57">
        <f t="shared" si="1"/>
        <v>90</v>
      </c>
      <c r="J15" s="57">
        <f t="shared" si="2"/>
        <v>315000</v>
      </c>
      <c r="K15" s="58">
        <f t="shared" si="3"/>
        <v>71220.600000000006</v>
      </c>
      <c r="L15" s="351"/>
    </row>
    <row r="16" spans="1:12" x14ac:dyDescent="0.25">
      <c r="A16" s="155">
        <v>10</v>
      </c>
      <c r="B16" s="80" t="s">
        <v>224</v>
      </c>
      <c r="C16" s="81">
        <v>3500</v>
      </c>
      <c r="D16" s="145">
        <v>996.33</v>
      </c>
      <c r="E16" s="43">
        <v>80</v>
      </c>
      <c r="F16" s="61"/>
      <c r="G16" s="142">
        <f t="shared" si="0"/>
        <v>80</v>
      </c>
      <c r="H16" s="56"/>
      <c r="I16" s="57">
        <f t="shared" si="1"/>
        <v>80</v>
      </c>
      <c r="J16" s="57">
        <f t="shared" si="2"/>
        <v>280000</v>
      </c>
      <c r="K16" s="58">
        <f t="shared" si="3"/>
        <v>79706.400000000009</v>
      </c>
      <c r="L16" s="351"/>
    </row>
    <row r="17" spans="1:12" x14ac:dyDescent="0.25">
      <c r="A17" s="155">
        <v>11</v>
      </c>
      <c r="B17" s="80" t="s">
        <v>225</v>
      </c>
      <c r="C17" s="81">
        <v>9000</v>
      </c>
      <c r="D17" s="145">
        <v>1303.49</v>
      </c>
      <c r="E17" s="43">
        <v>177</v>
      </c>
      <c r="F17" s="61"/>
      <c r="G17" s="142">
        <f t="shared" si="0"/>
        <v>177</v>
      </c>
      <c r="H17" s="56"/>
      <c r="I17" s="57">
        <f t="shared" si="1"/>
        <v>177</v>
      </c>
      <c r="J17" s="57">
        <f t="shared" si="2"/>
        <v>1593000</v>
      </c>
      <c r="K17" s="58">
        <f t="shared" si="3"/>
        <v>230717.73</v>
      </c>
      <c r="L17" s="351"/>
    </row>
    <row r="18" spans="1:12" x14ac:dyDescent="0.25">
      <c r="A18" s="155">
        <v>12</v>
      </c>
      <c r="B18" s="80" t="s">
        <v>226</v>
      </c>
      <c r="C18" s="81">
        <v>3500</v>
      </c>
      <c r="D18" s="145">
        <v>995.67</v>
      </c>
      <c r="E18" s="43">
        <v>150</v>
      </c>
      <c r="F18" s="61"/>
      <c r="G18" s="142">
        <f t="shared" si="0"/>
        <v>150</v>
      </c>
      <c r="H18" s="56"/>
      <c r="I18" s="57">
        <f t="shared" si="1"/>
        <v>150</v>
      </c>
      <c r="J18" s="57">
        <f t="shared" si="2"/>
        <v>525000</v>
      </c>
      <c r="K18" s="58">
        <f t="shared" si="3"/>
        <v>149350.5</v>
      </c>
      <c r="L18" s="351"/>
    </row>
    <row r="19" spans="1:12" x14ac:dyDescent="0.25">
      <c r="A19" s="155">
        <v>13</v>
      </c>
      <c r="B19" s="80" t="s">
        <v>227</v>
      </c>
      <c r="C19" s="81">
        <v>5000</v>
      </c>
      <c r="D19" s="145">
        <v>901.64</v>
      </c>
      <c r="E19" s="43">
        <v>69</v>
      </c>
      <c r="F19" s="61"/>
      <c r="G19" s="142">
        <f t="shared" si="0"/>
        <v>69</v>
      </c>
      <c r="H19" s="56"/>
      <c r="I19" s="57">
        <f t="shared" si="1"/>
        <v>69</v>
      </c>
      <c r="J19" s="57">
        <f t="shared" si="2"/>
        <v>345000</v>
      </c>
      <c r="K19" s="58">
        <f t="shared" si="3"/>
        <v>62213.159999999996</v>
      </c>
      <c r="L19" s="351"/>
    </row>
    <row r="20" spans="1:12" x14ac:dyDescent="0.25">
      <c r="A20" s="155">
        <v>14</v>
      </c>
      <c r="B20" s="80" t="s">
        <v>228</v>
      </c>
      <c r="C20" s="81">
        <v>10000</v>
      </c>
      <c r="D20" s="145">
        <v>801.16</v>
      </c>
      <c r="E20" s="43">
        <v>897</v>
      </c>
      <c r="F20" s="61"/>
      <c r="G20" s="142">
        <f t="shared" si="0"/>
        <v>897</v>
      </c>
      <c r="H20" s="56"/>
      <c r="I20" s="57">
        <f t="shared" si="1"/>
        <v>897</v>
      </c>
      <c r="J20" s="57">
        <f t="shared" si="2"/>
        <v>8970000</v>
      </c>
      <c r="K20" s="58">
        <f t="shared" si="3"/>
        <v>718640.52</v>
      </c>
      <c r="L20" s="351"/>
    </row>
    <row r="21" spans="1:12" x14ac:dyDescent="0.25">
      <c r="A21" s="155">
        <v>15</v>
      </c>
      <c r="B21" s="80" t="s">
        <v>229</v>
      </c>
      <c r="C21" s="81">
        <v>9000</v>
      </c>
      <c r="D21" s="145">
        <v>2206.42</v>
      </c>
      <c r="E21" s="43">
        <v>183</v>
      </c>
      <c r="F21" s="61"/>
      <c r="G21" s="142">
        <f t="shared" si="0"/>
        <v>183</v>
      </c>
      <c r="H21" s="56"/>
      <c r="I21" s="57">
        <f t="shared" si="1"/>
        <v>183</v>
      </c>
      <c r="J21" s="57">
        <f t="shared" si="2"/>
        <v>1647000</v>
      </c>
      <c r="K21" s="58">
        <f t="shared" si="3"/>
        <v>403774.86</v>
      </c>
      <c r="L21" s="351"/>
    </row>
    <row r="22" spans="1:12" x14ac:dyDescent="0.25">
      <c r="A22" s="155">
        <v>16</v>
      </c>
      <c r="B22" s="80" t="s">
        <v>230</v>
      </c>
      <c r="C22" s="81">
        <v>6500</v>
      </c>
      <c r="D22" s="145">
        <v>1303.49</v>
      </c>
      <c r="E22" s="43">
        <v>173</v>
      </c>
      <c r="F22" s="61"/>
      <c r="G22" s="142">
        <f t="shared" si="0"/>
        <v>173</v>
      </c>
      <c r="H22" s="56"/>
      <c r="I22" s="57">
        <f t="shared" si="1"/>
        <v>173</v>
      </c>
      <c r="J22" s="57">
        <f t="shared" si="2"/>
        <v>1124500</v>
      </c>
      <c r="K22" s="58">
        <f t="shared" si="3"/>
        <v>225503.77</v>
      </c>
      <c r="L22" s="351"/>
    </row>
    <row r="23" spans="1:12" x14ac:dyDescent="0.25">
      <c r="A23" s="155">
        <v>17</v>
      </c>
      <c r="B23" s="80" t="s">
        <v>231</v>
      </c>
      <c r="C23" s="81">
        <v>3500</v>
      </c>
      <c r="D23" s="145">
        <v>845.66</v>
      </c>
      <c r="E23" s="43">
        <v>65</v>
      </c>
      <c r="F23" s="61"/>
      <c r="G23" s="142">
        <f t="shared" si="0"/>
        <v>65</v>
      </c>
      <c r="H23" s="56"/>
      <c r="I23" s="57">
        <f t="shared" si="1"/>
        <v>65</v>
      </c>
      <c r="J23" s="57">
        <f t="shared" si="2"/>
        <v>227500</v>
      </c>
      <c r="K23" s="58">
        <f t="shared" si="3"/>
        <v>54967.9</v>
      </c>
      <c r="L23" s="351"/>
    </row>
    <row r="24" spans="1:12" x14ac:dyDescent="0.25">
      <c r="A24" s="155">
        <v>18</v>
      </c>
      <c r="B24" s="80" t="s">
        <v>232</v>
      </c>
      <c r="C24" s="81">
        <v>24000</v>
      </c>
      <c r="D24" s="145">
        <v>2260.4699999999998</v>
      </c>
      <c r="E24" s="43">
        <v>25</v>
      </c>
      <c r="F24" s="61"/>
      <c r="G24" s="142">
        <f t="shared" si="0"/>
        <v>25</v>
      </c>
      <c r="H24" s="56"/>
      <c r="I24" s="57">
        <f t="shared" si="1"/>
        <v>25</v>
      </c>
      <c r="J24" s="57">
        <f t="shared" si="2"/>
        <v>600000</v>
      </c>
      <c r="K24" s="58">
        <f t="shared" si="3"/>
        <v>56511.749999999993</v>
      </c>
      <c r="L24" s="351"/>
    </row>
    <row r="25" spans="1:12" ht="15.75" thickBot="1" x14ac:dyDescent="0.3">
      <c r="A25" s="156">
        <v>19</v>
      </c>
      <c r="B25" s="147" t="s">
        <v>233</v>
      </c>
      <c r="C25" s="83">
        <v>10000</v>
      </c>
      <c r="D25" s="148">
        <v>1709.4</v>
      </c>
      <c r="E25" s="157">
        <v>1052</v>
      </c>
      <c r="F25" s="159"/>
      <c r="G25" s="150">
        <f t="shared" si="0"/>
        <v>1052</v>
      </c>
      <c r="H25" s="59"/>
      <c r="I25" s="65">
        <f t="shared" si="1"/>
        <v>1052</v>
      </c>
      <c r="J25" s="65">
        <f t="shared" si="2"/>
        <v>10520000</v>
      </c>
      <c r="K25" s="66">
        <f t="shared" si="3"/>
        <v>1798288.8</v>
      </c>
      <c r="L25" s="351"/>
    </row>
    <row r="26" spans="1:12" ht="15.75" thickBot="1" x14ac:dyDescent="0.3">
      <c r="A26" s="131"/>
      <c r="B26" s="122" t="s">
        <v>658</v>
      </c>
      <c r="C26" s="36"/>
      <c r="D26" s="39"/>
      <c r="E26" s="29">
        <f>SUM(E7:E25)</f>
        <v>5139</v>
      </c>
      <c r="F26" s="36"/>
      <c r="G26" s="29">
        <f>SUM(G7:G25)</f>
        <v>5139</v>
      </c>
      <c r="H26" s="29">
        <f>SUM(H7:H25)</f>
        <v>0</v>
      </c>
      <c r="I26" s="29">
        <f>SUM(I7:I25)</f>
        <v>5139</v>
      </c>
      <c r="J26" s="29">
        <f t="shared" ref="J26:K26" si="4">SUM(J7:J25)</f>
        <v>44703500</v>
      </c>
      <c r="K26" s="47">
        <f t="shared" si="4"/>
        <v>7169855.4500000002</v>
      </c>
      <c r="L26" s="218"/>
    </row>
    <row r="27" spans="1:12" ht="15.75" thickBot="1" x14ac:dyDescent="0.3">
      <c r="B27" s="164"/>
      <c r="C27" s="165"/>
      <c r="D27" s="166"/>
      <c r="E27" s="167"/>
      <c r="F27" s="68"/>
      <c r="G27" s="167"/>
      <c r="H27" s="167"/>
      <c r="I27" s="167"/>
      <c r="J27" s="167"/>
      <c r="K27" s="166"/>
      <c r="L27" s="166"/>
    </row>
    <row r="28" spans="1:12" ht="15.75" thickBot="1" x14ac:dyDescent="0.3">
      <c r="A28" s="365" t="s">
        <v>657</v>
      </c>
      <c r="B28" s="372" t="s">
        <v>708</v>
      </c>
      <c r="C28" s="372" t="s">
        <v>1</v>
      </c>
      <c r="D28" s="373" t="s">
        <v>649</v>
      </c>
      <c r="E28" s="374" t="s">
        <v>19</v>
      </c>
      <c r="F28" s="374"/>
      <c r="G28" s="374"/>
      <c r="H28" s="374"/>
      <c r="I28" s="374"/>
      <c r="J28" s="368" t="s">
        <v>21</v>
      </c>
      <c r="K28" s="370" t="s">
        <v>602</v>
      </c>
      <c r="L28" s="349"/>
    </row>
    <row r="29" spans="1:12" ht="30.75" thickBot="1" x14ac:dyDescent="0.3">
      <c r="A29" s="366"/>
      <c r="B29" s="372"/>
      <c r="C29" s="372"/>
      <c r="D29" s="373"/>
      <c r="E29" s="69" t="s">
        <v>22</v>
      </c>
      <c r="F29" s="69" t="s">
        <v>600</v>
      </c>
      <c r="G29" s="69" t="s">
        <v>601</v>
      </c>
      <c r="H29" s="69" t="s">
        <v>589</v>
      </c>
      <c r="I29" s="69" t="s">
        <v>601</v>
      </c>
      <c r="J29" s="369"/>
      <c r="K29" s="371"/>
      <c r="L29" s="349"/>
    </row>
    <row r="30" spans="1:12" ht="15.75" thickBot="1" x14ac:dyDescent="0.3">
      <c r="A30" s="367"/>
      <c r="B30" s="188">
        <v>1</v>
      </c>
      <c r="C30" s="188">
        <v>2</v>
      </c>
      <c r="D30" s="188">
        <v>3</v>
      </c>
      <c r="E30" s="71">
        <v>4</v>
      </c>
      <c r="F30" s="71">
        <f>+E30+1</f>
        <v>5</v>
      </c>
      <c r="G30" s="71" t="s">
        <v>652</v>
      </c>
      <c r="H30" s="71">
        <v>7</v>
      </c>
      <c r="I30" s="72" t="s">
        <v>651</v>
      </c>
      <c r="J30" s="42" t="s">
        <v>650</v>
      </c>
      <c r="K30" s="42" t="s">
        <v>653</v>
      </c>
      <c r="L30" s="350"/>
    </row>
    <row r="31" spans="1:12" x14ac:dyDescent="0.25">
      <c r="A31" s="163"/>
      <c r="B31" s="73" t="s">
        <v>694</v>
      </c>
      <c r="C31" s="55"/>
      <c r="D31" s="55"/>
      <c r="E31" s="55"/>
      <c r="F31" s="55"/>
      <c r="G31" s="55"/>
      <c r="H31" s="55"/>
      <c r="I31" s="55"/>
      <c r="J31" s="55"/>
      <c r="K31" s="55"/>
      <c r="L31" s="135"/>
    </row>
    <row r="32" spans="1:12" x14ac:dyDescent="0.25">
      <c r="A32" s="155">
        <v>1</v>
      </c>
      <c r="B32" s="80" t="s">
        <v>234</v>
      </c>
      <c r="C32" s="81">
        <v>36000</v>
      </c>
      <c r="D32" s="145">
        <v>2356.5500000000002</v>
      </c>
      <c r="E32" s="43">
        <v>164</v>
      </c>
      <c r="F32" s="61"/>
      <c r="G32" s="142">
        <f t="shared" ref="G32:G43" si="5">+E32+F32</f>
        <v>164</v>
      </c>
      <c r="H32" s="56"/>
      <c r="I32" s="57">
        <f t="shared" ref="I32:I43" si="6">+G32-H32</f>
        <v>164</v>
      </c>
      <c r="J32" s="57">
        <f t="shared" ref="J32:J43" si="7">I32*C32</f>
        <v>5904000</v>
      </c>
      <c r="K32" s="58">
        <f t="shared" ref="K32:K43" si="8">+D32*I32</f>
        <v>386474.2</v>
      </c>
      <c r="L32" s="351"/>
    </row>
    <row r="33" spans="1:13" x14ac:dyDescent="0.25">
      <c r="A33" s="155">
        <v>2</v>
      </c>
      <c r="B33" s="80" t="s">
        <v>235</v>
      </c>
      <c r="C33" s="81">
        <v>5000</v>
      </c>
      <c r="D33" s="145">
        <v>901.34</v>
      </c>
      <c r="E33" s="43">
        <v>10</v>
      </c>
      <c r="F33" s="61"/>
      <c r="G33" s="142">
        <f t="shared" si="5"/>
        <v>10</v>
      </c>
      <c r="H33" s="56"/>
      <c r="I33" s="57">
        <f t="shared" si="6"/>
        <v>10</v>
      </c>
      <c r="J33" s="57">
        <f t="shared" si="7"/>
        <v>50000</v>
      </c>
      <c r="K33" s="58">
        <f t="shared" si="8"/>
        <v>9013.4</v>
      </c>
      <c r="L33" s="351"/>
    </row>
    <row r="34" spans="1:13" x14ac:dyDescent="0.25">
      <c r="A34" s="155">
        <v>3</v>
      </c>
      <c r="B34" s="80" t="s">
        <v>236</v>
      </c>
      <c r="C34" s="81">
        <v>9500</v>
      </c>
      <c r="D34" s="145">
        <v>2090.4</v>
      </c>
      <c r="E34" s="43">
        <v>233</v>
      </c>
      <c r="F34" s="43"/>
      <c r="G34" s="142">
        <f t="shared" si="5"/>
        <v>233</v>
      </c>
      <c r="H34" s="56"/>
      <c r="I34" s="57">
        <f t="shared" si="6"/>
        <v>233</v>
      </c>
      <c r="J34" s="57">
        <f t="shared" si="7"/>
        <v>2213500</v>
      </c>
      <c r="K34" s="58">
        <f t="shared" si="8"/>
        <v>487063.2</v>
      </c>
      <c r="L34" s="351"/>
    </row>
    <row r="35" spans="1:13" x14ac:dyDescent="0.25">
      <c r="A35" s="155">
        <v>4</v>
      </c>
      <c r="B35" s="80" t="s">
        <v>237</v>
      </c>
      <c r="C35" s="81">
        <v>25000</v>
      </c>
      <c r="D35" s="145">
        <v>1681.34</v>
      </c>
      <c r="E35" s="43">
        <v>0</v>
      </c>
      <c r="F35" s="61"/>
      <c r="G35" s="142">
        <f t="shared" si="5"/>
        <v>0</v>
      </c>
      <c r="H35" s="56">
        <f>18-18</f>
        <v>0</v>
      </c>
      <c r="I35" s="57">
        <f t="shared" si="6"/>
        <v>0</v>
      </c>
      <c r="J35" s="57">
        <f t="shared" si="7"/>
        <v>0</v>
      </c>
      <c r="K35" s="58">
        <f t="shared" si="8"/>
        <v>0</v>
      </c>
      <c r="L35" s="351"/>
    </row>
    <row r="36" spans="1:13" x14ac:dyDescent="0.25">
      <c r="A36" s="155">
        <v>5</v>
      </c>
      <c r="B36" s="80" t="s">
        <v>238</v>
      </c>
      <c r="C36" s="81">
        <v>6000</v>
      </c>
      <c r="D36" s="145">
        <v>961.16</v>
      </c>
      <c r="E36" s="43">
        <v>55</v>
      </c>
      <c r="F36" s="61"/>
      <c r="G36" s="142">
        <f t="shared" si="5"/>
        <v>55</v>
      </c>
      <c r="H36" s="56"/>
      <c r="I36" s="57">
        <f t="shared" si="6"/>
        <v>55</v>
      </c>
      <c r="J36" s="57">
        <f t="shared" si="7"/>
        <v>330000</v>
      </c>
      <c r="K36" s="58">
        <f t="shared" si="8"/>
        <v>52863.799999999996</v>
      </c>
      <c r="L36" s="351"/>
    </row>
    <row r="37" spans="1:13" x14ac:dyDescent="0.25">
      <c r="A37" s="155">
        <v>6</v>
      </c>
      <c r="B37" s="80" t="s">
        <v>239</v>
      </c>
      <c r="C37" s="81">
        <v>5000</v>
      </c>
      <c r="D37" s="145">
        <v>1799.68</v>
      </c>
      <c r="E37" s="43">
        <v>50</v>
      </c>
      <c r="F37" s="61"/>
      <c r="G37" s="142">
        <f t="shared" si="5"/>
        <v>50</v>
      </c>
      <c r="H37" s="56"/>
      <c r="I37" s="57">
        <f t="shared" si="6"/>
        <v>50</v>
      </c>
      <c r="J37" s="57">
        <f t="shared" si="7"/>
        <v>250000</v>
      </c>
      <c r="K37" s="58">
        <f t="shared" si="8"/>
        <v>89984</v>
      </c>
      <c r="L37" s="351"/>
    </row>
    <row r="38" spans="1:13" x14ac:dyDescent="0.25">
      <c r="A38" s="155">
        <v>7</v>
      </c>
      <c r="B38" s="80" t="s">
        <v>240</v>
      </c>
      <c r="C38" s="81">
        <v>6000</v>
      </c>
      <c r="D38" s="145">
        <v>961.16</v>
      </c>
      <c r="E38" s="43">
        <v>161</v>
      </c>
      <c r="F38" s="61"/>
      <c r="G38" s="142">
        <f t="shared" si="5"/>
        <v>161</v>
      </c>
      <c r="H38" s="56"/>
      <c r="I38" s="57">
        <f t="shared" si="6"/>
        <v>161</v>
      </c>
      <c r="J38" s="57">
        <f t="shared" si="7"/>
        <v>966000</v>
      </c>
      <c r="K38" s="58">
        <f t="shared" si="8"/>
        <v>154746.76</v>
      </c>
      <c r="L38" s="351"/>
    </row>
    <row r="39" spans="1:13" x14ac:dyDescent="0.25">
      <c r="A39" s="155">
        <v>8</v>
      </c>
      <c r="B39" s="80" t="s">
        <v>241</v>
      </c>
      <c r="C39" s="81">
        <v>5000</v>
      </c>
      <c r="D39" s="145">
        <v>1631.6</v>
      </c>
      <c r="E39" s="43">
        <v>64</v>
      </c>
      <c r="F39" s="61"/>
      <c r="G39" s="142">
        <f t="shared" si="5"/>
        <v>64</v>
      </c>
      <c r="H39" s="56"/>
      <c r="I39" s="57">
        <f t="shared" si="6"/>
        <v>64</v>
      </c>
      <c r="J39" s="57">
        <f t="shared" si="7"/>
        <v>320000</v>
      </c>
      <c r="K39" s="58">
        <f t="shared" si="8"/>
        <v>104422.39999999999</v>
      </c>
      <c r="L39" s="351"/>
    </row>
    <row r="40" spans="1:13" x14ac:dyDescent="0.25">
      <c r="A40" s="155">
        <v>9</v>
      </c>
      <c r="B40" s="80" t="s">
        <v>242</v>
      </c>
      <c r="C40" s="81">
        <v>5000</v>
      </c>
      <c r="D40" s="145">
        <v>1812.32</v>
      </c>
      <c r="E40" s="43">
        <v>14</v>
      </c>
      <c r="F40" s="61"/>
      <c r="G40" s="142">
        <f t="shared" si="5"/>
        <v>14</v>
      </c>
      <c r="H40" s="56"/>
      <c r="I40" s="57">
        <f t="shared" si="6"/>
        <v>14</v>
      </c>
      <c r="J40" s="57">
        <f t="shared" si="7"/>
        <v>70000</v>
      </c>
      <c r="K40" s="58">
        <f t="shared" si="8"/>
        <v>25372.48</v>
      </c>
      <c r="L40" s="351"/>
    </row>
    <row r="41" spans="1:13" x14ac:dyDescent="0.25">
      <c r="A41" s="155">
        <v>10</v>
      </c>
      <c r="B41" s="80" t="s">
        <v>243</v>
      </c>
      <c r="C41" s="81">
        <v>8000</v>
      </c>
      <c r="D41" s="145">
        <v>1911.14</v>
      </c>
      <c r="E41" s="43">
        <v>28</v>
      </c>
      <c r="F41" s="61"/>
      <c r="G41" s="142">
        <f t="shared" si="5"/>
        <v>28</v>
      </c>
      <c r="H41" s="56"/>
      <c r="I41" s="57">
        <f t="shared" si="6"/>
        <v>28</v>
      </c>
      <c r="J41" s="57">
        <f t="shared" si="7"/>
        <v>224000</v>
      </c>
      <c r="K41" s="58">
        <f t="shared" si="8"/>
        <v>53511.920000000006</v>
      </c>
      <c r="L41" s="351"/>
    </row>
    <row r="42" spans="1:13" x14ac:dyDescent="0.25">
      <c r="A42" s="155">
        <v>11</v>
      </c>
      <c r="B42" s="80" t="s">
        <v>244</v>
      </c>
      <c r="C42" s="81">
        <v>5000</v>
      </c>
      <c r="D42" s="145">
        <v>961.16</v>
      </c>
      <c r="E42" s="43">
        <v>10</v>
      </c>
      <c r="F42" s="61"/>
      <c r="G42" s="142">
        <f t="shared" si="5"/>
        <v>10</v>
      </c>
      <c r="H42" s="56"/>
      <c r="I42" s="57">
        <f t="shared" si="6"/>
        <v>10</v>
      </c>
      <c r="J42" s="57">
        <f t="shared" si="7"/>
        <v>50000</v>
      </c>
      <c r="K42" s="58">
        <f t="shared" si="8"/>
        <v>9611.6</v>
      </c>
      <c r="L42" s="351"/>
    </row>
    <row r="43" spans="1:13" ht="15.75" thickBot="1" x14ac:dyDescent="0.3">
      <c r="A43" s="156">
        <v>12</v>
      </c>
      <c r="B43" s="147" t="s">
        <v>245</v>
      </c>
      <c r="C43" s="83">
        <v>5000</v>
      </c>
      <c r="D43" s="148">
        <v>961.16</v>
      </c>
      <c r="E43" s="157">
        <v>20</v>
      </c>
      <c r="F43" s="159"/>
      <c r="G43" s="150">
        <f t="shared" si="5"/>
        <v>20</v>
      </c>
      <c r="H43" s="59"/>
      <c r="I43" s="65">
        <f t="shared" si="6"/>
        <v>20</v>
      </c>
      <c r="J43" s="65">
        <f t="shared" si="7"/>
        <v>100000</v>
      </c>
      <c r="K43" s="66">
        <f t="shared" si="8"/>
        <v>19223.2</v>
      </c>
      <c r="L43" s="351"/>
      <c r="M43" s="232" t="s">
        <v>781</v>
      </c>
    </row>
    <row r="44" spans="1:13" ht="15.75" thickBot="1" x14ac:dyDescent="0.3">
      <c r="A44" s="131"/>
      <c r="B44" s="122" t="s">
        <v>660</v>
      </c>
      <c r="C44" s="36"/>
      <c r="D44" s="36"/>
      <c r="E44" s="29">
        <f t="shared" ref="E44:J44" si="9">SUM(E32:E43)</f>
        <v>809</v>
      </c>
      <c r="F44" s="29">
        <f t="shared" si="9"/>
        <v>0</v>
      </c>
      <c r="G44" s="36">
        <f t="shared" si="9"/>
        <v>809</v>
      </c>
      <c r="H44" s="29">
        <f t="shared" si="9"/>
        <v>0</v>
      </c>
      <c r="I44" s="29">
        <f t="shared" si="9"/>
        <v>809</v>
      </c>
      <c r="J44" s="29">
        <f t="shared" si="9"/>
        <v>10477500</v>
      </c>
      <c r="K44" s="47">
        <f t="shared" ref="K44" si="10">SUM(K32:K43)</f>
        <v>1392286.96</v>
      </c>
      <c r="L44" s="218"/>
    </row>
    <row r="45" spans="1:13" ht="15.75" thickBot="1" x14ac:dyDescent="0.3">
      <c r="B45" s="164"/>
      <c r="C45" s="165"/>
      <c r="D45" s="166"/>
      <c r="E45" s="167"/>
      <c r="F45" s="68"/>
      <c r="G45" s="167"/>
      <c r="H45" s="167"/>
      <c r="I45" s="167"/>
      <c r="J45" s="167"/>
      <c r="K45" s="166"/>
      <c r="L45" s="166"/>
    </row>
    <row r="46" spans="1:13" ht="15.75" thickBot="1" x14ac:dyDescent="0.3">
      <c r="A46" s="365" t="s">
        <v>657</v>
      </c>
      <c r="B46" s="372" t="s">
        <v>708</v>
      </c>
      <c r="C46" s="372" t="s">
        <v>1</v>
      </c>
      <c r="D46" s="373" t="s">
        <v>649</v>
      </c>
      <c r="E46" s="374" t="s">
        <v>19</v>
      </c>
      <c r="F46" s="374"/>
      <c r="G46" s="374"/>
      <c r="H46" s="374"/>
      <c r="I46" s="374"/>
      <c r="J46" s="368" t="s">
        <v>21</v>
      </c>
      <c r="K46" s="370" t="s">
        <v>602</v>
      </c>
      <c r="L46" s="349"/>
    </row>
    <row r="47" spans="1:13" ht="30.75" thickBot="1" x14ac:dyDescent="0.3">
      <c r="A47" s="366"/>
      <c r="B47" s="372"/>
      <c r="C47" s="372"/>
      <c r="D47" s="373"/>
      <c r="E47" s="69" t="s">
        <v>22</v>
      </c>
      <c r="F47" s="69" t="s">
        <v>600</v>
      </c>
      <c r="G47" s="69" t="s">
        <v>601</v>
      </c>
      <c r="H47" s="69" t="s">
        <v>589</v>
      </c>
      <c r="I47" s="69" t="s">
        <v>601</v>
      </c>
      <c r="J47" s="369"/>
      <c r="K47" s="371"/>
      <c r="L47" s="349"/>
    </row>
    <row r="48" spans="1:13" ht="15.75" thickBot="1" x14ac:dyDescent="0.3">
      <c r="A48" s="367"/>
      <c r="B48" s="188">
        <v>1</v>
      </c>
      <c r="C48" s="188">
        <v>2</v>
      </c>
      <c r="D48" s="188">
        <v>3</v>
      </c>
      <c r="E48" s="71">
        <v>4</v>
      </c>
      <c r="F48" s="71">
        <f>+E48+1</f>
        <v>5</v>
      </c>
      <c r="G48" s="71" t="s">
        <v>652</v>
      </c>
      <c r="H48" s="71">
        <v>7</v>
      </c>
      <c r="I48" s="72" t="s">
        <v>651</v>
      </c>
      <c r="J48" s="42" t="s">
        <v>650</v>
      </c>
      <c r="K48" s="42" t="s">
        <v>653</v>
      </c>
      <c r="L48" s="350"/>
    </row>
    <row r="49" spans="1:12" x14ac:dyDescent="0.25">
      <c r="A49" s="163"/>
      <c r="B49" s="73" t="s">
        <v>696</v>
      </c>
      <c r="C49" s="55"/>
      <c r="D49" s="55"/>
      <c r="E49" s="55"/>
      <c r="F49" s="55"/>
      <c r="G49" s="55"/>
      <c r="H49" s="55"/>
      <c r="I49" s="55"/>
      <c r="J49" s="55"/>
      <c r="K49" s="55"/>
      <c r="L49" s="135"/>
    </row>
    <row r="50" spans="1:12" x14ac:dyDescent="0.25">
      <c r="A50" s="155">
        <v>1</v>
      </c>
      <c r="B50" s="80" t="s">
        <v>246</v>
      </c>
      <c r="C50" s="81">
        <v>36000</v>
      </c>
      <c r="D50" s="145">
        <v>3441.45</v>
      </c>
      <c r="E50" s="81">
        <v>46</v>
      </c>
      <c r="F50" s="61"/>
      <c r="G50" s="142">
        <f t="shared" ref="G50:G65" si="11">+E50+F50</f>
        <v>46</v>
      </c>
      <c r="H50" s="56"/>
      <c r="I50" s="57">
        <f t="shared" ref="I50:I65" si="12">+G50-H50</f>
        <v>46</v>
      </c>
      <c r="J50" s="57">
        <f t="shared" ref="J50:J65" si="13">I50*C50</f>
        <v>1656000</v>
      </c>
      <c r="K50" s="58">
        <f t="shared" ref="K50:K65" si="14">+D50*I50</f>
        <v>158306.69999999998</v>
      </c>
      <c r="L50" s="351"/>
    </row>
    <row r="51" spans="1:12" x14ac:dyDescent="0.25">
      <c r="A51" s="155">
        <v>2</v>
      </c>
      <c r="B51" s="80" t="s">
        <v>247</v>
      </c>
      <c r="C51" s="81">
        <v>7000</v>
      </c>
      <c r="D51" s="145">
        <v>2273.2600000000002</v>
      </c>
      <c r="E51" s="81">
        <v>20</v>
      </c>
      <c r="F51" s="61"/>
      <c r="G51" s="142">
        <f t="shared" si="11"/>
        <v>20</v>
      </c>
      <c r="H51" s="56"/>
      <c r="I51" s="57">
        <f t="shared" si="12"/>
        <v>20</v>
      </c>
      <c r="J51" s="57">
        <f t="shared" si="13"/>
        <v>140000</v>
      </c>
      <c r="K51" s="58">
        <f t="shared" si="14"/>
        <v>45465.200000000004</v>
      </c>
      <c r="L51" s="351"/>
    </row>
    <row r="52" spans="1:12" x14ac:dyDescent="0.25">
      <c r="A52" s="155">
        <v>3</v>
      </c>
      <c r="B52" s="80" t="s">
        <v>248</v>
      </c>
      <c r="C52" s="81">
        <v>5000</v>
      </c>
      <c r="D52" s="145">
        <v>2153.71</v>
      </c>
      <c r="E52" s="81">
        <f>93+1</f>
        <v>94</v>
      </c>
      <c r="F52" s="61"/>
      <c r="G52" s="142">
        <f t="shared" si="11"/>
        <v>94</v>
      </c>
      <c r="H52" s="56"/>
      <c r="I52" s="57">
        <f t="shared" si="12"/>
        <v>94</v>
      </c>
      <c r="J52" s="57">
        <f t="shared" si="13"/>
        <v>470000</v>
      </c>
      <c r="K52" s="58">
        <f t="shared" si="14"/>
        <v>202448.74</v>
      </c>
      <c r="L52" s="351"/>
    </row>
    <row r="53" spans="1:12" x14ac:dyDescent="0.25">
      <c r="A53" s="155">
        <v>4</v>
      </c>
      <c r="B53" s="80" t="s">
        <v>249</v>
      </c>
      <c r="C53" s="81">
        <v>5000</v>
      </c>
      <c r="D53" s="145">
        <v>2199.44</v>
      </c>
      <c r="E53" s="81">
        <v>2</v>
      </c>
      <c r="F53" s="61"/>
      <c r="G53" s="142">
        <f t="shared" si="11"/>
        <v>2</v>
      </c>
      <c r="H53" s="56"/>
      <c r="I53" s="57">
        <f t="shared" si="12"/>
        <v>2</v>
      </c>
      <c r="J53" s="57">
        <f t="shared" si="13"/>
        <v>10000</v>
      </c>
      <c r="K53" s="58">
        <f t="shared" si="14"/>
        <v>4398.88</v>
      </c>
      <c r="L53" s="351"/>
    </row>
    <row r="54" spans="1:12" x14ac:dyDescent="0.25">
      <c r="A54" s="155">
        <v>5</v>
      </c>
      <c r="B54" s="80" t="s">
        <v>250</v>
      </c>
      <c r="C54" s="81">
        <v>8000</v>
      </c>
      <c r="D54" s="145">
        <v>1017.98</v>
      </c>
      <c r="E54" s="81">
        <v>244</v>
      </c>
      <c r="F54" s="61"/>
      <c r="G54" s="142">
        <f t="shared" si="11"/>
        <v>244</v>
      </c>
      <c r="H54" s="56"/>
      <c r="I54" s="57">
        <f t="shared" si="12"/>
        <v>244</v>
      </c>
      <c r="J54" s="57">
        <f t="shared" si="13"/>
        <v>1952000</v>
      </c>
      <c r="K54" s="58">
        <f t="shared" si="14"/>
        <v>248387.12</v>
      </c>
      <c r="L54" s="351"/>
    </row>
    <row r="55" spans="1:12" x14ac:dyDescent="0.25">
      <c r="A55" s="155">
        <v>6</v>
      </c>
      <c r="B55" s="80" t="s">
        <v>251</v>
      </c>
      <c r="C55" s="81">
        <v>5000</v>
      </c>
      <c r="D55" s="145">
        <v>2196.98</v>
      </c>
      <c r="E55" s="81">
        <v>15</v>
      </c>
      <c r="F55" s="61"/>
      <c r="G55" s="142">
        <f t="shared" si="11"/>
        <v>15</v>
      </c>
      <c r="H55" s="56"/>
      <c r="I55" s="57">
        <f t="shared" si="12"/>
        <v>15</v>
      </c>
      <c r="J55" s="57">
        <f t="shared" si="13"/>
        <v>75000</v>
      </c>
      <c r="K55" s="58">
        <f t="shared" si="14"/>
        <v>32954.699999999997</v>
      </c>
      <c r="L55" s="351"/>
    </row>
    <row r="56" spans="1:12" x14ac:dyDescent="0.25">
      <c r="A56" s="155">
        <v>7</v>
      </c>
      <c r="B56" s="80" t="s">
        <v>252</v>
      </c>
      <c r="C56" s="81">
        <v>5000</v>
      </c>
      <c r="D56" s="145">
        <v>1017.98</v>
      </c>
      <c r="E56" s="81">
        <v>5</v>
      </c>
      <c r="F56" s="61"/>
      <c r="G56" s="142">
        <f t="shared" si="11"/>
        <v>5</v>
      </c>
      <c r="H56" s="56"/>
      <c r="I56" s="57">
        <f t="shared" si="12"/>
        <v>5</v>
      </c>
      <c r="J56" s="57">
        <f t="shared" si="13"/>
        <v>25000</v>
      </c>
      <c r="K56" s="58">
        <f t="shared" si="14"/>
        <v>5089.8999999999996</v>
      </c>
      <c r="L56" s="351"/>
    </row>
    <row r="57" spans="1:12" x14ac:dyDescent="0.25">
      <c r="A57" s="155">
        <v>8</v>
      </c>
      <c r="B57" s="80" t="s">
        <v>253</v>
      </c>
      <c r="C57" s="81">
        <v>10000</v>
      </c>
      <c r="D57" s="145">
        <v>1017.98</v>
      </c>
      <c r="E57" s="81">
        <v>32</v>
      </c>
      <c r="F57" s="61"/>
      <c r="G57" s="142">
        <f t="shared" si="11"/>
        <v>32</v>
      </c>
      <c r="H57" s="56"/>
      <c r="I57" s="57">
        <f t="shared" si="12"/>
        <v>32</v>
      </c>
      <c r="J57" s="57">
        <f t="shared" si="13"/>
        <v>320000</v>
      </c>
      <c r="K57" s="58">
        <f t="shared" si="14"/>
        <v>32575.360000000001</v>
      </c>
      <c r="L57" s="351"/>
    </row>
    <row r="58" spans="1:12" x14ac:dyDescent="0.25">
      <c r="A58" s="155">
        <v>9</v>
      </c>
      <c r="B58" s="80" t="s">
        <v>254</v>
      </c>
      <c r="C58" s="81">
        <v>12000</v>
      </c>
      <c r="D58" s="145">
        <v>1017.98</v>
      </c>
      <c r="E58" s="81">
        <v>2</v>
      </c>
      <c r="F58" s="61"/>
      <c r="G58" s="142">
        <f t="shared" si="11"/>
        <v>2</v>
      </c>
      <c r="H58" s="56"/>
      <c r="I58" s="57">
        <f t="shared" si="12"/>
        <v>2</v>
      </c>
      <c r="J58" s="57">
        <f t="shared" si="13"/>
        <v>24000</v>
      </c>
      <c r="K58" s="58">
        <f t="shared" si="14"/>
        <v>2035.96</v>
      </c>
      <c r="L58" s="351"/>
    </row>
    <row r="59" spans="1:12" x14ac:dyDescent="0.25">
      <c r="A59" s="155">
        <v>10</v>
      </c>
      <c r="B59" s="80" t="s">
        <v>255</v>
      </c>
      <c r="C59" s="81">
        <v>8000</v>
      </c>
      <c r="D59" s="145">
        <v>1842.98</v>
      </c>
      <c r="E59" s="81">
        <v>93</v>
      </c>
      <c r="F59" s="61"/>
      <c r="G59" s="142">
        <f t="shared" si="11"/>
        <v>93</v>
      </c>
      <c r="H59" s="56"/>
      <c r="I59" s="57">
        <f t="shared" si="12"/>
        <v>93</v>
      </c>
      <c r="J59" s="57">
        <f t="shared" si="13"/>
        <v>744000</v>
      </c>
      <c r="K59" s="58">
        <f t="shared" si="14"/>
        <v>171397.14</v>
      </c>
      <c r="L59" s="351"/>
    </row>
    <row r="60" spans="1:12" x14ac:dyDescent="0.25">
      <c r="A60" s="155">
        <v>11</v>
      </c>
      <c r="B60" s="80" t="s">
        <v>256</v>
      </c>
      <c r="C60" s="81">
        <v>6000</v>
      </c>
      <c r="D60" s="145">
        <v>1785.68</v>
      </c>
      <c r="E60" s="81">
        <v>48</v>
      </c>
      <c r="F60" s="61"/>
      <c r="G60" s="142">
        <f t="shared" si="11"/>
        <v>48</v>
      </c>
      <c r="H60" s="56"/>
      <c r="I60" s="57">
        <f t="shared" si="12"/>
        <v>48</v>
      </c>
      <c r="J60" s="57">
        <f t="shared" si="13"/>
        <v>288000</v>
      </c>
      <c r="K60" s="58">
        <f t="shared" si="14"/>
        <v>85712.639999999999</v>
      </c>
      <c r="L60" s="351"/>
    </row>
    <row r="61" spans="1:12" x14ac:dyDescent="0.25">
      <c r="A61" s="155">
        <v>12</v>
      </c>
      <c r="B61" s="80" t="s">
        <v>257</v>
      </c>
      <c r="C61" s="81">
        <v>5000</v>
      </c>
      <c r="D61" s="145">
        <v>1599.54</v>
      </c>
      <c r="E61" s="81">
        <v>10</v>
      </c>
      <c r="F61" s="61"/>
      <c r="G61" s="142">
        <f t="shared" si="11"/>
        <v>10</v>
      </c>
      <c r="H61" s="56"/>
      <c r="I61" s="57">
        <f t="shared" si="12"/>
        <v>10</v>
      </c>
      <c r="J61" s="57">
        <f t="shared" si="13"/>
        <v>50000</v>
      </c>
      <c r="K61" s="58">
        <f t="shared" si="14"/>
        <v>15995.4</v>
      </c>
      <c r="L61" s="351"/>
    </row>
    <row r="62" spans="1:12" x14ac:dyDescent="0.25">
      <c r="A62" s="155">
        <v>13</v>
      </c>
      <c r="B62" s="80" t="s">
        <v>258</v>
      </c>
      <c r="C62" s="81">
        <v>4000</v>
      </c>
      <c r="D62" s="145">
        <v>1127.98</v>
      </c>
      <c r="E62" s="81">
        <v>56</v>
      </c>
      <c r="F62" s="61"/>
      <c r="G62" s="142">
        <f t="shared" si="11"/>
        <v>56</v>
      </c>
      <c r="H62" s="56"/>
      <c r="I62" s="57">
        <f t="shared" si="12"/>
        <v>56</v>
      </c>
      <c r="J62" s="57">
        <f t="shared" si="13"/>
        <v>224000</v>
      </c>
      <c r="K62" s="58">
        <f t="shared" si="14"/>
        <v>63166.880000000005</v>
      </c>
      <c r="L62" s="351"/>
    </row>
    <row r="63" spans="1:12" x14ac:dyDescent="0.25">
      <c r="A63" s="155">
        <v>14</v>
      </c>
      <c r="B63" s="80" t="s">
        <v>259</v>
      </c>
      <c r="C63" s="81">
        <v>8000</v>
      </c>
      <c r="D63" s="145">
        <v>1347.98</v>
      </c>
      <c r="E63" s="81">
        <v>50</v>
      </c>
      <c r="F63" s="61"/>
      <c r="G63" s="142">
        <f t="shared" si="11"/>
        <v>50</v>
      </c>
      <c r="H63" s="56"/>
      <c r="I63" s="57">
        <f t="shared" si="12"/>
        <v>50</v>
      </c>
      <c r="J63" s="57">
        <f t="shared" si="13"/>
        <v>400000</v>
      </c>
      <c r="K63" s="58">
        <f t="shared" si="14"/>
        <v>67399</v>
      </c>
      <c r="L63" s="351"/>
    </row>
    <row r="64" spans="1:12" x14ac:dyDescent="0.25">
      <c r="A64" s="155">
        <v>15</v>
      </c>
      <c r="B64" s="80" t="s">
        <v>260</v>
      </c>
      <c r="C64" s="81">
        <v>5000</v>
      </c>
      <c r="D64" s="145">
        <v>1017.98</v>
      </c>
      <c r="E64" s="43">
        <v>16</v>
      </c>
      <c r="F64" s="61"/>
      <c r="G64" s="142">
        <f t="shared" si="11"/>
        <v>16</v>
      </c>
      <c r="H64" s="56"/>
      <c r="I64" s="57">
        <f t="shared" si="12"/>
        <v>16</v>
      </c>
      <c r="J64" s="57">
        <f t="shared" si="13"/>
        <v>80000</v>
      </c>
      <c r="K64" s="58">
        <f t="shared" si="14"/>
        <v>16287.68</v>
      </c>
      <c r="L64" s="351"/>
    </row>
    <row r="65" spans="1:12" ht="15.75" thickBot="1" x14ac:dyDescent="0.3">
      <c r="A65" s="156">
        <v>16</v>
      </c>
      <c r="B65" s="147" t="s">
        <v>261</v>
      </c>
      <c r="C65" s="83">
        <v>5000</v>
      </c>
      <c r="D65" s="148">
        <v>1017.98</v>
      </c>
      <c r="E65" s="157">
        <v>11</v>
      </c>
      <c r="F65" s="159"/>
      <c r="G65" s="150">
        <f t="shared" si="11"/>
        <v>11</v>
      </c>
      <c r="H65" s="59"/>
      <c r="I65" s="65">
        <f t="shared" si="12"/>
        <v>11</v>
      </c>
      <c r="J65" s="65">
        <f t="shared" si="13"/>
        <v>55000</v>
      </c>
      <c r="K65" s="66">
        <f t="shared" si="14"/>
        <v>11197.78</v>
      </c>
      <c r="L65" s="351"/>
    </row>
    <row r="66" spans="1:12" ht="15.75" thickBot="1" x14ac:dyDescent="0.3">
      <c r="A66" s="131"/>
      <c r="B66" s="122" t="s">
        <v>662</v>
      </c>
      <c r="C66" s="36"/>
      <c r="D66" s="35"/>
      <c r="E66" s="35">
        <f>SUM(E50:E65)</f>
        <v>744</v>
      </c>
      <c r="F66" s="35">
        <f>SUM(F50:F65)</f>
        <v>0</v>
      </c>
      <c r="G66" s="35">
        <f>SUM(G50:G65)</f>
        <v>744</v>
      </c>
      <c r="H66" s="35">
        <f>SUM(H50:H65)</f>
        <v>0</v>
      </c>
      <c r="I66" s="35">
        <f>SUM(I50:I65)</f>
        <v>744</v>
      </c>
      <c r="J66" s="35">
        <f t="shared" ref="J66:K66" si="15">SUM(J50:J65)</f>
        <v>6513000</v>
      </c>
      <c r="K66" s="67">
        <f t="shared" si="15"/>
        <v>1162819.08</v>
      </c>
      <c r="L66" s="353"/>
    </row>
    <row r="67" spans="1:12" ht="15.75" thickBot="1" x14ac:dyDescent="0.3">
      <c r="B67" s="164"/>
      <c r="C67" s="165"/>
      <c r="D67" s="166"/>
      <c r="E67" s="167"/>
      <c r="F67" s="68"/>
      <c r="G67" s="167"/>
      <c r="H67" s="167"/>
      <c r="I67" s="167"/>
      <c r="J67" s="167"/>
      <c r="K67" s="166"/>
      <c r="L67" s="166"/>
    </row>
    <row r="68" spans="1:12" ht="15.75" thickBot="1" x14ac:dyDescent="0.3">
      <c r="A68" s="365" t="s">
        <v>657</v>
      </c>
      <c r="B68" s="372" t="s">
        <v>708</v>
      </c>
      <c r="C68" s="372" t="s">
        <v>1</v>
      </c>
      <c r="D68" s="373" t="s">
        <v>649</v>
      </c>
      <c r="E68" s="374" t="s">
        <v>19</v>
      </c>
      <c r="F68" s="374"/>
      <c r="G68" s="374"/>
      <c r="H68" s="374"/>
      <c r="I68" s="374"/>
      <c r="J68" s="368" t="s">
        <v>21</v>
      </c>
      <c r="K68" s="370" t="s">
        <v>602</v>
      </c>
      <c r="L68" s="349"/>
    </row>
    <row r="69" spans="1:12" ht="30.75" thickBot="1" x14ac:dyDescent="0.3">
      <c r="A69" s="366"/>
      <c r="B69" s="372"/>
      <c r="C69" s="372"/>
      <c r="D69" s="373"/>
      <c r="E69" s="69" t="s">
        <v>22</v>
      </c>
      <c r="F69" s="69" t="s">
        <v>600</v>
      </c>
      <c r="G69" s="69" t="s">
        <v>601</v>
      </c>
      <c r="H69" s="69" t="s">
        <v>589</v>
      </c>
      <c r="I69" s="69" t="s">
        <v>601</v>
      </c>
      <c r="J69" s="369"/>
      <c r="K69" s="371"/>
      <c r="L69" s="349"/>
    </row>
    <row r="70" spans="1:12" ht="15.75" thickBot="1" x14ac:dyDescent="0.3">
      <c r="A70" s="367"/>
      <c r="B70" s="188">
        <v>1</v>
      </c>
      <c r="C70" s="188">
        <v>2</v>
      </c>
      <c r="D70" s="188">
        <v>3</v>
      </c>
      <c r="E70" s="71">
        <v>4</v>
      </c>
      <c r="F70" s="71">
        <f>+E70+1</f>
        <v>5</v>
      </c>
      <c r="G70" s="71" t="s">
        <v>652</v>
      </c>
      <c r="H70" s="71">
        <v>7</v>
      </c>
      <c r="I70" s="72" t="s">
        <v>651</v>
      </c>
      <c r="J70" s="42" t="s">
        <v>650</v>
      </c>
      <c r="K70" s="42" t="s">
        <v>653</v>
      </c>
      <c r="L70" s="350"/>
    </row>
    <row r="71" spans="1:12" x14ac:dyDescent="0.25">
      <c r="A71" s="163"/>
      <c r="B71" s="73" t="s">
        <v>698</v>
      </c>
      <c r="C71" s="55"/>
      <c r="D71" s="55"/>
      <c r="E71" s="55"/>
      <c r="F71" s="55"/>
      <c r="G71" s="55"/>
      <c r="H71" s="55"/>
      <c r="I71" s="55"/>
      <c r="J71" s="55"/>
      <c r="K71" s="55"/>
      <c r="L71" s="135"/>
    </row>
    <row r="72" spans="1:12" x14ac:dyDescent="0.25">
      <c r="A72" s="155">
        <v>1</v>
      </c>
      <c r="B72" s="61" t="s">
        <v>262</v>
      </c>
      <c r="C72" s="81">
        <v>8000</v>
      </c>
      <c r="D72" s="145">
        <v>1842.98</v>
      </c>
      <c r="E72" s="43">
        <v>30</v>
      </c>
      <c r="F72" s="61"/>
      <c r="G72" s="142">
        <f t="shared" ref="G72:G87" si="16">+E72+F72</f>
        <v>30</v>
      </c>
      <c r="H72" s="56"/>
      <c r="I72" s="57">
        <f t="shared" ref="I72:I87" si="17">+G72-H72</f>
        <v>30</v>
      </c>
      <c r="J72" s="57">
        <f t="shared" ref="J72:J87" si="18">I72*C72</f>
        <v>240000</v>
      </c>
      <c r="K72" s="58">
        <f t="shared" ref="K72:K87" si="19">+D72*I72</f>
        <v>55289.4</v>
      </c>
      <c r="L72" s="351"/>
    </row>
    <row r="73" spans="1:12" x14ac:dyDescent="0.25">
      <c r="A73" s="155">
        <v>2</v>
      </c>
      <c r="B73" s="61" t="s">
        <v>263</v>
      </c>
      <c r="C73" s="81">
        <v>12000</v>
      </c>
      <c r="D73" s="145">
        <v>3531.36</v>
      </c>
      <c r="E73" s="43">
        <v>0</v>
      </c>
      <c r="F73" s="61"/>
      <c r="G73" s="142">
        <f t="shared" si="16"/>
        <v>0</v>
      </c>
      <c r="H73" s="56">
        <f>23-23</f>
        <v>0</v>
      </c>
      <c r="I73" s="57">
        <f t="shared" si="17"/>
        <v>0</v>
      </c>
      <c r="J73" s="57">
        <f t="shared" si="18"/>
        <v>0</v>
      </c>
      <c r="K73" s="58">
        <f t="shared" si="19"/>
        <v>0</v>
      </c>
      <c r="L73" s="351"/>
    </row>
    <row r="74" spans="1:12" x14ac:dyDescent="0.25">
      <c r="A74" s="155">
        <v>3</v>
      </c>
      <c r="B74" s="61" t="s">
        <v>264</v>
      </c>
      <c r="C74" s="81">
        <v>5000</v>
      </c>
      <c r="D74" s="145">
        <v>1226.98</v>
      </c>
      <c r="E74" s="43">
        <v>0</v>
      </c>
      <c r="F74" s="61"/>
      <c r="G74" s="142">
        <f t="shared" si="16"/>
        <v>0</v>
      </c>
      <c r="H74" s="56">
        <f>14-14</f>
        <v>0</v>
      </c>
      <c r="I74" s="57">
        <f t="shared" si="17"/>
        <v>0</v>
      </c>
      <c r="J74" s="57">
        <f t="shared" si="18"/>
        <v>0</v>
      </c>
      <c r="K74" s="58">
        <f t="shared" si="19"/>
        <v>0</v>
      </c>
      <c r="L74" s="351"/>
    </row>
    <row r="75" spans="1:12" x14ac:dyDescent="0.25">
      <c r="A75" s="155">
        <v>4</v>
      </c>
      <c r="B75" s="61" t="s">
        <v>265</v>
      </c>
      <c r="C75" s="81">
        <v>5000</v>
      </c>
      <c r="D75" s="145">
        <v>1226.98</v>
      </c>
      <c r="E75" s="43">
        <v>261</v>
      </c>
      <c r="F75" s="61"/>
      <c r="G75" s="142">
        <f t="shared" si="16"/>
        <v>261</v>
      </c>
      <c r="H75" s="56"/>
      <c r="I75" s="57">
        <f t="shared" si="17"/>
        <v>261</v>
      </c>
      <c r="J75" s="57">
        <f t="shared" si="18"/>
        <v>1305000</v>
      </c>
      <c r="K75" s="58">
        <f t="shared" si="19"/>
        <v>320241.78000000003</v>
      </c>
      <c r="L75" s="351"/>
    </row>
    <row r="76" spans="1:12" x14ac:dyDescent="0.25">
      <c r="A76" s="155">
        <v>5</v>
      </c>
      <c r="B76" s="61" t="s">
        <v>266</v>
      </c>
      <c r="C76" s="81">
        <v>8000</v>
      </c>
      <c r="D76" s="145">
        <v>1842.98</v>
      </c>
      <c r="E76" s="43">
        <v>64</v>
      </c>
      <c r="F76" s="61"/>
      <c r="G76" s="142">
        <f t="shared" si="16"/>
        <v>64</v>
      </c>
      <c r="H76" s="56"/>
      <c r="I76" s="57">
        <f t="shared" si="17"/>
        <v>64</v>
      </c>
      <c r="J76" s="57">
        <f t="shared" si="18"/>
        <v>512000</v>
      </c>
      <c r="K76" s="58">
        <f t="shared" si="19"/>
        <v>117950.72</v>
      </c>
      <c r="L76" s="351"/>
    </row>
    <row r="77" spans="1:12" x14ac:dyDescent="0.25">
      <c r="A77" s="155">
        <v>6</v>
      </c>
      <c r="B77" s="61" t="s">
        <v>267</v>
      </c>
      <c r="C77" s="81">
        <v>5000</v>
      </c>
      <c r="D77" s="145">
        <v>1226.98</v>
      </c>
      <c r="E77" s="43">
        <v>94</v>
      </c>
      <c r="F77" s="61"/>
      <c r="G77" s="142">
        <f t="shared" si="16"/>
        <v>94</v>
      </c>
      <c r="H77" s="56"/>
      <c r="I77" s="57">
        <f t="shared" si="17"/>
        <v>94</v>
      </c>
      <c r="J77" s="57">
        <f t="shared" si="18"/>
        <v>470000</v>
      </c>
      <c r="K77" s="58">
        <f t="shared" si="19"/>
        <v>115336.12</v>
      </c>
      <c r="L77" s="351"/>
    </row>
    <row r="78" spans="1:12" x14ac:dyDescent="0.25">
      <c r="A78" s="155">
        <v>7</v>
      </c>
      <c r="B78" s="61" t="s">
        <v>268</v>
      </c>
      <c r="C78" s="81">
        <v>6000</v>
      </c>
      <c r="D78" s="145">
        <v>1226.98</v>
      </c>
      <c r="E78" s="43">
        <v>24</v>
      </c>
      <c r="F78" s="61"/>
      <c r="G78" s="142">
        <f t="shared" si="16"/>
        <v>24</v>
      </c>
      <c r="H78" s="56"/>
      <c r="I78" s="57">
        <f t="shared" si="17"/>
        <v>24</v>
      </c>
      <c r="J78" s="57">
        <f t="shared" si="18"/>
        <v>144000</v>
      </c>
      <c r="K78" s="58">
        <f t="shared" si="19"/>
        <v>29447.52</v>
      </c>
      <c r="L78" s="351"/>
    </row>
    <row r="79" spans="1:12" x14ac:dyDescent="0.25">
      <c r="A79" s="155">
        <v>8</v>
      </c>
      <c r="B79" s="61" t="s">
        <v>269</v>
      </c>
      <c r="C79" s="81">
        <v>14000</v>
      </c>
      <c r="D79" s="145">
        <v>3017.9</v>
      </c>
      <c r="E79" s="43">
        <v>134</v>
      </c>
      <c r="F79" s="61"/>
      <c r="G79" s="142">
        <f t="shared" si="16"/>
        <v>134</v>
      </c>
      <c r="H79" s="56"/>
      <c r="I79" s="57">
        <f t="shared" si="17"/>
        <v>134</v>
      </c>
      <c r="J79" s="57">
        <f t="shared" si="18"/>
        <v>1876000</v>
      </c>
      <c r="K79" s="58">
        <f t="shared" si="19"/>
        <v>404398.60000000003</v>
      </c>
      <c r="L79" s="351"/>
    </row>
    <row r="80" spans="1:12" x14ac:dyDescent="0.25">
      <c r="A80" s="155">
        <v>9</v>
      </c>
      <c r="B80" s="61" t="s">
        <v>270</v>
      </c>
      <c r="C80" s="81">
        <v>5000</v>
      </c>
      <c r="D80" s="145">
        <v>1226.98</v>
      </c>
      <c r="E80" s="43">
        <v>0</v>
      </c>
      <c r="F80" s="61"/>
      <c r="G80" s="142">
        <f t="shared" si="16"/>
        <v>0</v>
      </c>
      <c r="H80" s="56">
        <f>4-4</f>
        <v>0</v>
      </c>
      <c r="I80" s="57">
        <f t="shared" si="17"/>
        <v>0</v>
      </c>
      <c r="J80" s="57">
        <f t="shared" si="18"/>
        <v>0</v>
      </c>
      <c r="K80" s="58">
        <f t="shared" si="19"/>
        <v>0</v>
      </c>
      <c r="L80" s="351"/>
    </row>
    <row r="81" spans="1:12" x14ac:dyDescent="0.25">
      <c r="A81" s="155">
        <v>10</v>
      </c>
      <c r="B81" s="61" t="s">
        <v>271</v>
      </c>
      <c r="C81" s="81">
        <v>4000</v>
      </c>
      <c r="D81" s="145">
        <v>921.49</v>
      </c>
      <c r="E81" s="43">
        <v>41</v>
      </c>
      <c r="F81" s="61"/>
      <c r="G81" s="142">
        <f t="shared" si="16"/>
        <v>41</v>
      </c>
      <c r="H81" s="56"/>
      <c r="I81" s="57">
        <f t="shared" si="17"/>
        <v>41</v>
      </c>
      <c r="J81" s="57">
        <f t="shared" si="18"/>
        <v>164000</v>
      </c>
      <c r="K81" s="58">
        <f t="shared" si="19"/>
        <v>37781.090000000004</v>
      </c>
      <c r="L81" s="351"/>
    </row>
    <row r="82" spans="1:12" x14ac:dyDescent="0.25">
      <c r="A82" s="155">
        <v>11</v>
      </c>
      <c r="B82" s="61" t="s">
        <v>272</v>
      </c>
      <c r="C82" s="81">
        <v>7000</v>
      </c>
      <c r="D82" s="145">
        <v>1508.95</v>
      </c>
      <c r="E82" s="43">
        <v>0</v>
      </c>
      <c r="F82" s="61"/>
      <c r="G82" s="142">
        <f t="shared" si="16"/>
        <v>0</v>
      </c>
      <c r="H82" s="56">
        <f>10-10</f>
        <v>0</v>
      </c>
      <c r="I82" s="57">
        <f t="shared" si="17"/>
        <v>0</v>
      </c>
      <c r="J82" s="57">
        <f t="shared" si="18"/>
        <v>0</v>
      </c>
      <c r="K82" s="58">
        <f t="shared" si="19"/>
        <v>0</v>
      </c>
      <c r="L82" s="351"/>
    </row>
    <row r="83" spans="1:12" x14ac:dyDescent="0.25">
      <c r="A83" s="155">
        <v>12</v>
      </c>
      <c r="B83" s="61" t="s">
        <v>56</v>
      </c>
      <c r="C83" s="81">
        <v>16000</v>
      </c>
      <c r="D83" s="145">
        <v>3685.96</v>
      </c>
      <c r="E83" s="43">
        <v>106</v>
      </c>
      <c r="F83" s="61"/>
      <c r="G83" s="142">
        <f t="shared" si="16"/>
        <v>106</v>
      </c>
      <c r="H83" s="56"/>
      <c r="I83" s="57">
        <f t="shared" si="17"/>
        <v>106</v>
      </c>
      <c r="J83" s="57">
        <f t="shared" si="18"/>
        <v>1696000</v>
      </c>
      <c r="K83" s="58">
        <f t="shared" si="19"/>
        <v>390711.76</v>
      </c>
      <c r="L83" s="351"/>
    </row>
    <row r="84" spans="1:12" x14ac:dyDescent="0.25">
      <c r="A84" s="155">
        <v>13</v>
      </c>
      <c r="B84" s="61" t="s">
        <v>158</v>
      </c>
      <c r="C84" s="81">
        <v>8000</v>
      </c>
      <c r="D84" s="145">
        <v>1842.98</v>
      </c>
      <c r="E84" s="43">
        <v>0</v>
      </c>
      <c r="F84" s="61"/>
      <c r="G84" s="142">
        <f t="shared" si="16"/>
        <v>0</v>
      </c>
      <c r="H84" s="56">
        <f>9-9</f>
        <v>0</v>
      </c>
      <c r="I84" s="57">
        <f t="shared" si="17"/>
        <v>0</v>
      </c>
      <c r="J84" s="57">
        <f t="shared" si="18"/>
        <v>0</v>
      </c>
      <c r="K84" s="58">
        <f t="shared" si="19"/>
        <v>0</v>
      </c>
      <c r="L84" s="351"/>
    </row>
    <row r="85" spans="1:12" x14ac:dyDescent="0.25">
      <c r="A85" s="155">
        <v>14</v>
      </c>
      <c r="B85" s="61" t="s">
        <v>273</v>
      </c>
      <c r="C85" s="81">
        <v>35000</v>
      </c>
      <c r="D85" s="145">
        <v>24143.599999999999</v>
      </c>
      <c r="E85" s="43">
        <v>93</v>
      </c>
      <c r="F85" s="61"/>
      <c r="G85" s="142">
        <f t="shared" si="16"/>
        <v>93</v>
      </c>
      <c r="H85" s="56"/>
      <c r="I85" s="57">
        <f t="shared" si="17"/>
        <v>93</v>
      </c>
      <c r="J85" s="57">
        <f t="shared" si="18"/>
        <v>3255000</v>
      </c>
      <c r="K85" s="58">
        <f t="shared" si="19"/>
        <v>2245354.7999999998</v>
      </c>
      <c r="L85" s="351"/>
    </row>
    <row r="86" spans="1:12" x14ac:dyDescent="0.25">
      <c r="A86" s="155">
        <v>15</v>
      </c>
      <c r="B86" s="61" t="s">
        <v>274</v>
      </c>
      <c r="C86" s="81">
        <v>5000</v>
      </c>
      <c r="D86" s="145">
        <v>1226.98</v>
      </c>
      <c r="E86" s="43">
        <v>0</v>
      </c>
      <c r="F86" s="61"/>
      <c r="G86" s="142">
        <f t="shared" si="16"/>
        <v>0</v>
      </c>
      <c r="H86" s="56">
        <f>3-3</f>
        <v>0</v>
      </c>
      <c r="I86" s="57">
        <f t="shared" si="17"/>
        <v>0</v>
      </c>
      <c r="J86" s="57">
        <f t="shared" si="18"/>
        <v>0</v>
      </c>
      <c r="K86" s="58">
        <f t="shared" si="19"/>
        <v>0</v>
      </c>
      <c r="L86" s="351"/>
    </row>
    <row r="87" spans="1:12" ht="15.75" thickBot="1" x14ac:dyDescent="0.3">
      <c r="A87" s="156">
        <v>16</v>
      </c>
      <c r="B87" s="159" t="s">
        <v>275</v>
      </c>
      <c r="C87" s="83">
        <v>5000</v>
      </c>
      <c r="D87" s="148">
        <v>1226.98</v>
      </c>
      <c r="E87" s="157">
        <v>105</v>
      </c>
      <c r="F87" s="159"/>
      <c r="G87" s="150">
        <f t="shared" si="16"/>
        <v>105</v>
      </c>
      <c r="H87" s="59"/>
      <c r="I87" s="65">
        <f t="shared" si="17"/>
        <v>105</v>
      </c>
      <c r="J87" s="65">
        <f t="shared" si="18"/>
        <v>525000</v>
      </c>
      <c r="K87" s="66">
        <f t="shared" si="19"/>
        <v>128832.90000000001</v>
      </c>
      <c r="L87" s="351"/>
    </row>
    <row r="88" spans="1:12" ht="15.75" thickBot="1" x14ac:dyDescent="0.3">
      <c r="A88" s="131"/>
      <c r="B88" s="122" t="s">
        <v>664</v>
      </c>
      <c r="C88" s="36"/>
      <c r="D88" s="36"/>
      <c r="E88" s="29">
        <f>SUM(E72:E87)</f>
        <v>952</v>
      </c>
      <c r="F88" s="29">
        <f>SUM(F72:F87)</f>
        <v>0</v>
      </c>
      <c r="G88" s="29">
        <f>SUM(G72:G87)</f>
        <v>952</v>
      </c>
      <c r="H88" s="29">
        <f>SUM(H72:H87)</f>
        <v>0</v>
      </c>
      <c r="I88" s="29">
        <f>SUM(I72:I87)</f>
        <v>952</v>
      </c>
      <c r="J88" s="29">
        <f t="shared" ref="J88:K88" si="20">SUM(J72:J87)</f>
        <v>10187000</v>
      </c>
      <c r="K88" s="47">
        <f t="shared" si="20"/>
        <v>3845344.69</v>
      </c>
      <c r="L88" s="218"/>
    </row>
    <row r="89" spans="1:12" ht="15.75" thickBot="1" x14ac:dyDescent="0.3">
      <c r="B89" s="164"/>
      <c r="C89" s="165"/>
      <c r="D89" s="166"/>
      <c r="E89" s="167"/>
      <c r="F89" s="68"/>
      <c r="G89" s="167"/>
      <c r="H89" s="167"/>
      <c r="I89" s="167"/>
      <c r="J89" s="167"/>
      <c r="K89" s="166"/>
      <c r="L89" s="166"/>
    </row>
    <row r="90" spans="1:12" ht="15.75" thickBot="1" x14ac:dyDescent="0.3">
      <c r="A90" s="365" t="s">
        <v>657</v>
      </c>
      <c r="B90" s="372" t="s">
        <v>708</v>
      </c>
      <c r="C90" s="372" t="s">
        <v>1</v>
      </c>
      <c r="D90" s="373" t="s">
        <v>649</v>
      </c>
      <c r="E90" s="374" t="s">
        <v>19</v>
      </c>
      <c r="F90" s="374"/>
      <c r="G90" s="374"/>
      <c r="H90" s="374"/>
      <c r="I90" s="374"/>
      <c r="J90" s="368" t="s">
        <v>21</v>
      </c>
      <c r="K90" s="370" t="s">
        <v>602</v>
      </c>
      <c r="L90" s="349"/>
    </row>
    <row r="91" spans="1:12" ht="30.75" thickBot="1" x14ac:dyDescent="0.3">
      <c r="A91" s="366"/>
      <c r="B91" s="372"/>
      <c r="C91" s="372"/>
      <c r="D91" s="373"/>
      <c r="E91" s="69" t="s">
        <v>22</v>
      </c>
      <c r="F91" s="69" t="s">
        <v>600</v>
      </c>
      <c r="G91" s="69" t="s">
        <v>601</v>
      </c>
      <c r="H91" s="69" t="s">
        <v>589</v>
      </c>
      <c r="I91" s="69" t="s">
        <v>601</v>
      </c>
      <c r="J91" s="369"/>
      <c r="K91" s="371"/>
      <c r="L91" s="349"/>
    </row>
    <row r="92" spans="1:12" ht="15.75" thickBot="1" x14ac:dyDescent="0.3">
      <c r="A92" s="367"/>
      <c r="B92" s="188">
        <v>1</v>
      </c>
      <c r="C92" s="188">
        <v>2</v>
      </c>
      <c r="D92" s="188">
        <v>3</v>
      </c>
      <c r="E92" s="71">
        <v>4</v>
      </c>
      <c r="F92" s="71">
        <f>+E92+1</f>
        <v>5</v>
      </c>
      <c r="G92" s="71" t="s">
        <v>652</v>
      </c>
      <c r="H92" s="71">
        <v>7</v>
      </c>
      <c r="I92" s="72" t="s">
        <v>651</v>
      </c>
      <c r="J92" s="42" t="s">
        <v>650</v>
      </c>
      <c r="K92" s="42" t="s">
        <v>653</v>
      </c>
      <c r="L92" s="350"/>
    </row>
    <row r="93" spans="1:12" x14ac:dyDescent="0.25">
      <c r="A93" s="163"/>
      <c r="B93" s="73" t="s">
        <v>700</v>
      </c>
      <c r="C93" s="55"/>
      <c r="D93" s="55"/>
      <c r="E93" s="55"/>
      <c r="F93" s="55"/>
      <c r="G93" s="55"/>
      <c r="H93" s="55"/>
      <c r="I93" s="55"/>
      <c r="J93" s="55"/>
      <c r="K93" s="55"/>
      <c r="L93" s="135"/>
    </row>
    <row r="94" spans="1:12" x14ac:dyDescent="0.25">
      <c r="A94" s="155">
        <v>1</v>
      </c>
      <c r="B94" s="61" t="s">
        <v>276</v>
      </c>
      <c r="C94" s="81">
        <v>5000</v>
      </c>
      <c r="D94" s="145">
        <v>1226.98</v>
      </c>
      <c r="E94" s="43">
        <v>3053</v>
      </c>
      <c r="F94" s="61"/>
      <c r="G94" s="142">
        <f t="shared" ref="G94:G120" si="21">+E94+F94</f>
        <v>3053</v>
      </c>
      <c r="H94" s="56"/>
      <c r="I94" s="57">
        <f t="shared" ref="I94:I120" si="22">+G94-H94</f>
        <v>3053</v>
      </c>
      <c r="J94" s="57">
        <f t="shared" ref="J94:J120" si="23">I94*C94</f>
        <v>15265000</v>
      </c>
      <c r="K94" s="58">
        <f t="shared" ref="K94:K120" si="24">+D94*I94</f>
        <v>3745969.94</v>
      </c>
      <c r="L94" s="351"/>
    </row>
    <row r="95" spans="1:12" x14ac:dyDescent="0.25">
      <c r="A95" s="155">
        <v>2</v>
      </c>
      <c r="B95" s="61" t="s">
        <v>277</v>
      </c>
      <c r="C95" s="81">
        <v>10000</v>
      </c>
      <c r="D95" s="145">
        <v>6019.38</v>
      </c>
      <c r="E95" s="43">
        <v>3248</v>
      </c>
      <c r="F95" s="61"/>
      <c r="G95" s="142">
        <f t="shared" si="21"/>
        <v>3248</v>
      </c>
      <c r="H95" s="56"/>
      <c r="I95" s="57">
        <f t="shared" si="22"/>
        <v>3248</v>
      </c>
      <c r="J95" s="57">
        <f t="shared" si="23"/>
        <v>32480000</v>
      </c>
      <c r="K95" s="58">
        <f t="shared" si="24"/>
        <v>19550946.240000002</v>
      </c>
      <c r="L95" s="351"/>
    </row>
    <row r="96" spans="1:12" x14ac:dyDescent="0.25">
      <c r="A96" s="155">
        <v>3</v>
      </c>
      <c r="B96" s="61" t="s">
        <v>278</v>
      </c>
      <c r="C96" s="81">
        <v>10000</v>
      </c>
      <c r="D96" s="145">
        <v>2453.96</v>
      </c>
      <c r="E96" s="43">
        <v>235</v>
      </c>
      <c r="F96" s="61"/>
      <c r="G96" s="142">
        <f t="shared" si="21"/>
        <v>235</v>
      </c>
      <c r="H96" s="56"/>
      <c r="I96" s="57">
        <f t="shared" si="22"/>
        <v>235</v>
      </c>
      <c r="J96" s="57">
        <f t="shared" si="23"/>
        <v>2350000</v>
      </c>
      <c r="K96" s="58">
        <f t="shared" si="24"/>
        <v>576680.6</v>
      </c>
      <c r="L96" s="351"/>
    </row>
    <row r="97" spans="1:12" x14ac:dyDescent="0.25">
      <c r="A97" s="155">
        <v>4</v>
      </c>
      <c r="B97" s="61" t="s">
        <v>279</v>
      </c>
      <c r="C97" s="81">
        <v>7000</v>
      </c>
      <c r="D97" s="145">
        <v>1508.95</v>
      </c>
      <c r="E97" s="43">
        <v>2033</v>
      </c>
      <c r="F97" s="61"/>
      <c r="G97" s="142">
        <f t="shared" si="21"/>
        <v>2033</v>
      </c>
      <c r="H97" s="56"/>
      <c r="I97" s="57">
        <f t="shared" si="22"/>
        <v>2033</v>
      </c>
      <c r="J97" s="57">
        <f t="shared" si="23"/>
        <v>14231000</v>
      </c>
      <c r="K97" s="58">
        <f t="shared" si="24"/>
        <v>3067695.35</v>
      </c>
      <c r="L97" s="351"/>
    </row>
    <row r="98" spans="1:12" x14ac:dyDescent="0.25">
      <c r="A98" s="155">
        <v>5</v>
      </c>
      <c r="B98" s="61" t="s">
        <v>280</v>
      </c>
      <c r="C98" s="81">
        <v>7000</v>
      </c>
      <c r="D98" s="145">
        <v>1508.95</v>
      </c>
      <c r="E98" s="43">
        <v>2024</v>
      </c>
      <c r="F98" s="61"/>
      <c r="G98" s="142">
        <f t="shared" si="21"/>
        <v>2024</v>
      </c>
      <c r="H98" s="56"/>
      <c r="I98" s="57">
        <f t="shared" si="22"/>
        <v>2024</v>
      </c>
      <c r="J98" s="57">
        <f t="shared" si="23"/>
        <v>14168000</v>
      </c>
      <c r="K98" s="58">
        <f t="shared" si="24"/>
        <v>3054114.8000000003</v>
      </c>
      <c r="L98" s="351"/>
    </row>
    <row r="99" spans="1:12" x14ac:dyDescent="0.25">
      <c r="A99" s="155">
        <v>6</v>
      </c>
      <c r="B99" s="61" t="s">
        <v>281</v>
      </c>
      <c r="C99" s="81">
        <v>5000</v>
      </c>
      <c r="D99" s="145">
        <v>1226.98</v>
      </c>
      <c r="E99" s="43">
        <v>88</v>
      </c>
      <c r="F99" s="61"/>
      <c r="G99" s="142">
        <f t="shared" si="21"/>
        <v>88</v>
      </c>
      <c r="H99" s="56"/>
      <c r="I99" s="57">
        <f t="shared" si="22"/>
        <v>88</v>
      </c>
      <c r="J99" s="57">
        <f t="shared" si="23"/>
        <v>440000</v>
      </c>
      <c r="K99" s="58">
        <f t="shared" si="24"/>
        <v>107974.24</v>
      </c>
      <c r="L99" s="351"/>
    </row>
    <row r="100" spans="1:12" x14ac:dyDescent="0.25">
      <c r="A100" s="155">
        <v>7</v>
      </c>
      <c r="B100" s="225" t="s">
        <v>282</v>
      </c>
      <c r="C100" s="81">
        <v>10000</v>
      </c>
      <c r="D100" s="145">
        <v>2453.96</v>
      </c>
      <c r="E100" s="43">
        <v>0</v>
      </c>
      <c r="F100" s="61"/>
      <c r="G100" s="142">
        <f t="shared" si="21"/>
        <v>0</v>
      </c>
      <c r="H100" s="56">
        <f>10-10</f>
        <v>0</v>
      </c>
      <c r="I100" s="57">
        <f t="shared" si="22"/>
        <v>0</v>
      </c>
      <c r="J100" s="57">
        <f t="shared" si="23"/>
        <v>0</v>
      </c>
      <c r="K100" s="58">
        <f t="shared" si="24"/>
        <v>0</v>
      </c>
      <c r="L100" s="351"/>
    </row>
    <row r="101" spans="1:12" x14ac:dyDescent="0.25">
      <c r="A101" s="155">
        <v>8</v>
      </c>
      <c r="B101" s="225" t="s">
        <v>283</v>
      </c>
      <c r="C101" s="81">
        <v>7000</v>
      </c>
      <c r="D101" s="145">
        <v>1508.95</v>
      </c>
      <c r="E101" s="43">
        <v>0</v>
      </c>
      <c r="F101" s="61"/>
      <c r="G101" s="142">
        <f t="shared" si="21"/>
        <v>0</v>
      </c>
      <c r="H101" s="56">
        <f>2-2</f>
        <v>0</v>
      </c>
      <c r="I101" s="57">
        <f t="shared" si="22"/>
        <v>0</v>
      </c>
      <c r="J101" s="57">
        <f t="shared" si="23"/>
        <v>0</v>
      </c>
      <c r="K101" s="58">
        <f t="shared" si="24"/>
        <v>0</v>
      </c>
      <c r="L101" s="351"/>
    </row>
    <row r="102" spans="1:12" x14ac:dyDescent="0.25">
      <c r="A102" s="155">
        <v>9</v>
      </c>
      <c r="B102" s="225" t="s">
        <v>284</v>
      </c>
      <c r="C102" s="81">
        <v>25000</v>
      </c>
      <c r="D102" s="145">
        <v>2453.96</v>
      </c>
      <c r="E102" s="43">
        <v>78</v>
      </c>
      <c r="F102" s="61"/>
      <c r="G102" s="142">
        <f t="shared" si="21"/>
        <v>78</v>
      </c>
      <c r="H102" s="56"/>
      <c r="I102" s="57">
        <f t="shared" si="22"/>
        <v>78</v>
      </c>
      <c r="J102" s="57">
        <f t="shared" si="23"/>
        <v>1950000</v>
      </c>
      <c r="K102" s="58">
        <f t="shared" si="24"/>
        <v>191408.88</v>
      </c>
      <c r="L102" s="351"/>
    </row>
    <row r="103" spans="1:12" x14ac:dyDescent="0.25">
      <c r="A103" s="155">
        <v>10</v>
      </c>
      <c r="B103" s="61" t="s">
        <v>285</v>
      </c>
      <c r="C103" s="81">
        <v>2000</v>
      </c>
      <c r="D103" s="145">
        <v>880</v>
      </c>
      <c r="E103" s="43">
        <v>288</v>
      </c>
      <c r="F103" s="61"/>
      <c r="G103" s="142">
        <f t="shared" si="21"/>
        <v>288</v>
      </c>
      <c r="H103" s="56"/>
      <c r="I103" s="57">
        <f t="shared" si="22"/>
        <v>288</v>
      </c>
      <c r="J103" s="57">
        <f t="shared" si="23"/>
        <v>576000</v>
      </c>
      <c r="K103" s="58">
        <f t="shared" si="24"/>
        <v>253440</v>
      </c>
      <c r="L103" s="351"/>
    </row>
    <row r="104" spans="1:12" x14ac:dyDescent="0.25">
      <c r="A104" s="155">
        <v>11</v>
      </c>
      <c r="B104" s="61" t="s">
        <v>286</v>
      </c>
      <c r="C104" s="81">
        <v>20000</v>
      </c>
      <c r="D104" s="145">
        <v>4907.92</v>
      </c>
      <c r="E104" s="43">
        <v>20</v>
      </c>
      <c r="F104" s="61"/>
      <c r="G104" s="142">
        <f t="shared" si="21"/>
        <v>20</v>
      </c>
      <c r="H104" s="56"/>
      <c r="I104" s="57">
        <f t="shared" si="22"/>
        <v>20</v>
      </c>
      <c r="J104" s="57">
        <f t="shared" si="23"/>
        <v>400000</v>
      </c>
      <c r="K104" s="58">
        <f t="shared" si="24"/>
        <v>98158.399999999994</v>
      </c>
      <c r="L104" s="351"/>
    </row>
    <row r="105" spans="1:12" x14ac:dyDescent="0.25">
      <c r="A105" s="155">
        <v>12</v>
      </c>
      <c r="B105" s="61" t="s">
        <v>287</v>
      </c>
      <c r="C105" s="81">
        <v>5000</v>
      </c>
      <c r="D105" s="145">
        <v>1226.98</v>
      </c>
      <c r="E105" s="43">
        <v>65</v>
      </c>
      <c r="F105" s="61"/>
      <c r="G105" s="142">
        <f t="shared" si="21"/>
        <v>65</v>
      </c>
      <c r="H105" s="56"/>
      <c r="I105" s="57">
        <f t="shared" si="22"/>
        <v>65</v>
      </c>
      <c r="J105" s="57">
        <f t="shared" si="23"/>
        <v>325000</v>
      </c>
      <c r="K105" s="58">
        <f t="shared" si="24"/>
        <v>79753.7</v>
      </c>
      <c r="L105" s="351"/>
    </row>
    <row r="106" spans="1:12" x14ac:dyDescent="0.25">
      <c r="A106" s="155">
        <v>13</v>
      </c>
      <c r="B106" s="224" t="s">
        <v>288</v>
      </c>
      <c r="C106" s="81">
        <v>8000</v>
      </c>
      <c r="D106" s="145">
        <v>1842.98</v>
      </c>
      <c r="E106" s="43">
        <v>52</v>
      </c>
      <c r="F106" s="61"/>
      <c r="G106" s="142">
        <f t="shared" si="21"/>
        <v>52</v>
      </c>
      <c r="H106" s="56"/>
      <c r="I106" s="57">
        <f t="shared" si="22"/>
        <v>52</v>
      </c>
      <c r="J106" s="57">
        <f t="shared" si="23"/>
        <v>416000</v>
      </c>
      <c r="K106" s="58">
        <f t="shared" si="24"/>
        <v>95834.96</v>
      </c>
      <c r="L106" s="351"/>
    </row>
    <row r="107" spans="1:12" x14ac:dyDescent="0.25">
      <c r="A107" s="155">
        <v>14</v>
      </c>
      <c r="B107" s="61" t="s">
        <v>289</v>
      </c>
      <c r="C107" s="81">
        <v>7000</v>
      </c>
      <c r="D107" s="145">
        <v>1508.95</v>
      </c>
      <c r="E107" s="43">
        <v>225</v>
      </c>
      <c r="F107" s="61"/>
      <c r="G107" s="142">
        <f t="shared" si="21"/>
        <v>225</v>
      </c>
      <c r="H107" s="56"/>
      <c r="I107" s="57">
        <f t="shared" si="22"/>
        <v>225</v>
      </c>
      <c r="J107" s="57">
        <f t="shared" si="23"/>
        <v>1575000</v>
      </c>
      <c r="K107" s="58">
        <f t="shared" si="24"/>
        <v>339513.75</v>
      </c>
      <c r="L107" s="351"/>
    </row>
    <row r="108" spans="1:12" x14ac:dyDescent="0.25">
      <c r="A108" s="155">
        <v>15</v>
      </c>
      <c r="B108" s="61" t="s">
        <v>290</v>
      </c>
      <c r="C108" s="81">
        <v>32500</v>
      </c>
      <c r="D108" s="145">
        <v>14723.76</v>
      </c>
      <c r="E108" s="43">
        <v>373</v>
      </c>
      <c r="F108" s="61"/>
      <c r="G108" s="142">
        <f t="shared" si="21"/>
        <v>373</v>
      </c>
      <c r="H108" s="56"/>
      <c r="I108" s="57">
        <f t="shared" si="22"/>
        <v>373</v>
      </c>
      <c r="J108" s="57">
        <f t="shared" si="23"/>
        <v>12122500</v>
      </c>
      <c r="K108" s="58">
        <f t="shared" si="24"/>
        <v>5491962.4800000004</v>
      </c>
      <c r="L108" s="351"/>
    </row>
    <row r="109" spans="1:12" x14ac:dyDescent="0.25">
      <c r="A109" s="155">
        <v>16</v>
      </c>
      <c r="B109" s="61" t="s">
        <v>291</v>
      </c>
      <c r="C109" s="81">
        <v>5000</v>
      </c>
      <c r="D109" s="145">
        <v>1226.98</v>
      </c>
      <c r="E109" s="43">
        <v>0</v>
      </c>
      <c r="F109" s="61"/>
      <c r="G109" s="142">
        <f t="shared" si="21"/>
        <v>0</v>
      </c>
      <c r="H109" s="56">
        <f>14-14</f>
        <v>0</v>
      </c>
      <c r="I109" s="57">
        <f t="shared" si="22"/>
        <v>0</v>
      </c>
      <c r="J109" s="57">
        <f t="shared" si="23"/>
        <v>0</v>
      </c>
      <c r="K109" s="58">
        <f t="shared" si="24"/>
        <v>0</v>
      </c>
      <c r="L109" s="351"/>
    </row>
    <row r="110" spans="1:12" x14ac:dyDescent="0.25">
      <c r="A110" s="155">
        <v>17</v>
      </c>
      <c r="B110" s="61" t="s">
        <v>292</v>
      </c>
      <c r="C110" s="81">
        <v>5000</v>
      </c>
      <c r="D110" s="145">
        <v>1226.98</v>
      </c>
      <c r="E110" s="43">
        <v>38</v>
      </c>
      <c r="F110" s="61"/>
      <c r="G110" s="142">
        <f t="shared" si="21"/>
        <v>38</v>
      </c>
      <c r="H110" s="56"/>
      <c r="I110" s="57">
        <f t="shared" si="22"/>
        <v>38</v>
      </c>
      <c r="J110" s="57">
        <f t="shared" si="23"/>
        <v>190000</v>
      </c>
      <c r="K110" s="58">
        <f t="shared" si="24"/>
        <v>46625.24</v>
      </c>
      <c r="L110" s="351"/>
    </row>
    <row r="111" spans="1:12" x14ac:dyDescent="0.25">
      <c r="A111" s="155">
        <v>18</v>
      </c>
      <c r="B111" s="61" t="s">
        <v>293</v>
      </c>
      <c r="C111" s="81">
        <v>5000</v>
      </c>
      <c r="D111" s="145">
        <v>1226.98</v>
      </c>
      <c r="E111" s="43">
        <v>0</v>
      </c>
      <c r="F111" s="61"/>
      <c r="G111" s="142">
        <f t="shared" si="21"/>
        <v>0</v>
      </c>
      <c r="H111" s="56">
        <f>14-14</f>
        <v>0</v>
      </c>
      <c r="I111" s="57">
        <f t="shared" si="22"/>
        <v>0</v>
      </c>
      <c r="J111" s="57">
        <f t="shared" si="23"/>
        <v>0</v>
      </c>
      <c r="K111" s="58">
        <f t="shared" si="24"/>
        <v>0</v>
      </c>
      <c r="L111" s="351"/>
    </row>
    <row r="112" spans="1:12" x14ac:dyDescent="0.25">
      <c r="A112" s="155">
        <v>19</v>
      </c>
      <c r="B112" s="61" t="s">
        <v>294</v>
      </c>
      <c r="C112" s="81">
        <v>8000</v>
      </c>
      <c r="D112" s="145">
        <v>1842.98</v>
      </c>
      <c r="E112" s="43">
        <v>0</v>
      </c>
      <c r="F112" s="61"/>
      <c r="G112" s="142">
        <f t="shared" si="21"/>
        <v>0</v>
      </c>
      <c r="H112" s="56">
        <f>22-22</f>
        <v>0</v>
      </c>
      <c r="I112" s="57">
        <f t="shared" si="22"/>
        <v>0</v>
      </c>
      <c r="J112" s="57">
        <f t="shared" si="23"/>
        <v>0</v>
      </c>
      <c r="K112" s="58">
        <f t="shared" si="24"/>
        <v>0</v>
      </c>
      <c r="L112" s="351"/>
    </row>
    <row r="113" spans="1:12" x14ac:dyDescent="0.25">
      <c r="A113" s="155">
        <v>20</v>
      </c>
      <c r="B113" s="216" t="s">
        <v>772</v>
      </c>
      <c r="C113" s="81">
        <v>5000</v>
      </c>
      <c r="D113" s="145">
        <v>1226.98</v>
      </c>
      <c r="E113" s="43">
        <v>39</v>
      </c>
      <c r="F113" s="61"/>
      <c r="G113" s="142">
        <f t="shared" si="21"/>
        <v>39</v>
      </c>
      <c r="H113" s="56"/>
      <c r="I113" s="57">
        <f t="shared" si="22"/>
        <v>39</v>
      </c>
      <c r="J113" s="57">
        <f t="shared" si="23"/>
        <v>195000</v>
      </c>
      <c r="K113" s="58">
        <f t="shared" si="24"/>
        <v>47852.22</v>
      </c>
      <c r="L113" s="351"/>
    </row>
    <row r="114" spans="1:12" x14ac:dyDescent="0.25">
      <c r="A114" s="155">
        <v>21</v>
      </c>
      <c r="B114" s="61" t="s">
        <v>295</v>
      </c>
      <c r="C114" s="81">
        <v>8000</v>
      </c>
      <c r="D114" s="145">
        <v>1842.98</v>
      </c>
      <c r="E114" s="43">
        <v>138</v>
      </c>
      <c r="F114" s="61"/>
      <c r="G114" s="142">
        <f t="shared" si="21"/>
        <v>138</v>
      </c>
      <c r="H114" s="56"/>
      <c r="I114" s="57">
        <f t="shared" si="22"/>
        <v>138</v>
      </c>
      <c r="J114" s="57">
        <f t="shared" si="23"/>
        <v>1104000</v>
      </c>
      <c r="K114" s="58">
        <f t="shared" si="24"/>
        <v>254331.24</v>
      </c>
      <c r="L114" s="351"/>
    </row>
    <row r="115" spans="1:12" x14ac:dyDescent="0.25">
      <c r="A115" s="155">
        <v>22</v>
      </c>
      <c r="B115" s="61" t="s">
        <v>296</v>
      </c>
      <c r="C115" s="81">
        <v>7000</v>
      </c>
      <c r="D115" s="145">
        <v>1508.95</v>
      </c>
      <c r="E115" s="43">
        <v>204</v>
      </c>
      <c r="F115" s="61"/>
      <c r="G115" s="142">
        <f t="shared" si="21"/>
        <v>204</v>
      </c>
      <c r="H115" s="56"/>
      <c r="I115" s="57">
        <f t="shared" si="22"/>
        <v>204</v>
      </c>
      <c r="J115" s="57">
        <f t="shared" si="23"/>
        <v>1428000</v>
      </c>
      <c r="K115" s="58">
        <f t="shared" si="24"/>
        <v>307825.8</v>
      </c>
      <c r="L115" s="351"/>
    </row>
    <row r="116" spans="1:12" x14ac:dyDescent="0.25">
      <c r="A116" s="155">
        <v>23</v>
      </c>
      <c r="B116" s="61" t="s">
        <v>297</v>
      </c>
      <c r="C116" s="81">
        <v>12000</v>
      </c>
      <c r="D116" s="145">
        <v>1160.19</v>
      </c>
      <c r="E116" s="43">
        <v>75</v>
      </c>
      <c r="F116" s="61"/>
      <c r="G116" s="142">
        <f t="shared" si="21"/>
        <v>75</v>
      </c>
      <c r="H116" s="56"/>
      <c r="I116" s="57">
        <f t="shared" si="22"/>
        <v>75</v>
      </c>
      <c r="J116" s="57">
        <f t="shared" si="23"/>
        <v>900000</v>
      </c>
      <c r="K116" s="58">
        <f t="shared" si="24"/>
        <v>87014.25</v>
      </c>
      <c r="L116" s="351"/>
    </row>
    <row r="117" spans="1:12" x14ac:dyDescent="0.25">
      <c r="A117" s="155">
        <v>24</v>
      </c>
      <c r="B117" s="61" t="s">
        <v>298</v>
      </c>
      <c r="C117" s="81">
        <v>7000</v>
      </c>
      <c r="D117" s="145">
        <v>1160.19</v>
      </c>
      <c r="E117" s="43">
        <v>116</v>
      </c>
      <c r="F117" s="61"/>
      <c r="G117" s="142">
        <f t="shared" si="21"/>
        <v>116</v>
      </c>
      <c r="H117" s="56"/>
      <c r="I117" s="57">
        <f t="shared" si="22"/>
        <v>116</v>
      </c>
      <c r="J117" s="57">
        <f t="shared" si="23"/>
        <v>812000</v>
      </c>
      <c r="K117" s="58">
        <f t="shared" si="24"/>
        <v>134582.04</v>
      </c>
      <c r="L117" s="351"/>
    </row>
    <row r="118" spans="1:12" x14ac:dyDescent="0.25">
      <c r="A118" s="155">
        <v>25</v>
      </c>
      <c r="B118" s="61" t="s">
        <v>299</v>
      </c>
      <c r="C118" s="81">
        <v>12000</v>
      </c>
      <c r="D118" s="145">
        <v>1160.19</v>
      </c>
      <c r="E118" s="43">
        <v>65</v>
      </c>
      <c r="F118" s="61"/>
      <c r="G118" s="142">
        <f t="shared" si="21"/>
        <v>65</v>
      </c>
      <c r="H118" s="56"/>
      <c r="I118" s="57">
        <f t="shared" si="22"/>
        <v>65</v>
      </c>
      <c r="J118" s="57">
        <f t="shared" si="23"/>
        <v>780000</v>
      </c>
      <c r="K118" s="58">
        <f t="shared" si="24"/>
        <v>75412.350000000006</v>
      </c>
      <c r="L118" s="351"/>
    </row>
    <row r="119" spans="1:12" x14ac:dyDescent="0.25">
      <c r="A119" s="155">
        <v>26</v>
      </c>
      <c r="B119" s="61" t="s">
        <v>300</v>
      </c>
      <c r="C119" s="81">
        <v>6500</v>
      </c>
      <c r="D119" s="145">
        <v>1160.19</v>
      </c>
      <c r="E119" s="43">
        <v>105</v>
      </c>
      <c r="F119" s="61"/>
      <c r="G119" s="142">
        <f t="shared" si="21"/>
        <v>105</v>
      </c>
      <c r="H119" s="56"/>
      <c r="I119" s="57">
        <f t="shared" si="22"/>
        <v>105</v>
      </c>
      <c r="J119" s="57">
        <f t="shared" si="23"/>
        <v>682500</v>
      </c>
      <c r="K119" s="58">
        <f t="shared" si="24"/>
        <v>121819.95000000001</v>
      </c>
      <c r="L119" s="351"/>
    </row>
    <row r="120" spans="1:12" ht="15.75" thickBot="1" x14ac:dyDescent="0.3">
      <c r="A120" s="156">
        <v>27</v>
      </c>
      <c r="B120" s="159" t="s">
        <v>301</v>
      </c>
      <c r="C120" s="83">
        <v>15000</v>
      </c>
      <c r="D120" s="148">
        <f>+D119+7000</f>
        <v>8160.1900000000005</v>
      </c>
      <c r="E120" s="157">
        <v>108</v>
      </c>
      <c r="F120" s="159"/>
      <c r="G120" s="150">
        <f t="shared" si="21"/>
        <v>108</v>
      </c>
      <c r="H120" s="59"/>
      <c r="I120" s="65">
        <f t="shared" si="22"/>
        <v>108</v>
      </c>
      <c r="J120" s="65">
        <f t="shared" si="23"/>
        <v>1620000</v>
      </c>
      <c r="K120" s="66">
        <f t="shared" si="24"/>
        <v>881300.52</v>
      </c>
      <c r="L120" s="351"/>
    </row>
    <row r="121" spans="1:12" ht="15.75" thickBot="1" x14ac:dyDescent="0.3">
      <c r="A121" s="131"/>
      <c r="B121" s="122" t="s">
        <v>666</v>
      </c>
      <c r="C121" s="36"/>
      <c r="D121" s="29"/>
      <c r="E121" s="29">
        <f>SUM(E94:E120)</f>
        <v>12670</v>
      </c>
      <c r="F121" s="29">
        <f>SUM(F94:F120)</f>
        <v>0</v>
      </c>
      <c r="G121" s="29">
        <f>SUM(G94:G120)</f>
        <v>12670</v>
      </c>
      <c r="H121" s="29">
        <f>SUM(H94:H120)</f>
        <v>0</v>
      </c>
      <c r="I121" s="29">
        <f>SUM(I94:I120)</f>
        <v>12670</v>
      </c>
      <c r="J121" s="29">
        <f t="shared" ref="J121:K121" si="25">SUM(J94:J120)</f>
        <v>104010000</v>
      </c>
      <c r="K121" s="47">
        <f t="shared" si="25"/>
        <v>38610216.95000001</v>
      </c>
      <c r="L121" s="218"/>
    </row>
    <row r="122" spans="1:12" ht="15.75" thickBot="1" x14ac:dyDescent="0.3">
      <c r="B122" s="164"/>
      <c r="C122" s="165"/>
      <c r="D122" s="166"/>
      <c r="E122" s="167"/>
      <c r="F122" s="68"/>
      <c r="G122" s="167"/>
      <c r="H122" s="167"/>
      <c r="I122" s="167"/>
      <c r="J122" s="167"/>
      <c r="K122" s="166"/>
      <c r="L122" s="166"/>
    </row>
    <row r="123" spans="1:12" ht="15.75" thickBot="1" x14ac:dyDescent="0.3">
      <c r="A123" s="365" t="s">
        <v>657</v>
      </c>
      <c r="B123" s="372" t="s">
        <v>708</v>
      </c>
      <c r="C123" s="372" t="s">
        <v>1</v>
      </c>
      <c r="D123" s="373" t="s">
        <v>649</v>
      </c>
      <c r="E123" s="374" t="s">
        <v>19</v>
      </c>
      <c r="F123" s="374"/>
      <c r="G123" s="374"/>
      <c r="H123" s="374"/>
      <c r="I123" s="374"/>
      <c r="J123" s="368" t="s">
        <v>21</v>
      </c>
      <c r="K123" s="370" t="s">
        <v>602</v>
      </c>
      <c r="L123" s="349"/>
    </row>
    <row r="124" spans="1:12" ht="30.75" thickBot="1" x14ac:dyDescent="0.3">
      <c r="A124" s="366"/>
      <c r="B124" s="372"/>
      <c r="C124" s="372"/>
      <c r="D124" s="373"/>
      <c r="E124" s="69" t="s">
        <v>22</v>
      </c>
      <c r="F124" s="69" t="s">
        <v>600</v>
      </c>
      <c r="G124" s="69" t="s">
        <v>601</v>
      </c>
      <c r="H124" s="69" t="s">
        <v>589</v>
      </c>
      <c r="I124" s="69" t="s">
        <v>601</v>
      </c>
      <c r="J124" s="369"/>
      <c r="K124" s="371"/>
      <c r="L124" s="349"/>
    </row>
    <row r="125" spans="1:12" ht="15.75" thickBot="1" x14ac:dyDescent="0.3">
      <c r="A125" s="367"/>
      <c r="B125" s="188">
        <v>1</v>
      </c>
      <c r="C125" s="188">
        <v>2</v>
      </c>
      <c r="D125" s="188">
        <v>3</v>
      </c>
      <c r="E125" s="71">
        <v>4</v>
      </c>
      <c r="F125" s="71">
        <f>+E125+1</f>
        <v>5</v>
      </c>
      <c r="G125" s="71" t="s">
        <v>652</v>
      </c>
      <c r="H125" s="71">
        <v>7</v>
      </c>
      <c r="I125" s="72" t="s">
        <v>651</v>
      </c>
      <c r="J125" s="42" t="s">
        <v>650</v>
      </c>
      <c r="K125" s="42" t="s">
        <v>653</v>
      </c>
      <c r="L125" s="350"/>
    </row>
    <row r="126" spans="1:12" x14ac:dyDescent="0.25">
      <c r="A126" s="163"/>
      <c r="B126" s="73" t="s">
        <v>703</v>
      </c>
      <c r="C126" s="55"/>
      <c r="D126" s="55"/>
      <c r="E126" s="55"/>
      <c r="F126" s="55"/>
      <c r="G126" s="55"/>
      <c r="H126" s="55"/>
      <c r="I126" s="55"/>
      <c r="J126" s="55"/>
      <c r="K126" s="55"/>
      <c r="L126" s="135"/>
    </row>
    <row r="127" spans="1:12" x14ac:dyDescent="0.25">
      <c r="A127" s="155">
        <v>1</v>
      </c>
      <c r="B127" s="61" t="s">
        <v>302</v>
      </c>
      <c r="C127" s="81">
        <v>5000</v>
      </c>
      <c r="D127" s="145">
        <v>1151.21</v>
      </c>
      <c r="E127" s="43">
        <v>0</v>
      </c>
      <c r="F127" s="61"/>
      <c r="G127" s="142">
        <f t="shared" ref="G127:G181" si="26">+E127+F127</f>
        <v>0</v>
      </c>
      <c r="H127" s="56">
        <f>22-22</f>
        <v>0</v>
      </c>
      <c r="I127" s="57">
        <f t="shared" ref="I127:I181" si="27">+G127-H127</f>
        <v>0</v>
      </c>
      <c r="J127" s="57">
        <f t="shared" ref="J127:J181" si="28">I127*C127</f>
        <v>0</v>
      </c>
      <c r="K127" s="58">
        <f t="shared" ref="K127:K181" si="29">+D127*I127</f>
        <v>0</v>
      </c>
      <c r="L127" s="351"/>
    </row>
    <row r="128" spans="1:12" x14ac:dyDescent="0.25">
      <c r="A128" s="155">
        <v>2</v>
      </c>
      <c r="B128" s="61" t="s">
        <v>303</v>
      </c>
      <c r="C128" s="81">
        <v>5000</v>
      </c>
      <c r="D128" s="145">
        <v>1261.21</v>
      </c>
      <c r="E128" s="43">
        <v>0</v>
      </c>
      <c r="F128" s="61"/>
      <c r="G128" s="142">
        <f t="shared" si="26"/>
        <v>0</v>
      </c>
      <c r="H128" s="56">
        <f>11-11</f>
        <v>0</v>
      </c>
      <c r="I128" s="57">
        <f t="shared" si="27"/>
        <v>0</v>
      </c>
      <c r="J128" s="57">
        <f t="shared" si="28"/>
        <v>0</v>
      </c>
      <c r="K128" s="58">
        <f t="shared" si="29"/>
        <v>0</v>
      </c>
      <c r="L128" s="351"/>
    </row>
    <row r="129" spans="1:14" x14ac:dyDescent="0.25">
      <c r="A129" s="155">
        <v>3</v>
      </c>
      <c r="B129" s="61" t="s">
        <v>304</v>
      </c>
      <c r="C129" s="81">
        <v>8000</v>
      </c>
      <c r="D129" s="145">
        <v>1920.45</v>
      </c>
      <c r="E129" s="43">
        <v>157</v>
      </c>
      <c r="F129" s="61"/>
      <c r="G129" s="142">
        <f t="shared" si="26"/>
        <v>157</v>
      </c>
      <c r="H129" s="56"/>
      <c r="I129" s="57">
        <f t="shared" si="27"/>
        <v>157</v>
      </c>
      <c r="J129" s="57">
        <f t="shared" si="28"/>
        <v>1256000</v>
      </c>
      <c r="K129" s="58">
        <f t="shared" si="29"/>
        <v>301510.65000000002</v>
      </c>
      <c r="L129" s="351"/>
    </row>
    <row r="130" spans="1:14" x14ac:dyDescent="0.25">
      <c r="A130" s="155">
        <v>4</v>
      </c>
      <c r="B130" s="61" t="s">
        <v>305</v>
      </c>
      <c r="C130" s="81">
        <v>7000</v>
      </c>
      <c r="D130" s="145">
        <v>2812.06</v>
      </c>
      <c r="E130" s="43">
        <v>332</v>
      </c>
      <c r="F130" s="61"/>
      <c r="G130" s="142">
        <f t="shared" si="26"/>
        <v>332</v>
      </c>
      <c r="H130" s="56"/>
      <c r="I130" s="57">
        <f t="shared" si="27"/>
        <v>332</v>
      </c>
      <c r="J130" s="57">
        <f t="shared" si="28"/>
        <v>2324000</v>
      </c>
      <c r="K130" s="58">
        <f t="shared" si="29"/>
        <v>933603.91999999993</v>
      </c>
      <c r="L130" s="351"/>
    </row>
    <row r="131" spans="1:14" x14ac:dyDescent="0.25">
      <c r="A131" s="155">
        <v>5</v>
      </c>
      <c r="B131" s="226" t="s">
        <v>306</v>
      </c>
      <c r="C131" s="81">
        <v>5000</v>
      </c>
      <c r="D131" s="145">
        <v>1151.21</v>
      </c>
      <c r="E131" s="43">
        <v>0</v>
      </c>
      <c r="F131" s="61"/>
      <c r="G131" s="142">
        <f t="shared" si="26"/>
        <v>0</v>
      </c>
      <c r="H131" s="56">
        <f>17-17</f>
        <v>0</v>
      </c>
      <c r="I131" s="57">
        <f t="shared" si="27"/>
        <v>0</v>
      </c>
      <c r="J131" s="57">
        <f t="shared" si="28"/>
        <v>0</v>
      </c>
      <c r="K131" s="58">
        <f t="shared" si="29"/>
        <v>0</v>
      </c>
      <c r="L131" s="351"/>
    </row>
    <row r="132" spans="1:14" x14ac:dyDescent="0.25">
      <c r="A132" s="155">
        <v>6</v>
      </c>
      <c r="B132" s="61" t="s">
        <v>307</v>
      </c>
      <c r="C132" s="81">
        <v>12000</v>
      </c>
      <c r="D132" s="145">
        <v>1686.73</v>
      </c>
      <c r="E132" s="43">
        <v>278</v>
      </c>
      <c r="F132" s="61"/>
      <c r="G132" s="142">
        <f t="shared" si="26"/>
        <v>278</v>
      </c>
      <c r="H132" s="56"/>
      <c r="I132" s="57">
        <f t="shared" si="27"/>
        <v>278</v>
      </c>
      <c r="J132" s="57">
        <f t="shared" si="28"/>
        <v>3336000</v>
      </c>
      <c r="K132" s="58">
        <f t="shared" si="29"/>
        <v>468910.94</v>
      </c>
      <c r="L132" s="351"/>
    </row>
    <row r="133" spans="1:14" x14ac:dyDescent="0.25">
      <c r="A133" s="155">
        <v>7</v>
      </c>
      <c r="B133" s="61" t="s">
        <v>308</v>
      </c>
      <c r="C133" s="81">
        <v>5000</v>
      </c>
      <c r="D133" s="145">
        <v>1151.21</v>
      </c>
      <c r="E133" s="43">
        <v>0</v>
      </c>
      <c r="F133" s="61"/>
      <c r="G133" s="142">
        <f t="shared" si="26"/>
        <v>0</v>
      </c>
      <c r="H133" s="56">
        <f>24-24</f>
        <v>0</v>
      </c>
      <c r="I133" s="57">
        <f t="shared" si="27"/>
        <v>0</v>
      </c>
      <c r="J133" s="57">
        <f t="shared" si="28"/>
        <v>0</v>
      </c>
      <c r="K133" s="58">
        <f t="shared" si="29"/>
        <v>0</v>
      </c>
      <c r="L133" s="351"/>
    </row>
    <row r="134" spans="1:14" x14ac:dyDescent="0.25">
      <c r="A134" s="155">
        <v>8</v>
      </c>
      <c r="B134" s="61" t="s">
        <v>309</v>
      </c>
      <c r="C134" s="81">
        <v>12000</v>
      </c>
      <c r="D134" s="145">
        <v>2457.94</v>
      </c>
      <c r="E134" s="43">
        <v>134</v>
      </c>
      <c r="F134" s="61"/>
      <c r="G134" s="142">
        <f t="shared" si="26"/>
        <v>134</v>
      </c>
      <c r="H134" s="56">
        <f>1-1</f>
        <v>0</v>
      </c>
      <c r="I134" s="57">
        <f t="shared" si="27"/>
        <v>134</v>
      </c>
      <c r="J134" s="57">
        <f t="shared" si="28"/>
        <v>1608000</v>
      </c>
      <c r="K134" s="58">
        <f t="shared" si="29"/>
        <v>329363.96000000002</v>
      </c>
      <c r="L134" s="351"/>
      <c r="N134" s="53" t="s">
        <v>912</v>
      </c>
    </row>
    <row r="135" spans="1:14" x14ac:dyDescent="0.25">
      <c r="A135" s="155">
        <v>9</v>
      </c>
      <c r="B135" s="61" t="s">
        <v>310</v>
      </c>
      <c r="C135" s="81">
        <v>5000</v>
      </c>
      <c r="D135" s="145">
        <v>1261.21</v>
      </c>
      <c r="E135" s="43">
        <v>46</v>
      </c>
      <c r="F135" s="61"/>
      <c r="G135" s="142">
        <f t="shared" si="26"/>
        <v>46</v>
      </c>
      <c r="H135" s="56"/>
      <c r="I135" s="57">
        <f t="shared" si="27"/>
        <v>46</v>
      </c>
      <c r="J135" s="57">
        <f t="shared" si="28"/>
        <v>230000</v>
      </c>
      <c r="K135" s="58">
        <f t="shared" si="29"/>
        <v>58015.66</v>
      </c>
      <c r="L135" s="351"/>
    </row>
    <row r="136" spans="1:14" x14ac:dyDescent="0.25">
      <c r="A136" s="155">
        <v>10</v>
      </c>
      <c r="B136" s="61" t="s">
        <v>311</v>
      </c>
      <c r="C136" s="81">
        <v>12000</v>
      </c>
      <c r="D136" s="145">
        <v>1686.73</v>
      </c>
      <c r="E136" s="43">
        <v>291</v>
      </c>
      <c r="F136" s="61"/>
      <c r="G136" s="142">
        <f t="shared" si="26"/>
        <v>291</v>
      </c>
      <c r="H136" s="56"/>
      <c r="I136" s="57">
        <f t="shared" si="27"/>
        <v>291</v>
      </c>
      <c r="J136" s="57">
        <f t="shared" si="28"/>
        <v>3492000</v>
      </c>
      <c r="K136" s="58">
        <f t="shared" si="29"/>
        <v>490838.43</v>
      </c>
      <c r="L136" s="351"/>
    </row>
    <row r="137" spans="1:14" x14ac:dyDescent="0.25">
      <c r="A137" s="155">
        <v>11</v>
      </c>
      <c r="B137" s="61" t="s">
        <v>312</v>
      </c>
      <c r="C137" s="81">
        <v>7000</v>
      </c>
      <c r="D137" s="145">
        <v>1407.72</v>
      </c>
      <c r="E137" s="43">
        <v>77</v>
      </c>
      <c r="F137" s="61"/>
      <c r="G137" s="142">
        <f t="shared" si="26"/>
        <v>77</v>
      </c>
      <c r="H137" s="56"/>
      <c r="I137" s="57">
        <f t="shared" si="27"/>
        <v>77</v>
      </c>
      <c r="J137" s="57">
        <f t="shared" si="28"/>
        <v>539000</v>
      </c>
      <c r="K137" s="58">
        <f t="shared" si="29"/>
        <v>108394.44</v>
      </c>
      <c r="L137" s="351"/>
    </row>
    <row r="138" spans="1:14" x14ac:dyDescent="0.25">
      <c r="A138" s="155">
        <v>12</v>
      </c>
      <c r="B138" s="61" t="s">
        <v>313</v>
      </c>
      <c r="C138" s="81">
        <v>30000</v>
      </c>
      <c r="D138" s="145">
        <v>3099.4</v>
      </c>
      <c r="E138" s="43">
        <v>134</v>
      </c>
      <c r="F138" s="61"/>
      <c r="G138" s="142">
        <f t="shared" si="26"/>
        <v>134</v>
      </c>
      <c r="H138" s="56"/>
      <c r="I138" s="57">
        <f t="shared" si="27"/>
        <v>134</v>
      </c>
      <c r="J138" s="57">
        <f t="shared" si="28"/>
        <v>4020000</v>
      </c>
      <c r="K138" s="58">
        <f t="shared" si="29"/>
        <v>415319.60000000003</v>
      </c>
      <c r="L138" s="351"/>
    </row>
    <row r="139" spans="1:14" x14ac:dyDescent="0.25">
      <c r="A139" s="155">
        <v>13</v>
      </c>
      <c r="B139" s="61" t="s">
        <v>314</v>
      </c>
      <c r="C139" s="81">
        <v>5000</v>
      </c>
      <c r="D139" s="145">
        <v>1688.76</v>
      </c>
      <c r="E139" s="43">
        <v>143</v>
      </c>
      <c r="F139" s="61">
        <f>22-22</f>
        <v>0</v>
      </c>
      <c r="G139" s="142">
        <f t="shared" si="26"/>
        <v>143</v>
      </c>
      <c r="H139" s="56">
        <f>22-22</f>
        <v>0</v>
      </c>
      <c r="I139" s="57">
        <f t="shared" si="27"/>
        <v>143</v>
      </c>
      <c r="J139" s="57">
        <f t="shared" si="28"/>
        <v>715000</v>
      </c>
      <c r="K139" s="58">
        <f t="shared" si="29"/>
        <v>241492.68</v>
      </c>
      <c r="L139" s="351"/>
    </row>
    <row r="140" spans="1:14" x14ac:dyDescent="0.25">
      <c r="A140" s="155">
        <v>14</v>
      </c>
      <c r="B140" s="61" t="s">
        <v>315</v>
      </c>
      <c r="C140" s="81">
        <v>5000</v>
      </c>
      <c r="D140" s="145">
        <v>1496.26</v>
      </c>
      <c r="E140" s="43">
        <v>0</v>
      </c>
      <c r="F140" s="61"/>
      <c r="G140" s="142">
        <f t="shared" si="26"/>
        <v>0</v>
      </c>
      <c r="H140" s="56">
        <f>20-20</f>
        <v>0</v>
      </c>
      <c r="I140" s="57">
        <f t="shared" si="27"/>
        <v>0</v>
      </c>
      <c r="J140" s="57">
        <f t="shared" si="28"/>
        <v>0</v>
      </c>
      <c r="K140" s="58">
        <f t="shared" si="29"/>
        <v>0</v>
      </c>
      <c r="L140" s="351"/>
    </row>
    <row r="141" spans="1:14" x14ac:dyDescent="0.25">
      <c r="A141" s="155">
        <v>15</v>
      </c>
      <c r="B141" s="61" t="s">
        <v>316</v>
      </c>
      <c r="C141" s="81">
        <v>8000</v>
      </c>
      <c r="D141" s="145">
        <v>1508.07</v>
      </c>
      <c r="E141" s="43">
        <v>1119</v>
      </c>
      <c r="F141" s="61"/>
      <c r="G141" s="142">
        <f t="shared" si="26"/>
        <v>1119</v>
      </c>
      <c r="H141" s="56"/>
      <c r="I141" s="57">
        <f t="shared" si="27"/>
        <v>1119</v>
      </c>
      <c r="J141" s="57">
        <f t="shared" si="28"/>
        <v>8952000</v>
      </c>
      <c r="K141" s="58">
        <f t="shared" si="29"/>
        <v>1687530.3299999998</v>
      </c>
      <c r="L141" s="351"/>
    </row>
    <row r="142" spans="1:14" x14ac:dyDescent="0.25">
      <c r="A142" s="155">
        <v>16</v>
      </c>
      <c r="B142" s="225" t="s">
        <v>317</v>
      </c>
      <c r="C142" s="81">
        <v>5000</v>
      </c>
      <c r="D142" s="145">
        <v>1386.26</v>
      </c>
      <c r="E142" s="43">
        <v>42</v>
      </c>
      <c r="F142" s="61"/>
      <c r="G142" s="142">
        <f t="shared" si="26"/>
        <v>42</v>
      </c>
      <c r="H142" s="56"/>
      <c r="I142" s="57">
        <f t="shared" si="27"/>
        <v>42</v>
      </c>
      <c r="J142" s="57">
        <f t="shared" si="28"/>
        <v>210000</v>
      </c>
      <c r="K142" s="58">
        <f t="shared" si="29"/>
        <v>58222.92</v>
      </c>
      <c r="L142" s="351"/>
    </row>
    <row r="143" spans="1:14" x14ac:dyDescent="0.25">
      <c r="A143" s="155">
        <v>17</v>
      </c>
      <c r="B143" s="61" t="s">
        <v>318</v>
      </c>
      <c r="C143" s="81">
        <v>5000</v>
      </c>
      <c r="D143" s="145">
        <v>1345</v>
      </c>
      <c r="E143" s="43">
        <v>133</v>
      </c>
      <c r="F143" s="61">
        <f>30-30</f>
        <v>0</v>
      </c>
      <c r="G143" s="142">
        <f t="shared" si="26"/>
        <v>133</v>
      </c>
      <c r="H143" s="56">
        <f>30-30</f>
        <v>0</v>
      </c>
      <c r="I143" s="57">
        <f t="shared" si="27"/>
        <v>133</v>
      </c>
      <c r="J143" s="57">
        <f t="shared" si="28"/>
        <v>665000</v>
      </c>
      <c r="K143" s="58">
        <f t="shared" si="29"/>
        <v>178885</v>
      </c>
      <c r="L143" s="351"/>
    </row>
    <row r="144" spans="1:14" x14ac:dyDescent="0.25">
      <c r="A144" s="155">
        <v>18</v>
      </c>
      <c r="B144" s="225" t="s">
        <v>319</v>
      </c>
      <c r="C144" s="81">
        <v>7000</v>
      </c>
      <c r="D144" s="145">
        <v>1795</v>
      </c>
      <c r="E144" s="43">
        <v>245</v>
      </c>
      <c r="F144" s="61"/>
      <c r="G144" s="142">
        <f t="shared" si="26"/>
        <v>245</v>
      </c>
      <c r="H144" s="56"/>
      <c r="I144" s="57">
        <f t="shared" si="27"/>
        <v>245</v>
      </c>
      <c r="J144" s="57">
        <f t="shared" si="28"/>
        <v>1715000</v>
      </c>
      <c r="K144" s="58">
        <f t="shared" si="29"/>
        <v>439775</v>
      </c>
      <c r="L144" s="351"/>
    </row>
    <row r="145" spans="1:12" x14ac:dyDescent="0.25">
      <c r="A145" s="155">
        <v>19</v>
      </c>
      <c r="B145" s="224" t="s">
        <v>320</v>
      </c>
      <c r="C145" s="81">
        <v>5000</v>
      </c>
      <c r="D145" s="145">
        <v>1261.21</v>
      </c>
      <c r="E145" s="43">
        <v>140</v>
      </c>
      <c r="F145" s="61"/>
      <c r="G145" s="142">
        <f t="shared" si="26"/>
        <v>140</v>
      </c>
      <c r="H145" s="56"/>
      <c r="I145" s="57">
        <f t="shared" si="27"/>
        <v>140</v>
      </c>
      <c r="J145" s="57">
        <f t="shared" si="28"/>
        <v>700000</v>
      </c>
      <c r="K145" s="58">
        <f t="shared" si="29"/>
        <v>176569.4</v>
      </c>
      <c r="L145" s="351"/>
    </row>
    <row r="146" spans="1:12" x14ac:dyDescent="0.25">
      <c r="A146" s="155">
        <v>20</v>
      </c>
      <c r="B146" s="61" t="s">
        <v>321</v>
      </c>
      <c r="C146" s="81">
        <v>8000</v>
      </c>
      <c r="D146" s="145">
        <v>2060.62</v>
      </c>
      <c r="E146" s="43">
        <v>143</v>
      </c>
      <c r="F146" s="61"/>
      <c r="G146" s="142">
        <f t="shared" si="26"/>
        <v>143</v>
      </c>
      <c r="H146" s="56"/>
      <c r="I146" s="57">
        <f t="shared" si="27"/>
        <v>143</v>
      </c>
      <c r="J146" s="57">
        <f t="shared" si="28"/>
        <v>1144000</v>
      </c>
      <c r="K146" s="58">
        <f t="shared" si="29"/>
        <v>294668.65999999997</v>
      </c>
      <c r="L146" s="351"/>
    </row>
    <row r="147" spans="1:12" x14ac:dyDescent="0.25">
      <c r="A147" s="155">
        <v>21</v>
      </c>
      <c r="B147" s="61" t="s">
        <v>322</v>
      </c>
      <c r="C147" s="81">
        <v>8000</v>
      </c>
      <c r="D147" s="145">
        <v>1684.62</v>
      </c>
      <c r="E147" s="43">
        <v>154</v>
      </c>
      <c r="F147" s="61"/>
      <c r="G147" s="142">
        <f t="shared" si="26"/>
        <v>154</v>
      </c>
      <c r="H147" s="56"/>
      <c r="I147" s="57">
        <f t="shared" si="27"/>
        <v>154</v>
      </c>
      <c r="J147" s="57">
        <f t="shared" si="28"/>
        <v>1232000</v>
      </c>
      <c r="K147" s="58">
        <f t="shared" si="29"/>
        <v>259431.47999999998</v>
      </c>
      <c r="L147" s="351"/>
    </row>
    <row r="148" spans="1:12" x14ac:dyDescent="0.25">
      <c r="A148" s="155">
        <v>22</v>
      </c>
      <c r="B148" s="61" t="s">
        <v>323</v>
      </c>
      <c r="C148" s="81">
        <v>5000</v>
      </c>
      <c r="D148" s="145">
        <v>1261.21</v>
      </c>
      <c r="E148" s="43">
        <v>0</v>
      </c>
      <c r="F148" s="61"/>
      <c r="G148" s="142">
        <f t="shared" si="26"/>
        <v>0</v>
      </c>
      <c r="H148" s="56">
        <f>14-14</f>
        <v>0</v>
      </c>
      <c r="I148" s="57">
        <f t="shared" si="27"/>
        <v>0</v>
      </c>
      <c r="J148" s="57">
        <f t="shared" si="28"/>
        <v>0</v>
      </c>
      <c r="K148" s="58">
        <f t="shared" si="29"/>
        <v>0</v>
      </c>
      <c r="L148" s="351"/>
    </row>
    <row r="149" spans="1:12" x14ac:dyDescent="0.25">
      <c r="A149" s="155">
        <v>23</v>
      </c>
      <c r="B149" s="225" t="s">
        <v>324</v>
      </c>
      <c r="C149" s="81">
        <v>4500</v>
      </c>
      <c r="D149" s="145">
        <v>1602.87</v>
      </c>
      <c r="E149" s="43">
        <v>497</v>
      </c>
      <c r="F149" s="61"/>
      <c r="G149" s="142">
        <f t="shared" si="26"/>
        <v>497</v>
      </c>
      <c r="H149" s="56"/>
      <c r="I149" s="57">
        <f t="shared" si="27"/>
        <v>497</v>
      </c>
      <c r="J149" s="57">
        <f t="shared" si="28"/>
        <v>2236500</v>
      </c>
      <c r="K149" s="58">
        <f t="shared" si="29"/>
        <v>796626.3899999999</v>
      </c>
      <c r="L149" s="351"/>
    </row>
    <row r="150" spans="1:12" x14ac:dyDescent="0.25">
      <c r="A150" s="155">
        <v>24</v>
      </c>
      <c r="B150" s="225" t="s">
        <v>325</v>
      </c>
      <c r="C150" s="81">
        <v>4500</v>
      </c>
      <c r="D150" s="145">
        <v>1602.87</v>
      </c>
      <c r="E150" s="43">
        <v>497</v>
      </c>
      <c r="F150" s="61"/>
      <c r="G150" s="142">
        <f t="shared" si="26"/>
        <v>497</v>
      </c>
      <c r="H150" s="56"/>
      <c r="I150" s="57">
        <f t="shared" si="27"/>
        <v>497</v>
      </c>
      <c r="J150" s="57">
        <f t="shared" si="28"/>
        <v>2236500</v>
      </c>
      <c r="K150" s="58">
        <f t="shared" si="29"/>
        <v>796626.3899999999</v>
      </c>
      <c r="L150" s="351"/>
    </row>
    <row r="151" spans="1:12" x14ac:dyDescent="0.25">
      <c r="A151" s="155">
        <v>25</v>
      </c>
      <c r="B151" s="225" t="s">
        <v>326</v>
      </c>
      <c r="C151" s="81">
        <v>4500</v>
      </c>
      <c r="D151" s="145">
        <v>1602.87</v>
      </c>
      <c r="E151" s="43">
        <v>497</v>
      </c>
      <c r="F151" s="61"/>
      <c r="G151" s="142">
        <f t="shared" si="26"/>
        <v>497</v>
      </c>
      <c r="H151" s="56"/>
      <c r="I151" s="57">
        <f t="shared" si="27"/>
        <v>497</v>
      </c>
      <c r="J151" s="57">
        <f t="shared" si="28"/>
        <v>2236500</v>
      </c>
      <c r="K151" s="58">
        <f t="shared" si="29"/>
        <v>796626.3899999999</v>
      </c>
      <c r="L151" s="351"/>
    </row>
    <row r="152" spans="1:12" x14ac:dyDescent="0.25">
      <c r="A152" s="155">
        <v>26</v>
      </c>
      <c r="B152" s="225" t="s">
        <v>327</v>
      </c>
      <c r="C152" s="81">
        <v>4500</v>
      </c>
      <c r="D152" s="145">
        <v>1602.87</v>
      </c>
      <c r="E152" s="43">
        <v>497</v>
      </c>
      <c r="F152" s="61"/>
      <c r="G152" s="142">
        <f t="shared" si="26"/>
        <v>497</v>
      </c>
      <c r="H152" s="56"/>
      <c r="I152" s="57">
        <f t="shared" si="27"/>
        <v>497</v>
      </c>
      <c r="J152" s="57">
        <f t="shared" si="28"/>
        <v>2236500</v>
      </c>
      <c r="K152" s="58">
        <f t="shared" si="29"/>
        <v>796626.3899999999</v>
      </c>
      <c r="L152" s="351"/>
    </row>
    <row r="153" spans="1:12" x14ac:dyDescent="0.25">
      <c r="A153" s="155">
        <v>27</v>
      </c>
      <c r="B153" s="225" t="s">
        <v>328</v>
      </c>
      <c r="C153" s="81">
        <v>4500</v>
      </c>
      <c r="D153" s="145">
        <v>1602.87</v>
      </c>
      <c r="E153" s="43">
        <v>497</v>
      </c>
      <c r="F153" s="61"/>
      <c r="G153" s="142">
        <f t="shared" si="26"/>
        <v>497</v>
      </c>
      <c r="H153" s="56"/>
      <c r="I153" s="57">
        <f t="shared" si="27"/>
        <v>497</v>
      </c>
      <c r="J153" s="57">
        <f t="shared" si="28"/>
        <v>2236500</v>
      </c>
      <c r="K153" s="58">
        <f t="shared" si="29"/>
        <v>796626.3899999999</v>
      </c>
      <c r="L153" s="351"/>
    </row>
    <row r="154" spans="1:12" x14ac:dyDescent="0.25">
      <c r="A154" s="155">
        <v>28</v>
      </c>
      <c r="B154" s="225" t="s">
        <v>329</v>
      </c>
      <c r="C154" s="81">
        <v>4500</v>
      </c>
      <c r="D154" s="145">
        <v>1602.87</v>
      </c>
      <c r="E154" s="43">
        <v>497</v>
      </c>
      <c r="F154" s="61"/>
      <c r="G154" s="142">
        <f t="shared" si="26"/>
        <v>497</v>
      </c>
      <c r="H154" s="56"/>
      <c r="I154" s="57">
        <f t="shared" si="27"/>
        <v>497</v>
      </c>
      <c r="J154" s="57">
        <f t="shared" si="28"/>
        <v>2236500</v>
      </c>
      <c r="K154" s="58">
        <f t="shared" si="29"/>
        <v>796626.3899999999</v>
      </c>
      <c r="L154" s="351"/>
    </row>
    <row r="155" spans="1:12" x14ac:dyDescent="0.25">
      <c r="A155" s="155">
        <v>29</v>
      </c>
      <c r="B155" s="225" t="s">
        <v>330</v>
      </c>
      <c r="C155" s="81">
        <v>4500</v>
      </c>
      <c r="D155" s="145">
        <v>1602.87</v>
      </c>
      <c r="E155" s="43">
        <v>497</v>
      </c>
      <c r="F155" s="61"/>
      <c r="G155" s="142">
        <f t="shared" si="26"/>
        <v>497</v>
      </c>
      <c r="H155" s="56"/>
      <c r="I155" s="57">
        <f t="shared" si="27"/>
        <v>497</v>
      </c>
      <c r="J155" s="57">
        <f t="shared" si="28"/>
        <v>2236500</v>
      </c>
      <c r="K155" s="58">
        <f t="shared" si="29"/>
        <v>796626.3899999999</v>
      </c>
      <c r="L155" s="351"/>
    </row>
    <row r="156" spans="1:12" x14ac:dyDescent="0.25">
      <c r="A156" s="155">
        <v>30</v>
      </c>
      <c r="B156" s="225" t="s">
        <v>331</v>
      </c>
      <c r="C156" s="81">
        <v>4500</v>
      </c>
      <c r="D156" s="145">
        <v>1602.87</v>
      </c>
      <c r="E156" s="43">
        <v>497</v>
      </c>
      <c r="F156" s="61"/>
      <c r="G156" s="142">
        <f t="shared" si="26"/>
        <v>497</v>
      </c>
      <c r="H156" s="56"/>
      <c r="I156" s="57">
        <f t="shared" si="27"/>
        <v>497</v>
      </c>
      <c r="J156" s="57">
        <f t="shared" si="28"/>
        <v>2236500</v>
      </c>
      <c r="K156" s="58">
        <f t="shared" si="29"/>
        <v>796626.3899999999</v>
      </c>
      <c r="L156" s="351"/>
    </row>
    <row r="157" spans="1:12" x14ac:dyDescent="0.25">
      <c r="A157" s="155">
        <v>31</v>
      </c>
      <c r="B157" s="225" t="s">
        <v>332</v>
      </c>
      <c r="C157" s="81">
        <v>4500</v>
      </c>
      <c r="D157" s="145">
        <v>1602.87</v>
      </c>
      <c r="E157" s="43">
        <v>497</v>
      </c>
      <c r="F157" s="61"/>
      <c r="G157" s="142">
        <f t="shared" si="26"/>
        <v>497</v>
      </c>
      <c r="H157" s="56"/>
      <c r="I157" s="57">
        <f t="shared" si="27"/>
        <v>497</v>
      </c>
      <c r="J157" s="57">
        <f t="shared" si="28"/>
        <v>2236500</v>
      </c>
      <c r="K157" s="58">
        <f t="shared" si="29"/>
        <v>796626.3899999999</v>
      </c>
      <c r="L157" s="351"/>
    </row>
    <row r="158" spans="1:12" x14ac:dyDescent="0.25">
      <c r="A158" s="155">
        <v>32</v>
      </c>
      <c r="B158" s="225" t="s">
        <v>333</v>
      </c>
      <c r="C158" s="81">
        <v>4500</v>
      </c>
      <c r="D158" s="145">
        <v>1602.87</v>
      </c>
      <c r="E158" s="43">
        <v>497</v>
      </c>
      <c r="F158" s="61"/>
      <c r="G158" s="142">
        <f t="shared" si="26"/>
        <v>497</v>
      </c>
      <c r="H158" s="56"/>
      <c r="I158" s="57">
        <f t="shared" si="27"/>
        <v>497</v>
      </c>
      <c r="J158" s="57">
        <f t="shared" si="28"/>
        <v>2236500</v>
      </c>
      <c r="K158" s="58">
        <f t="shared" si="29"/>
        <v>796626.3899999999</v>
      </c>
      <c r="L158" s="351"/>
    </row>
    <row r="159" spans="1:12" x14ac:dyDescent="0.25">
      <c r="A159" s="155">
        <v>33</v>
      </c>
      <c r="B159" s="225" t="s">
        <v>334</v>
      </c>
      <c r="C159" s="81">
        <v>4500</v>
      </c>
      <c r="D159" s="145">
        <v>1602.87</v>
      </c>
      <c r="E159" s="43">
        <v>497</v>
      </c>
      <c r="F159" s="61"/>
      <c r="G159" s="142">
        <f t="shared" si="26"/>
        <v>497</v>
      </c>
      <c r="H159" s="56"/>
      <c r="I159" s="57">
        <f t="shared" si="27"/>
        <v>497</v>
      </c>
      <c r="J159" s="57">
        <f t="shared" si="28"/>
        <v>2236500</v>
      </c>
      <c r="K159" s="58">
        <f t="shared" si="29"/>
        <v>796626.3899999999</v>
      </c>
      <c r="L159" s="351"/>
    </row>
    <row r="160" spans="1:12" x14ac:dyDescent="0.25">
      <c r="A160" s="155">
        <v>34</v>
      </c>
      <c r="B160" s="61" t="s">
        <v>335</v>
      </c>
      <c r="C160" s="81">
        <v>5000</v>
      </c>
      <c r="D160" s="145">
        <v>1261.21</v>
      </c>
      <c r="E160" s="43">
        <v>0</v>
      </c>
      <c r="F160" s="61"/>
      <c r="G160" s="142">
        <f t="shared" si="26"/>
        <v>0</v>
      </c>
      <c r="H160" s="56">
        <f>48-48</f>
        <v>0</v>
      </c>
      <c r="I160" s="57">
        <f t="shared" si="27"/>
        <v>0</v>
      </c>
      <c r="J160" s="57">
        <f t="shared" si="28"/>
        <v>0</v>
      </c>
      <c r="K160" s="58">
        <f t="shared" si="29"/>
        <v>0</v>
      </c>
      <c r="L160" s="351"/>
    </row>
    <row r="161" spans="1:12" x14ac:dyDescent="0.25">
      <c r="A161" s="155">
        <v>35</v>
      </c>
      <c r="B161" s="225" t="s">
        <v>336</v>
      </c>
      <c r="C161" s="81">
        <v>2500</v>
      </c>
      <c r="D161" s="145">
        <v>626.58000000000004</v>
      </c>
      <c r="E161" s="43">
        <v>432</v>
      </c>
      <c r="F161" s="61"/>
      <c r="G161" s="142">
        <f t="shared" si="26"/>
        <v>432</v>
      </c>
      <c r="H161" s="56"/>
      <c r="I161" s="57">
        <f t="shared" si="27"/>
        <v>432</v>
      </c>
      <c r="J161" s="57">
        <f t="shared" si="28"/>
        <v>1080000</v>
      </c>
      <c r="K161" s="58">
        <f t="shared" si="29"/>
        <v>270682.56</v>
      </c>
      <c r="L161" s="363" t="s">
        <v>1014</v>
      </c>
    </row>
    <row r="162" spans="1:12" x14ac:dyDescent="0.25">
      <c r="A162" s="155">
        <v>36</v>
      </c>
      <c r="B162" s="225" t="s">
        <v>337</v>
      </c>
      <c r="C162" s="81">
        <v>2500</v>
      </c>
      <c r="D162" s="145">
        <v>626.58000000000004</v>
      </c>
      <c r="E162" s="43">
        <v>432</v>
      </c>
      <c r="F162" s="61"/>
      <c r="G162" s="142">
        <f t="shared" si="26"/>
        <v>432</v>
      </c>
      <c r="H162" s="56"/>
      <c r="I162" s="57">
        <f t="shared" si="27"/>
        <v>432</v>
      </c>
      <c r="J162" s="57">
        <f t="shared" si="28"/>
        <v>1080000</v>
      </c>
      <c r="K162" s="58">
        <f t="shared" si="29"/>
        <v>270682.56</v>
      </c>
      <c r="L162" s="351"/>
    </row>
    <row r="163" spans="1:12" x14ac:dyDescent="0.25">
      <c r="A163" s="155">
        <v>37</v>
      </c>
      <c r="B163" s="225" t="s">
        <v>338</v>
      </c>
      <c r="C163" s="81">
        <v>2500</v>
      </c>
      <c r="D163" s="145">
        <v>626.58000000000004</v>
      </c>
      <c r="E163" s="43">
        <v>432</v>
      </c>
      <c r="F163" s="61"/>
      <c r="G163" s="142">
        <f t="shared" si="26"/>
        <v>432</v>
      </c>
      <c r="H163" s="56"/>
      <c r="I163" s="57">
        <f t="shared" si="27"/>
        <v>432</v>
      </c>
      <c r="J163" s="57">
        <f t="shared" si="28"/>
        <v>1080000</v>
      </c>
      <c r="K163" s="58">
        <f t="shared" si="29"/>
        <v>270682.56</v>
      </c>
      <c r="L163" s="351"/>
    </row>
    <row r="164" spans="1:12" x14ac:dyDescent="0.25">
      <c r="A164" s="155">
        <v>38</v>
      </c>
      <c r="B164" s="225" t="s">
        <v>339</v>
      </c>
      <c r="C164" s="81">
        <v>2500</v>
      </c>
      <c r="D164" s="145">
        <v>626.58000000000004</v>
      </c>
      <c r="E164" s="43">
        <v>432</v>
      </c>
      <c r="F164" s="61"/>
      <c r="G164" s="142">
        <f t="shared" si="26"/>
        <v>432</v>
      </c>
      <c r="H164" s="56"/>
      <c r="I164" s="57">
        <f t="shared" si="27"/>
        <v>432</v>
      </c>
      <c r="J164" s="57">
        <f t="shared" si="28"/>
        <v>1080000</v>
      </c>
      <c r="K164" s="58">
        <f t="shared" si="29"/>
        <v>270682.56</v>
      </c>
      <c r="L164" s="351"/>
    </row>
    <row r="165" spans="1:12" x14ac:dyDescent="0.25">
      <c r="A165" s="155">
        <v>39</v>
      </c>
      <c r="B165" s="225" t="s">
        <v>340</v>
      </c>
      <c r="C165" s="81">
        <v>2500</v>
      </c>
      <c r="D165" s="145">
        <v>626.58000000000004</v>
      </c>
      <c r="E165" s="43">
        <v>432</v>
      </c>
      <c r="F165" s="61"/>
      <c r="G165" s="142">
        <f t="shared" si="26"/>
        <v>432</v>
      </c>
      <c r="H165" s="56"/>
      <c r="I165" s="57">
        <f t="shared" si="27"/>
        <v>432</v>
      </c>
      <c r="J165" s="57">
        <f t="shared" si="28"/>
        <v>1080000</v>
      </c>
      <c r="K165" s="58">
        <f t="shared" si="29"/>
        <v>270682.56</v>
      </c>
      <c r="L165" s="351"/>
    </row>
    <row r="166" spans="1:12" x14ac:dyDescent="0.25">
      <c r="A166" s="155">
        <v>40</v>
      </c>
      <c r="B166" s="225" t="s">
        <v>341</v>
      </c>
      <c r="C166" s="81">
        <v>2500</v>
      </c>
      <c r="D166" s="145">
        <v>626.58000000000004</v>
      </c>
      <c r="E166" s="43">
        <v>432</v>
      </c>
      <c r="F166" s="61"/>
      <c r="G166" s="142">
        <f t="shared" si="26"/>
        <v>432</v>
      </c>
      <c r="H166" s="56"/>
      <c r="I166" s="57">
        <f t="shared" si="27"/>
        <v>432</v>
      </c>
      <c r="J166" s="57">
        <f t="shared" si="28"/>
        <v>1080000</v>
      </c>
      <c r="K166" s="58">
        <f t="shared" si="29"/>
        <v>270682.56</v>
      </c>
      <c r="L166" s="351"/>
    </row>
    <row r="167" spans="1:12" x14ac:dyDescent="0.25">
      <c r="A167" s="155">
        <v>41</v>
      </c>
      <c r="B167" s="225" t="s">
        <v>342</v>
      </c>
      <c r="C167" s="81">
        <v>2500</v>
      </c>
      <c r="D167" s="145">
        <v>626.58000000000004</v>
      </c>
      <c r="E167" s="43">
        <v>432</v>
      </c>
      <c r="F167" s="61"/>
      <c r="G167" s="142">
        <f t="shared" si="26"/>
        <v>432</v>
      </c>
      <c r="H167" s="56"/>
      <c r="I167" s="57">
        <f t="shared" si="27"/>
        <v>432</v>
      </c>
      <c r="J167" s="57">
        <f t="shared" si="28"/>
        <v>1080000</v>
      </c>
      <c r="K167" s="58">
        <f t="shared" si="29"/>
        <v>270682.56</v>
      </c>
      <c r="L167" s="351"/>
    </row>
    <row r="168" spans="1:12" x14ac:dyDescent="0.25">
      <c r="A168" s="155">
        <v>42</v>
      </c>
      <c r="B168" s="225" t="s">
        <v>343</v>
      </c>
      <c r="C168" s="81">
        <v>2500</v>
      </c>
      <c r="D168" s="145">
        <v>626.58000000000004</v>
      </c>
      <c r="E168" s="43">
        <v>432</v>
      </c>
      <c r="F168" s="61"/>
      <c r="G168" s="142">
        <f t="shared" si="26"/>
        <v>432</v>
      </c>
      <c r="H168" s="56"/>
      <c r="I168" s="57">
        <f t="shared" si="27"/>
        <v>432</v>
      </c>
      <c r="J168" s="57">
        <f t="shared" si="28"/>
        <v>1080000</v>
      </c>
      <c r="K168" s="58">
        <f t="shared" si="29"/>
        <v>270682.56</v>
      </c>
      <c r="L168" s="351"/>
    </row>
    <row r="169" spans="1:12" x14ac:dyDescent="0.25">
      <c r="A169" s="155">
        <v>43</v>
      </c>
      <c r="B169" s="225" t="s">
        <v>344</v>
      </c>
      <c r="C169" s="81">
        <v>2500</v>
      </c>
      <c r="D169" s="145">
        <v>626.58000000000004</v>
      </c>
      <c r="E169" s="43">
        <v>432</v>
      </c>
      <c r="F169" s="61"/>
      <c r="G169" s="142">
        <f t="shared" si="26"/>
        <v>432</v>
      </c>
      <c r="H169" s="56"/>
      <c r="I169" s="57">
        <f t="shared" si="27"/>
        <v>432</v>
      </c>
      <c r="J169" s="57">
        <f t="shared" si="28"/>
        <v>1080000</v>
      </c>
      <c r="K169" s="58">
        <f t="shared" si="29"/>
        <v>270682.56</v>
      </c>
      <c r="L169" s="351"/>
    </row>
    <row r="170" spans="1:12" x14ac:dyDescent="0.25">
      <c r="A170" s="155">
        <v>44</v>
      </c>
      <c r="B170" s="225" t="s">
        <v>345</v>
      </c>
      <c r="C170" s="81">
        <v>2500</v>
      </c>
      <c r="D170" s="145">
        <v>626.58000000000004</v>
      </c>
      <c r="E170" s="43">
        <v>432</v>
      </c>
      <c r="F170" s="61"/>
      <c r="G170" s="142">
        <f t="shared" si="26"/>
        <v>432</v>
      </c>
      <c r="H170" s="56"/>
      <c r="I170" s="57">
        <f t="shared" si="27"/>
        <v>432</v>
      </c>
      <c r="J170" s="57">
        <f t="shared" si="28"/>
        <v>1080000</v>
      </c>
      <c r="K170" s="58">
        <f t="shared" si="29"/>
        <v>270682.56</v>
      </c>
      <c r="L170" s="351"/>
    </row>
    <row r="171" spans="1:12" x14ac:dyDescent="0.25">
      <c r="A171" s="155">
        <v>45</v>
      </c>
      <c r="B171" s="225" t="s">
        <v>346</v>
      </c>
      <c r="C171" s="81">
        <v>2500</v>
      </c>
      <c r="D171" s="145">
        <v>626.58000000000004</v>
      </c>
      <c r="E171" s="43">
        <v>432</v>
      </c>
      <c r="F171" s="61"/>
      <c r="G171" s="142">
        <f t="shared" si="26"/>
        <v>432</v>
      </c>
      <c r="H171" s="56"/>
      <c r="I171" s="57">
        <f t="shared" si="27"/>
        <v>432</v>
      </c>
      <c r="J171" s="57">
        <f t="shared" si="28"/>
        <v>1080000</v>
      </c>
      <c r="K171" s="58">
        <f t="shared" si="29"/>
        <v>270682.56</v>
      </c>
      <c r="L171" s="351"/>
    </row>
    <row r="172" spans="1:12" x14ac:dyDescent="0.25">
      <c r="A172" s="155">
        <v>46</v>
      </c>
      <c r="B172" s="224" t="s">
        <v>347</v>
      </c>
      <c r="C172" s="81">
        <v>5000</v>
      </c>
      <c r="D172" s="145">
        <v>1386.26</v>
      </c>
      <c r="E172" s="43">
        <v>34</v>
      </c>
      <c r="F172" s="61"/>
      <c r="G172" s="142">
        <f t="shared" si="26"/>
        <v>34</v>
      </c>
      <c r="H172" s="56"/>
      <c r="I172" s="57">
        <f t="shared" si="27"/>
        <v>34</v>
      </c>
      <c r="J172" s="57">
        <f t="shared" si="28"/>
        <v>170000</v>
      </c>
      <c r="K172" s="58">
        <f t="shared" si="29"/>
        <v>47132.84</v>
      </c>
      <c r="L172" s="351"/>
    </row>
    <row r="173" spans="1:12" x14ac:dyDescent="0.25">
      <c r="A173" s="155">
        <v>47</v>
      </c>
      <c r="B173" s="61" t="s">
        <v>348</v>
      </c>
      <c r="C173" s="81">
        <v>12000</v>
      </c>
      <c r="D173" s="145">
        <v>1645.84</v>
      </c>
      <c r="E173" s="43">
        <v>170</v>
      </c>
      <c r="F173" s="61"/>
      <c r="G173" s="142">
        <f t="shared" si="26"/>
        <v>170</v>
      </c>
      <c r="H173" s="56"/>
      <c r="I173" s="57">
        <f t="shared" si="27"/>
        <v>170</v>
      </c>
      <c r="J173" s="57">
        <f t="shared" si="28"/>
        <v>2040000</v>
      </c>
      <c r="K173" s="58">
        <f t="shared" si="29"/>
        <v>279792.8</v>
      </c>
      <c r="L173" s="351"/>
    </row>
    <row r="174" spans="1:12" x14ac:dyDescent="0.25">
      <c r="A174" s="155">
        <v>48</v>
      </c>
      <c r="B174" s="61" t="s">
        <v>349</v>
      </c>
      <c r="C174" s="81">
        <v>12000</v>
      </c>
      <c r="D174" s="145">
        <v>1595</v>
      </c>
      <c r="E174" s="43">
        <v>207</v>
      </c>
      <c r="F174" s="61"/>
      <c r="G174" s="142">
        <f t="shared" si="26"/>
        <v>207</v>
      </c>
      <c r="H174" s="56"/>
      <c r="I174" s="57">
        <f t="shared" si="27"/>
        <v>207</v>
      </c>
      <c r="J174" s="57">
        <f t="shared" si="28"/>
        <v>2484000</v>
      </c>
      <c r="K174" s="58">
        <f t="shared" si="29"/>
        <v>330165</v>
      </c>
      <c r="L174" s="351"/>
    </row>
    <row r="175" spans="1:12" x14ac:dyDescent="0.25">
      <c r="A175" s="155">
        <v>49</v>
      </c>
      <c r="B175" s="61" t="s">
        <v>350</v>
      </c>
      <c r="C175" s="81">
        <v>2000</v>
      </c>
      <c r="D175" s="145">
        <v>1127.5</v>
      </c>
      <c r="E175" s="43">
        <v>176</v>
      </c>
      <c r="F175" s="61"/>
      <c r="G175" s="142">
        <f t="shared" si="26"/>
        <v>176</v>
      </c>
      <c r="H175" s="56"/>
      <c r="I175" s="57">
        <f t="shared" si="27"/>
        <v>176</v>
      </c>
      <c r="J175" s="57">
        <f t="shared" si="28"/>
        <v>352000</v>
      </c>
      <c r="K175" s="58">
        <f t="shared" si="29"/>
        <v>198440</v>
      </c>
      <c r="L175" s="351"/>
    </row>
    <row r="176" spans="1:12" x14ac:dyDescent="0.25">
      <c r="A176" s="155">
        <v>50</v>
      </c>
      <c r="B176" s="61" t="s">
        <v>351</v>
      </c>
      <c r="C176" s="81">
        <v>30000</v>
      </c>
      <c r="D176" s="145">
        <v>4030</v>
      </c>
      <c r="E176" s="43">
        <v>173</v>
      </c>
      <c r="F176" s="61"/>
      <c r="G176" s="142">
        <f t="shared" si="26"/>
        <v>173</v>
      </c>
      <c r="H176" s="56"/>
      <c r="I176" s="57">
        <f t="shared" si="27"/>
        <v>173</v>
      </c>
      <c r="J176" s="57">
        <f t="shared" si="28"/>
        <v>5190000</v>
      </c>
      <c r="K176" s="58">
        <f t="shared" si="29"/>
        <v>697190</v>
      </c>
      <c r="L176" s="351"/>
    </row>
    <row r="177" spans="1:12" x14ac:dyDescent="0.25">
      <c r="A177" s="155">
        <v>51</v>
      </c>
      <c r="B177" s="61" t="s">
        <v>352</v>
      </c>
      <c r="C177" s="81">
        <v>7000</v>
      </c>
      <c r="D177" s="145">
        <v>1229.56</v>
      </c>
      <c r="E177" s="43">
        <v>43</v>
      </c>
      <c r="F177" s="61"/>
      <c r="G177" s="142">
        <f t="shared" si="26"/>
        <v>43</v>
      </c>
      <c r="H177" s="56"/>
      <c r="I177" s="57">
        <f t="shared" si="27"/>
        <v>43</v>
      </c>
      <c r="J177" s="57">
        <f t="shared" si="28"/>
        <v>301000</v>
      </c>
      <c r="K177" s="58">
        <f t="shared" si="29"/>
        <v>52871.079999999994</v>
      </c>
      <c r="L177" s="351"/>
    </row>
    <row r="178" spans="1:12" x14ac:dyDescent="0.25">
      <c r="A178" s="155">
        <v>52</v>
      </c>
      <c r="B178" s="61" t="s">
        <v>353</v>
      </c>
      <c r="C178" s="81">
        <v>30000</v>
      </c>
      <c r="D178" s="145">
        <v>4510</v>
      </c>
      <c r="E178" s="43">
        <v>177</v>
      </c>
      <c r="F178" s="61"/>
      <c r="G178" s="142">
        <f t="shared" si="26"/>
        <v>177</v>
      </c>
      <c r="H178" s="56"/>
      <c r="I178" s="57">
        <f t="shared" si="27"/>
        <v>177</v>
      </c>
      <c r="J178" s="57">
        <f t="shared" si="28"/>
        <v>5310000</v>
      </c>
      <c r="K178" s="58">
        <f t="shared" si="29"/>
        <v>798270</v>
      </c>
      <c r="L178" s="351"/>
    </row>
    <row r="179" spans="1:12" x14ac:dyDescent="0.25">
      <c r="A179" s="155">
        <v>53</v>
      </c>
      <c r="B179" s="61" t="s">
        <v>354</v>
      </c>
      <c r="C179" s="81">
        <v>5000</v>
      </c>
      <c r="D179" s="145">
        <v>1431.5</v>
      </c>
      <c r="E179" s="43">
        <v>161</v>
      </c>
      <c r="F179" s="61"/>
      <c r="G179" s="142">
        <f t="shared" si="26"/>
        <v>161</v>
      </c>
      <c r="H179" s="56"/>
      <c r="I179" s="57">
        <f t="shared" si="27"/>
        <v>161</v>
      </c>
      <c r="J179" s="57">
        <f t="shared" si="28"/>
        <v>805000</v>
      </c>
      <c r="K179" s="58">
        <f t="shared" si="29"/>
        <v>230471.5</v>
      </c>
      <c r="L179" s="351"/>
    </row>
    <row r="180" spans="1:12" x14ac:dyDescent="0.25">
      <c r="A180" s="155">
        <v>54</v>
      </c>
      <c r="B180" s="61" t="s">
        <v>355</v>
      </c>
      <c r="C180" s="81">
        <v>8000</v>
      </c>
      <c r="D180" s="145">
        <v>1565.82</v>
      </c>
      <c r="E180" s="43">
        <v>178</v>
      </c>
      <c r="F180" s="61"/>
      <c r="G180" s="142">
        <f t="shared" si="26"/>
        <v>178</v>
      </c>
      <c r="H180" s="56"/>
      <c r="I180" s="57">
        <f t="shared" si="27"/>
        <v>178</v>
      </c>
      <c r="J180" s="57">
        <f t="shared" si="28"/>
        <v>1424000</v>
      </c>
      <c r="K180" s="58">
        <f t="shared" si="29"/>
        <v>278715.95999999996</v>
      </c>
      <c r="L180" s="351"/>
    </row>
    <row r="181" spans="1:12" ht="15.75" thickBot="1" x14ac:dyDescent="0.3">
      <c r="A181" s="156">
        <v>55</v>
      </c>
      <c r="B181" s="159" t="s">
        <v>356</v>
      </c>
      <c r="C181" s="83">
        <v>42000</v>
      </c>
      <c r="D181" s="148"/>
      <c r="E181" s="157">
        <v>0</v>
      </c>
      <c r="F181" s="159"/>
      <c r="G181" s="150">
        <f t="shared" si="26"/>
        <v>0</v>
      </c>
      <c r="H181" s="56">
        <f>7-7</f>
        <v>0</v>
      </c>
      <c r="I181" s="65">
        <f t="shared" si="27"/>
        <v>0</v>
      </c>
      <c r="J181" s="65">
        <f t="shared" si="28"/>
        <v>0</v>
      </c>
      <c r="K181" s="66">
        <f t="shared" si="29"/>
        <v>0</v>
      </c>
      <c r="L181" s="351"/>
    </row>
    <row r="182" spans="1:12" ht="15.75" thickBot="1" x14ac:dyDescent="0.3">
      <c r="A182" s="131"/>
      <c r="B182" s="122" t="s">
        <v>669</v>
      </c>
      <c r="C182" s="36"/>
      <c r="D182" s="29"/>
      <c r="E182" s="29">
        <f>SUM(E127:E181)</f>
        <v>15106</v>
      </c>
      <c r="F182" s="29">
        <f>SUM(F127:F181)</f>
        <v>0</v>
      </c>
      <c r="G182" s="29">
        <f>SUM(G127:G181)</f>
        <v>15106</v>
      </c>
      <c r="H182" s="29">
        <f>SUM(H127:H181)</f>
        <v>0</v>
      </c>
      <c r="I182" s="29">
        <f>SUM(I127:I181)</f>
        <v>15106</v>
      </c>
      <c r="J182" s="29">
        <f t="shared" ref="J182:K182" si="30">SUM(J127:J181)</f>
        <v>86695500</v>
      </c>
      <c r="K182" s="47">
        <f t="shared" si="30"/>
        <v>21095980.699999999</v>
      </c>
      <c r="L182" s="218"/>
    </row>
    <row r="183" spans="1:12" ht="16.5" customHeight="1" thickBot="1" x14ac:dyDescent="0.3">
      <c r="B183" s="164"/>
      <c r="C183" s="165"/>
      <c r="D183" s="166"/>
      <c r="E183" s="167"/>
      <c r="F183" s="68"/>
      <c r="G183" s="167"/>
      <c r="H183" s="167"/>
      <c r="I183" s="167"/>
      <c r="J183" s="167"/>
      <c r="K183" s="166"/>
      <c r="L183" s="166"/>
    </row>
    <row r="184" spans="1:12" ht="15.75" thickBot="1" x14ac:dyDescent="0.3">
      <c r="A184" s="365" t="s">
        <v>657</v>
      </c>
      <c r="B184" s="372" t="s">
        <v>708</v>
      </c>
      <c r="C184" s="372" t="s">
        <v>1</v>
      </c>
      <c r="D184" s="373" t="s">
        <v>649</v>
      </c>
      <c r="E184" s="374" t="s">
        <v>19</v>
      </c>
      <c r="F184" s="374"/>
      <c r="G184" s="374"/>
      <c r="H184" s="374"/>
      <c r="I184" s="374"/>
      <c r="J184" s="368" t="s">
        <v>21</v>
      </c>
      <c r="K184" s="370" t="s">
        <v>602</v>
      </c>
      <c r="L184" s="349"/>
    </row>
    <row r="185" spans="1:12" ht="30.75" thickBot="1" x14ac:dyDescent="0.3">
      <c r="A185" s="366"/>
      <c r="B185" s="372"/>
      <c r="C185" s="372"/>
      <c r="D185" s="373"/>
      <c r="E185" s="69" t="s">
        <v>22</v>
      </c>
      <c r="F185" s="69" t="s">
        <v>600</v>
      </c>
      <c r="G185" s="69" t="s">
        <v>601</v>
      </c>
      <c r="H185" s="69" t="s">
        <v>589</v>
      </c>
      <c r="I185" s="69" t="s">
        <v>601</v>
      </c>
      <c r="J185" s="369"/>
      <c r="K185" s="371"/>
      <c r="L185" s="349"/>
    </row>
    <row r="186" spans="1:12" ht="15.75" thickBot="1" x14ac:dyDescent="0.3">
      <c r="A186" s="367"/>
      <c r="B186" s="188">
        <v>1</v>
      </c>
      <c r="C186" s="188">
        <v>2</v>
      </c>
      <c r="D186" s="188">
        <v>3</v>
      </c>
      <c r="E186" s="71">
        <v>4</v>
      </c>
      <c r="F186" s="71">
        <f>+E186+1</f>
        <v>5</v>
      </c>
      <c r="G186" s="71" t="s">
        <v>652</v>
      </c>
      <c r="H186" s="71">
        <v>7</v>
      </c>
      <c r="I186" s="72" t="s">
        <v>651</v>
      </c>
      <c r="J186" s="42" t="s">
        <v>650</v>
      </c>
      <c r="K186" s="42" t="s">
        <v>653</v>
      </c>
      <c r="L186" s="350"/>
    </row>
    <row r="187" spans="1:12" x14ac:dyDescent="0.25">
      <c r="A187" s="163"/>
      <c r="B187" s="73" t="s">
        <v>709</v>
      </c>
      <c r="C187" s="55"/>
      <c r="D187" s="55"/>
      <c r="E187" s="55"/>
      <c r="F187" s="55"/>
      <c r="G187" s="55"/>
      <c r="H187" s="55"/>
      <c r="I187" s="55"/>
      <c r="J187" s="55"/>
      <c r="K187" s="55"/>
      <c r="L187" s="135"/>
    </row>
    <row r="188" spans="1:12" x14ac:dyDescent="0.25">
      <c r="A188" s="155">
        <v>1</v>
      </c>
      <c r="B188" s="61" t="s">
        <v>357</v>
      </c>
      <c r="C188" s="81">
        <v>8000</v>
      </c>
      <c r="D188" s="145">
        <v>2246.88</v>
      </c>
      <c r="E188" s="43">
        <v>74</v>
      </c>
      <c r="F188" s="61"/>
      <c r="G188" s="142">
        <f t="shared" ref="G188:G223" si="31">+E188+F188</f>
        <v>74</v>
      </c>
      <c r="H188" s="56"/>
      <c r="I188" s="57">
        <f t="shared" ref="I188:I223" si="32">+G188-H188</f>
        <v>74</v>
      </c>
      <c r="J188" s="57">
        <f t="shared" ref="J188:J223" si="33">I188*C188</f>
        <v>592000</v>
      </c>
      <c r="K188" s="58">
        <f t="shared" ref="K188:K223" si="34">+D188*I188</f>
        <v>166269.12</v>
      </c>
      <c r="L188" s="351"/>
    </row>
    <row r="189" spans="1:12" x14ac:dyDescent="0.25">
      <c r="A189" s="155">
        <v>2</v>
      </c>
      <c r="B189" s="61" t="s">
        <v>358</v>
      </c>
      <c r="C189" s="81">
        <v>12000</v>
      </c>
      <c r="D189" s="145">
        <v>3610</v>
      </c>
      <c r="E189" s="43">
        <v>172</v>
      </c>
      <c r="F189" s="61"/>
      <c r="G189" s="142">
        <f t="shared" si="31"/>
        <v>172</v>
      </c>
      <c r="H189" s="56"/>
      <c r="I189" s="57">
        <f t="shared" si="32"/>
        <v>172</v>
      </c>
      <c r="J189" s="57">
        <f t="shared" si="33"/>
        <v>2064000</v>
      </c>
      <c r="K189" s="58">
        <f t="shared" si="34"/>
        <v>620920</v>
      </c>
      <c r="L189" s="351"/>
    </row>
    <row r="190" spans="1:12" x14ac:dyDescent="0.25">
      <c r="A190" s="155">
        <v>3</v>
      </c>
      <c r="B190" s="61" t="s">
        <v>359</v>
      </c>
      <c r="C190" s="81">
        <v>8000</v>
      </c>
      <c r="D190" s="145">
        <v>9962.5</v>
      </c>
      <c r="E190" s="43">
        <v>126</v>
      </c>
      <c r="F190" s="61"/>
      <c r="G190" s="142">
        <f t="shared" si="31"/>
        <v>126</v>
      </c>
      <c r="H190" s="56"/>
      <c r="I190" s="57">
        <f t="shared" si="32"/>
        <v>126</v>
      </c>
      <c r="J190" s="57">
        <f t="shared" si="33"/>
        <v>1008000</v>
      </c>
      <c r="K190" s="58">
        <f t="shared" si="34"/>
        <v>1255275</v>
      </c>
      <c r="L190" s="351"/>
    </row>
    <row r="191" spans="1:12" x14ac:dyDescent="0.25">
      <c r="A191" s="155">
        <v>4</v>
      </c>
      <c r="B191" s="61" t="s">
        <v>360</v>
      </c>
      <c r="C191" s="81">
        <v>8000</v>
      </c>
      <c r="D191" s="145">
        <v>1598.82</v>
      </c>
      <c r="E191" s="43">
        <v>99</v>
      </c>
      <c r="F191" s="61"/>
      <c r="G191" s="142">
        <f t="shared" si="31"/>
        <v>99</v>
      </c>
      <c r="H191" s="56"/>
      <c r="I191" s="57">
        <f t="shared" si="32"/>
        <v>99</v>
      </c>
      <c r="J191" s="57">
        <f t="shared" si="33"/>
        <v>792000</v>
      </c>
      <c r="K191" s="58">
        <f t="shared" si="34"/>
        <v>158283.18</v>
      </c>
      <c r="L191" s="351"/>
    </row>
    <row r="192" spans="1:12" x14ac:dyDescent="0.25">
      <c r="A192" s="155">
        <v>5</v>
      </c>
      <c r="B192" s="61" t="s">
        <v>361</v>
      </c>
      <c r="C192" s="81">
        <v>7000</v>
      </c>
      <c r="D192" s="145">
        <v>1942.41</v>
      </c>
      <c r="E192" s="43">
        <v>237</v>
      </c>
      <c r="F192" s="61"/>
      <c r="G192" s="142">
        <f t="shared" si="31"/>
        <v>237</v>
      </c>
      <c r="H192" s="56"/>
      <c r="I192" s="57">
        <f t="shared" si="32"/>
        <v>237</v>
      </c>
      <c r="J192" s="57">
        <f t="shared" si="33"/>
        <v>1659000</v>
      </c>
      <c r="K192" s="58">
        <f t="shared" si="34"/>
        <v>460351.17000000004</v>
      </c>
      <c r="L192" s="351"/>
    </row>
    <row r="193" spans="1:12" x14ac:dyDescent="0.25">
      <c r="A193" s="155">
        <v>6</v>
      </c>
      <c r="B193" s="61" t="s">
        <v>362</v>
      </c>
      <c r="C193" s="81">
        <v>12000</v>
      </c>
      <c r="D193" s="145">
        <v>2078.08</v>
      </c>
      <c r="E193" s="43">
        <v>214</v>
      </c>
      <c r="F193" s="61"/>
      <c r="G193" s="142">
        <f t="shared" si="31"/>
        <v>214</v>
      </c>
      <c r="H193" s="56"/>
      <c r="I193" s="57">
        <f t="shared" si="32"/>
        <v>214</v>
      </c>
      <c r="J193" s="57">
        <f t="shared" si="33"/>
        <v>2568000</v>
      </c>
      <c r="K193" s="58">
        <f t="shared" si="34"/>
        <v>444709.12</v>
      </c>
      <c r="L193" s="351"/>
    </row>
    <row r="194" spans="1:12" x14ac:dyDescent="0.25">
      <c r="A194" s="155">
        <v>7</v>
      </c>
      <c r="B194" s="61" t="s">
        <v>363</v>
      </c>
      <c r="C194" s="81">
        <v>5000</v>
      </c>
      <c r="D194" s="145">
        <v>1363.04</v>
      </c>
      <c r="E194" s="43">
        <v>0</v>
      </c>
      <c r="F194" s="61"/>
      <c r="G194" s="142">
        <f t="shared" si="31"/>
        <v>0</v>
      </c>
      <c r="H194" s="56">
        <f>32-32</f>
        <v>0</v>
      </c>
      <c r="I194" s="57">
        <f t="shared" si="32"/>
        <v>0</v>
      </c>
      <c r="J194" s="57">
        <f t="shared" si="33"/>
        <v>0</v>
      </c>
      <c r="K194" s="58">
        <f t="shared" si="34"/>
        <v>0</v>
      </c>
      <c r="L194" s="351"/>
    </row>
    <row r="195" spans="1:12" x14ac:dyDescent="0.25">
      <c r="A195" s="155">
        <v>8</v>
      </c>
      <c r="B195" s="61" t="s">
        <v>364</v>
      </c>
      <c r="C195" s="81">
        <v>15000</v>
      </c>
      <c r="D195" s="145">
        <v>2982.32</v>
      </c>
      <c r="E195" s="43">
        <v>85</v>
      </c>
      <c r="F195" s="61"/>
      <c r="G195" s="142">
        <f t="shared" si="31"/>
        <v>85</v>
      </c>
      <c r="H195" s="56"/>
      <c r="I195" s="57">
        <f t="shared" si="32"/>
        <v>85</v>
      </c>
      <c r="J195" s="57">
        <f t="shared" si="33"/>
        <v>1275000</v>
      </c>
      <c r="K195" s="58">
        <f t="shared" si="34"/>
        <v>253497.2</v>
      </c>
      <c r="L195" s="351"/>
    </row>
    <row r="196" spans="1:12" x14ac:dyDescent="0.25">
      <c r="A196" s="155">
        <v>9</v>
      </c>
      <c r="B196" s="216" t="s">
        <v>743</v>
      </c>
      <c r="C196" s="81">
        <v>9500</v>
      </c>
      <c r="D196" s="145">
        <v>1621.12</v>
      </c>
      <c r="E196" s="43">
        <v>162</v>
      </c>
      <c r="F196" s="61"/>
      <c r="G196" s="142">
        <f t="shared" si="31"/>
        <v>162</v>
      </c>
      <c r="H196" s="56"/>
      <c r="I196" s="57">
        <f t="shared" si="32"/>
        <v>162</v>
      </c>
      <c r="J196" s="57">
        <f t="shared" si="33"/>
        <v>1539000</v>
      </c>
      <c r="K196" s="58">
        <f t="shared" si="34"/>
        <v>262621.44</v>
      </c>
      <c r="L196" s="351"/>
    </row>
    <row r="197" spans="1:12" x14ac:dyDescent="0.25">
      <c r="A197" s="155">
        <v>10</v>
      </c>
      <c r="B197" s="61" t="s">
        <v>365</v>
      </c>
      <c r="C197" s="81">
        <v>17000</v>
      </c>
      <c r="D197" s="145">
        <v>2620</v>
      </c>
      <c r="E197" s="43">
        <v>249</v>
      </c>
      <c r="F197" s="61"/>
      <c r="G197" s="142">
        <f t="shared" si="31"/>
        <v>249</v>
      </c>
      <c r="H197" s="56"/>
      <c r="I197" s="57">
        <f t="shared" si="32"/>
        <v>249</v>
      </c>
      <c r="J197" s="57">
        <f t="shared" si="33"/>
        <v>4233000</v>
      </c>
      <c r="K197" s="58">
        <f t="shared" si="34"/>
        <v>652380</v>
      </c>
      <c r="L197" s="351"/>
    </row>
    <row r="198" spans="1:12" x14ac:dyDescent="0.25">
      <c r="A198" s="155">
        <v>11</v>
      </c>
      <c r="B198" s="216" t="s">
        <v>744</v>
      </c>
      <c r="C198" s="81">
        <v>12000</v>
      </c>
      <c r="D198" s="145">
        <v>1216.74</v>
      </c>
      <c r="E198" s="43">
        <v>117</v>
      </c>
      <c r="F198" s="61"/>
      <c r="G198" s="142">
        <f t="shared" si="31"/>
        <v>117</v>
      </c>
      <c r="H198" s="56"/>
      <c r="I198" s="57">
        <f t="shared" si="32"/>
        <v>117</v>
      </c>
      <c r="J198" s="57">
        <f t="shared" si="33"/>
        <v>1404000</v>
      </c>
      <c r="K198" s="58">
        <f t="shared" si="34"/>
        <v>142358.57999999999</v>
      </c>
      <c r="L198" s="351"/>
    </row>
    <row r="199" spans="1:12" x14ac:dyDescent="0.25">
      <c r="A199" s="155">
        <v>12</v>
      </c>
      <c r="B199" s="61" t="s">
        <v>366</v>
      </c>
      <c r="C199" s="81">
        <v>7000</v>
      </c>
      <c r="D199" s="145">
        <v>1584.92</v>
      </c>
      <c r="E199" s="43">
        <v>1042</v>
      </c>
      <c r="F199" s="61"/>
      <c r="G199" s="142">
        <f t="shared" si="31"/>
        <v>1042</v>
      </c>
      <c r="H199" s="56"/>
      <c r="I199" s="57">
        <f t="shared" si="32"/>
        <v>1042</v>
      </c>
      <c r="J199" s="57">
        <f t="shared" si="33"/>
        <v>7294000</v>
      </c>
      <c r="K199" s="58">
        <f t="shared" si="34"/>
        <v>1651486.6400000001</v>
      </c>
      <c r="L199" s="351"/>
    </row>
    <row r="200" spans="1:12" x14ac:dyDescent="0.25">
      <c r="A200" s="155">
        <v>13</v>
      </c>
      <c r="B200" s="61" t="s">
        <v>318</v>
      </c>
      <c r="C200" s="81">
        <v>6500</v>
      </c>
      <c r="D200" s="145">
        <v>1591.69</v>
      </c>
      <c r="E200" s="43">
        <v>157</v>
      </c>
      <c r="F200" s="61"/>
      <c r="G200" s="142">
        <f t="shared" si="31"/>
        <v>157</v>
      </c>
      <c r="H200" s="56"/>
      <c r="I200" s="57">
        <f t="shared" si="32"/>
        <v>157</v>
      </c>
      <c r="J200" s="57">
        <f t="shared" si="33"/>
        <v>1020500</v>
      </c>
      <c r="K200" s="58">
        <f t="shared" si="34"/>
        <v>249895.33000000002</v>
      </c>
      <c r="L200" s="351"/>
    </row>
    <row r="201" spans="1:12" x14ac:dyDescent="0.25">
      <c r="A201" s="155">
        <v>14</v>
      </c>
      <c r="B201" s="225" t="s">
        <v>319</v>
      </c>
      <c r="C201" s="81">
        <v>7000</v>
      </c>
      <c r="D201" s="145">
        <v>1755.58</v>
      </c>
      <c r="E201" s="43">
        <v>200</v>
      </c>
      <c r="F201" s="61"/>
      <c r="G201" s="142">
        <f t="shared" si="31"/>
        <v>200</v>
      </c>
      <c r="H201" s="56"/>
      <c r="I201" s="57">
        <f t="shared" si="32"/>
        <v>200</v>
      </c>
      <c r="J201" s="57">
        <f t="shared" si="33"/>
        <v>1400000</v>
      </c>
      <c r="K201" s="58">
        <f t="shared" si="34"/>
        <v>351116</v>
      </c>
      <c r="L201" s="351"/>
    </row>
    <row r="202" spans="1:12" x14ac:dyDescent="0.25">
      <c r="A202" s="155">
        <v>15</v>
      </c>
      <c r="B202" s="225" t="s">
        <v>367</v>
      </c>
      <c r="C202" s="81">
        <v>6500</v>
      </c>
      <c r="D202" s="145">
        <v>1524.46</v>
      </c>
      <c r="E202" s="43">
        <v>0</v>
      </c>
      <c r="F202" s="61"/>
      <c r="G202" s="142">
        <f t="shared" si="31"/>
        <v>0</v>
      </c>
      <c r="H202" s="56">
        <f>6-6</f>
        <v>0</v>
      </c>
      <c r="I202" s="57">
        <f t="shared" si="32"/>
        <v>0</v>
      </c>
      <c r="J202" s="57">
        <f t="shared" si="33"/>
        <v>0</v>
      </c>
      <c r="K202" s="58">
        <f t="shared" si="34"/>
        <v>0</v>
      </c>
      <c r="L202" s="351"/>
    </row>
    <row r="203" spans="1:12" x14ac:dyDescent="0.25">
      <c r="A203" s="155">
        <v>16</v>
      </c>
      <c r="B203" s="225" t="s">
        <v>368</v>
      </c>
      <c r="C203" s="81">
        <v>12000</v>
      </c>
      <c r="D203" s="145">
        <v>1982.38</v>
      </c>
      <c r="E203" s="43">
        <v>89</v>
      </c>
      <c r="F203" s="61"/>
      <c r="G203" s="142">
        <f t="shared" si="31"/>
        <v>89</v>
      </c>
      <c r="H203" s="56"/>
      <c r="I203" s="57">
        <f t="shared" si="32"/>
        <v>89</v>
      </c>
      <c r="J203" s="57">
        <f t="shared" si="33"/>
        <v>1068000</v>
      </c>
      <c r="K203" s="58">
        <f t="shared" si="34"/>
        <v>176431.82</v>
      </c>
      <c r="L203" s="351"/>
    </row>
    <row r="204" spans="1:12" x14ac:dyDescent="0.25">
      <c r="A204" s="155">
        <v>17</v>
      </c>
      <c r="B204" s="225" t="s">
        <v>369</v>
      </c>
      <c r="C204" s="81">
        <v>5000</v>
      </c>
      <c r="D204" s="145">
        <v>1175.17</v>
      </c>
      <c r="E204" s="43">
        <v>82</v>
      </c>
      <c r="F204" s="61"/>
      <c r="G204" s="142">
        <f t="shared" si="31"/>
        <v>82</v>
      </c>
      <c r="H204" s="56"/>
      <c r="I204" s="57">
        <f t="shared" si="32"/>
        <v>82</v>
      </c>
      <c r="J204" s="57">
        <f t="shared" si="33"/>
        <v>410000</v>
      </c>
      <c r="K204" s="58">
        <f t="shared" si="34"/>
        <v>96363.94</v>
      </c>
      <c r="L204" s="351"/>
    </row>
    <row r="205" spans="1:12" x14ac:dyDescent="0.25">
      <c r="A205" s="155">
        <v>18</v>
      </c>
      <c r="B205" s="225" t="s">
        <v>370</v>
      </c>
      <c r="C205" s="81">
        <v>5000</v>
      </c>
      <c r="D205" s="145">
        <v>1277.32</v>
      </c>
      <c r="E205" s="43">
        <v>141</v>
      </c>
      <c r="F205" s="61"/>
      <c r="G205" s="142">
        <f t="shared" si="31"/>
        <v>141</v>
      </c>
      <c r="H205" s="56"/>
      <c r="I205" s="57">
        <f t="shared" si="32"/>
        <v>141</v>
      </c>
      <c r="J205" s="57">
        <f t="shared" si="33"/>
        <v>705000</v>
      </c>
      <c r="K205" s="58">
        <f t="shared" si="34"/>
        <v>180102.12</v>
      </c>
      <c r="L205" s="351"/>
    </row>
    <row r="206" spans="1:12" x14ac:dyDescent="0.25">
      <c r="A206" s="155">
        <v>19</v>
      </c>
      <c r="B206" s="226" t="s">
        <v>371</v>
      </c>
      <c r="C206" s="81">
        <v>13000</v>
      </c>
      <c r="D206" s="145">
        <v>2915</v>
      </c>
      <c r="E206" s="43">
        <v>10</v>
      </c>
      <c r="F206" s="61"/>
      <c r="G206" s="142">
        <f t="shared" si="31"/>
        <v>10</v>
      </c>
      <c r="H206" s="56"/>
      <c r="I206" s="57">
        <f t="shared" si="32"/>
        <v>10</v>
      </c>
      <c r="J206" s="57">
        <f t="shared" si="33"/>
        <v>130000</v>
      </c>
      <c r="K206" s="58">
        <f t="shared" si="34"/>
        <v>29150</v>
      </c>
      <c r="L206" s="351"/>
    </row>
    <row r="207" spans="1:12" x14ac:dyDescent="0.25">
      <c r="A207" s="155">
        <v>20</v>
      </c>
      <c r="B207" s="61" t="s">
        <v>372</v>
      </c>
      <c r="C207" s="81">
        <v>11000</v>
      </c>
      <c r="D207" s="145">
        <v>1708.7</v>
      </c>
      <c r="E207" s="43">
        <v>203</v>
      </c>
      <c r="F207" s="61"/>
      <c r="G207" s="142">
        <f t="shared" si="31"/>
        <v>203</v>
      </c>
      <c r="H207" s="56"/>
      <c r="I207" s="57">
        <f t="shared" si="32"/>
        <v>203</v>
      </c>
      <c r="J207" s="57">
        <f t="shared" si="33"/>
        <v>2233000</v>
      </c>
      <c r="K207" s="58">
        <f t="shared" si="34"/>
        <v>346866.10000000003</v>
      </c>
      <c r="L207" s="351"/>
    </row>
    <row r="208" spans="1:12" x14ac:dyDescent="0.25">
      <c r="A208" s="155">
        <v>21</v>
      </c>
      <c r="B208" s="61" t="s">
        <v>373</v>
      </c>
      <c r="C208" s="81">
        <v>5000</v>
      </c>
      <c r="D208" s="145">
        <v>1277.32</v>
      </c>
      <c r="E208" s="43">
        <v>56</v>
      </c>
      <c r="F208" s="61"/>
      <c r="G208" s="142">
        <f t="shared" si="31"/>
        <v>56</v>
      </c>
      <c r="H208" s="56"/>
      <c r="I208" s="57">
        <f t="shared" si="32"/>
        <v>56</v>
      </c>
      <c r="J208" s="57">
        <f t="shared" si="33"/>
        <v>280000</v>
      </c>
      <c r="K208" s="58">
        <f t="shared" si="34"/>
        <v>71529.919999999998</v>
      </c>
      <c r="L208" s="351"/>
    </row>
    <row r="209" spans="1:12" x14ac:dyDescent="0.25">
      <c r="A209" s="155">
        <v>22</v>
      </c>
      <c r="B209" s="61" t="s">
        <v>261</v>
      </c>
      <c r="C209" s="81">
        <v>5000</v>
      </c>
      <c r="D209" s="145">
        <v>1277.32</v>
      </c>
      <c r="E209" s="43">
        <v>74</v>
      </c>
      <c r="F209" s="61"/>
      <c r="G209" s="142">
        <f t="shared" si="31"/>
        <v>74</v>
      </c>
      <c r="H209" s="56"/>
      <c r="I209" s="57">
        <f t="shared" si="32"/>
        <v>74</v>
      </c>
      <c r="J209" s="57">
        <f t="shared" si="33"/>
        <v>370000</v>
      </c>
      <c r="K209" s="58">
        <f t="shared" si="34"/>
        <v>94521.68</v>
      </c>
      <c r="L209" s="351"/>
    </row>
    <row r="210" spans="1:12" x14ac:dyDescent="0.25">
      <c r="A210" s="155">
        <v>23</v>
      </c>
      <c r="B210" s="61" t="s">
        <v>374</v>
      </c>
      <c r="C210" s="81">
        <v>5000</v>
      </c>
      <c r="D210" s="145">
        <v>1277.32</v>
      </c>
      <c r="E210" s="43">
        <v>83</v>
      </c>
      <c r="F210" s="61"/>
      <c r="G210" s="142">
        <f t="shared" si="31"/>
        <v>83</v>
      </c>
      <c r="H210" s="56"/>
      <c r="I210" s="57">
        <f t="shared" si="32"/>
        <v>83</v>
      </c>
      <c r="J210" s="57">
        <f t="shared" si="33"/>
        <v>415000</v>
      </c>
      <c r="K210" s="58">
        <f t="shared" si="34"/>
        <v>106017.56</v>
      </c>
      <c r="L210" s="351"/>
    </row>
    <row r="211" spans="1:12" x14ac:dyDescent="0.25">
      <c r="A211" s="155">
        <v>24</v>
      </c>
      <c r="B211" s="61" t="s">
        <v>375</v>
      </c>
      <c r="C211" s="81">
        <v>19000</v>
      </c>
      <c r="D211" s="145">
        <v>2938.8</v>
      </c>
      <c r="E211" s="43">
        <v>466</v>
      </c>
      <c r="F211" s="61"/>
      <c r="G211" s="142">
        <f t="shared" si="31"/>
        <v>466</v>
      </c>
      <c r="H211" s="56"/>
      <c r="I211" s="57">
        <f t="shared" si="32"/>
        <v>466</v>
      </c>
      <c r="J211" s="57">
        <f t="shared" si="33"/>
        <v>8854000</v>
      </c>
      <c r="K211" s="58">
        <f t="shared" si="34"/>
        <v>1369480.8</v>
      </c>
      <c r="L211" s="351"/>
    </row>
    <row r="212" spans="1:12" x14ac:dyDescent="0.25">
      <c r="A212" s="155">
        <v>25</v>
      </c>
      <c r="B212" s="61" t="s">
        <v>376</v>
      </c>
      <c r="C212" s="81">
        <v>8000</v>
      </c>
      <c r="D212" s="145">
        <v>1682.02</v>
      </c>
      <c r="E212" s="43">
        <v>191</v>
      </c>
      <c r="F212" s="61"/>
      <c r="G212" s="142">
        <f t="shared" si="31"/>
        <v>191</v>
      </c>
      <c r="H212" s="56"/>
      <c r="I212" s="57">
        <f t="shared" si="32"/>
        <v>191</v>
      </c>
      <c r="J212" s="57">
        <f t="shared" si="33"/>
        <v>1528000</v>
      </c>
      <c r="K212" s="58">
        <f t="shared" si="34"/>
        <v>321265.82</v>
      </c>
      <c r="L212" s="351"/>
    </row>
    <row r="213" spans="1:12" x14ac:dyDescent="0.25">
      <c r="A213" s="155">
        <v>26</v>
      </c>
      <c r="B213" s="61" t="s">
        <v>377</v>
      </c>
      <c r="C213" s="81">
        <v>5000</v>
      </c>
      <c r="D213" s="145">
        <v>1363.04</v>
      </c>
      <c r="E213" s="43">
        <v>123</v>
      </c>
      <c r="F213" s="61"/>
      <c r="G213" s="142">
        <f t="shared" si="31"/>
        <v>123</v>
      </c>
      <c r="H213" s="56"/>
      <c r="I213" s="57">
        <f t="shared" si="32"/>
        <v>123</v>
      </c>
      <c r="J213" s="57">
        <f t="shared" si="33"/>
        <v>615000</v>
      </c>
      <c r="K213" s="58">
        <f t="shared" si="34"/>
        <v>167653.91999999998</v>
      </c>
      <c r="L213" s="351"/>
    </row>
    <row r="214" spans="1:12" x14ac:dyDescent="0.25">
      <c r="A214" s="155">
        <v>27</v>
      </c>
      <c r="B214" s="61" t="s">
        <v>378</v>
      </c>
      <c r="C214" s="81">
        <v>5000</v>
      </c>
      <c r="D214" s="145">
        <v>1277.32</v>
      </c>
      <c r="E214" s="43">
        <v>70</v>
      </c>
      <c r="F214" s="61"/>
      <c r="G214" s="142">
        <f t="shared" si="31"/>
        <v>70</v>
      </c>
      <c r="H214" s="56"/>
      <c r="I214" s="57">
        <f t="shared" si="32"/>
        <v>70</v>
      </c>
      <c r="J214" s="57">
        <f t="shared" si="33"/>
        <v>350000</v>
      </c>
      <c r="K214" s="58">
        <f t="shared" si="34"/>
        <v>89412.4</v>
      </c>
      <c r="L214" s="351"/>
    </row>
    <row r="215" spans="1:12" x14ac:dyDescent="0.25">
      <c r="A215" s="155">
        <v>28</v>
      </c>
      <c r="B215" s="226" t="s">
        <v>379</v>
      </c>
      <c r="C215" s="81">
        <v>27500</v>
      </c>
      <c r="D215" s="145">
        <v>7683.28</v>
      </c>
      <c r="E215" s="43">
        <v>96</v>
      </c>
      <c r="F215" s="61"/>
      <c r="G215" s="142">
        <f t="shared" si="31"/>
        <v>96</v>
      </c>
      <c r="H215" s="56"/>
      <c r="I215" s="57">
        <f t="shared" si="32"/>
        <v>96</v>
      </c>
      <c r="J215" s="57">
        <f t="shared" si="33"/>
        <v>2640000</v>
      </c>
      <c r="K215" s="58">
        <f t="shared" si="34"/>
        <v>737594.88</v>
      </c>
      <c r="L215" s="363" t="s">
        <v>1014</v>
      </c>
    </row>
    <row r="216" spans="1:12" x14ac:dyDescent="0.25">
      <c r="A216" s="155">
        <v>29</v>
      </c>
      <c r="B216" s="225" t="s">
        <v>380</v>
      </c>
      <c r="C216" s="81">
        <v>49500</v>
      </c>
      <c r="D216" s="145">
        <v>14681.75</v>
      </c>
      <c r="E216" s="43">
        <v>279</v>
      </c>
      <c r="F216" s="61"/>
      <c r="G216" s="142">
        <f t="shared" si="31"/>
        <v>279</v>
      </c>
      <c r="H216" s="56"/>
      <c r="I216" s="57">
        <f t="shared" si="32"/>
        <v>279</v>
      </c>
      <c r="J216" s="57">
        <f t="shared" si="33"/>
        <v>13810500</v>
      </c>
      <c r="K216" s="58">
        <f t="shared" si="34"/>
        <v>4096208.25</v>
      </c>
      <c r="L216" s="351"/>
    </row>
    <row r="217" spans="1:12" x14ac:dyDescent="0.25">
      <c r="A217" s="155">
        <v>30</v>
      </c>
      <c r="B217" s="61" t="s">
        <v>381</v>
      </c>
      <c r="C217" s="81">
        <v>5000</v>
      </c>
      <c r="D217" s="145">
        <v>1395.17</v>
      </c>
      <c r="E217" s="43">
        <v>88</v>
      </c>
      <c r="F217" s="61"/>
      <c r="G217" s="142">
        <f t="shared" si="31"/>
        <v>88</v>
      </c>
      <c r="H217" s="56"/>
      <c r="I217" s="57">
        <f t="shared" si="32"/>
        <v>88</v>
      </c>
      <c r="J217" s="57">
        <f t="shared" si="33"/>
        <v>440000</v>
      </c>
      <c r="K217" s="58">
        <f t="shared" si="34"/>
        <v>122774.96</v>
      </c>
      <c r="L217" s="351"/>
    </row>
    <row r="218" spans="1:12" x14ac:dyDescent="0.25">
      <c r="A218" s="155">
        <v>31</v>
      </c>
      <c r="B218" s="225" t="s">
        <v>382</v>
      </c>
      <c r="C218" s="81">
        <v>17500</v>
      </c>
      <c r="D218" s="145">
        <v>2003.92</v>
      </c>
      <c r="E218" s="43">
        <v>112</v>
      </c>
      <c r="F218" s="61"/>
      <c r="G218" s="142">
        <f t="shared" si="31"/>
        <v>112</v>
      </c>
      <c r="H218" s="56"/>
      <c r="I218" s="57">
        <f t="shared" si="32"/>
        <v>112</v>
      </c>
      <c r="J218" s="57">
        <f t="shared" si="33"/>
        <v>1960000</v>
      </c>
      <c r="K218" s="58">
        <f t="shared" si="34"/>
        <v>224439.04000000001</v>
      </c>
      <c r="L218" s="351"/>
    </row>
    <row r="219" spans="1:12" x14ac:dyDescent="0.25">
      <c r="A219" s="155">
        <v>32</v>
      </c>
      <c r="B219" s="225" t="s">
        <v>383</v>
      </c>
      <c r="C219" s="81">
        <v>33000</v>
      </c>
      <c r="D219" s="145">
        <v>21893.919999999998</v>
      </c>
      <c r="E219" s="43">
        <v>90</v>
      </c>
      <c r="F219" s="61"/>
      <c r="G219" s="142">
        <f t="shared" si="31"/>
        <v>90</v>
      </c>
      <c r="H219" s="56"/>
      <c r="I219" s="57">
        <f t="shared" si="32"/>
        <v>90</v>
      </c>
      <c r="J219" s="57">
        <f t="shared" si="33"/>
        <v>2970000</v>
      </c>
      <c r="K219" s="58">
        <f t="shared" si="34"/>
        <v>1970452.7999999998</v>
      </c>
      <c r="L219" s="351"/>
    </row>
    <row r="220" spans="1:12" x14ac:dyDescent="0.25">
      <c r="A220" s="155">
        <v>33</v>
      </c>
      <c r="B220" s="61" t="s">
        <v>384</v>
      </c>
      <c r="C220" s="81">
        <v>31500</v>
      </c>
      <c r="D220" s="145">
        <f>5153.5+1760</f>
        <v>6913.5</v>
      </c>
      <c r="E220" s="43">
        <v>95</v>
      </c>
      <c r="F220" s="61"/>
      <c r="G220" s="142">
        <f t="shared" si="31"/>
        <v>95</v>
      </c>
      <c r="H220" s="56"/>
      <c r="I220" s="57">
        <f t="shared" si="32"/>
        <v>95</v>
      </c>
      <c r="J220" s="57">
        <f t="shared" si="33"/>
        <v>2992500</v>
      </c>
      <c r="K220" s="58">
        <f t="shared" si="34"/>
        <v>656782.5</v>
      </c>
      <c r="L220" s="351"/>
    </row>
    <row r="221" spans="1:12" x14ac:dyDescent="0.25">
      <c r="A221" s="155">
        <v>34</v>
      </c>
      <c r="B221" s="61" t="s">
        <v>385</v>
      </c>
      <c r="C221" s="81">
        <v>5000</v>
      </c>
      <c r="D221" s="145">
        <f>1100+177.32</f>
        <v>1277.32</v>
      </c>
      <c r="E221" s="43">
        <v>2092</v>
      </c>
      <c r="F221" s="61"/>
      <c r="G221" s="142">
        <f t="shared" si="31"/>
        <v>2092</v>
      </c>
      <c r="H221" s="56"/>
      <c r="I221" s="57">
        <f t="shared" si="32"/>
        <v>2092</v>
      </c>
      <c r="J221" s="57">
        <f t="shared" si="33"/>
        <v>10460000</v>
      </c>
      <c r="K221" s="58">
        <f t="shared" si="34"/>
        <v>2672153.44</v>
      </c>
      <c r="L221" s="351"/>
    </row>
    <row r="222" spans="1:12" x14ac:dyDescent="0.25">
      <c r="A222" s="155">
        <v>35</v>
      </c>
      <c r="B222" s="61" t="s">
        <v>386</v>
      </c>
      <c r="C222" s="81">
        <v>6500</v>
      </c>
      <c r="D222" s="145">
        <v>1369.08</v>
      </c>
      <c r="E222" s="43">
        <v>115</v>
      </c>
      <c r="F222" s="61"/>
      <c r="G222" s="142">
        <f t="shared" si="31"/>
        <v>115</v>
      </c>
      <c r="H222" s="56"/>
      <c r="I222" s="57">
        <f t="shared" si="32"/>
        <v>115</v>
      </c>
      <c r="J222" s="57">
        <f t="shared" si="33"/>
        <v>747500</v>
      </c>
      <c r="K222" s="58">
        <f t="shared" si="34"/>
        <v>157444.19999999998</v>
      </c>
      <c r="L222" s="351"/>
    </row>
    <row r="223" spans="1:12" ht="15.75" thickBot="1" x14ac:dyDescent="0.3">
      <c r="A223" s="156">
        <v>36</v>
      </c>
      <c r="B223" s="159" t="s">
        <v>387</v>
      </c>
      <c r="C223" s="83">
        <v>11000</v>
      </c>
      <c r="D223" s="148">
        <v>1473.16</v>
      </c>
      <c r="E223" s="157">
        <v>26</v>
      </c>
      <c r="F223" s="159"/>
      <c r="G223" s="150">
        <f t="shared" si="31"/>
        <v>26</v>
      </c>
      <c r="H223" s="59"/>
      <c r="I223" s="65">
        <f t="shared" si="32"/>
        <v>26</v>
      </c>
      <c r="J223" s="65">
        <f t="shared" si="33"/>
        <v>286000</v>
      </c>
      <c r="K223" s="66">
        <f t="shared" si="34"/>
        <v>38302.160000000003</v>
      </c>
      <c r="L223" s="351"/>
    </row>
    <row r="224" spans="1:12" ht="15.75" thickBot="1" x14ac:dyDescent="0.3">
      <c r="A224" s="131"/>
      <c r="B224" s="122" t="s">
        <v>670</v>
      </c>
      <c r="C224" s="36"/>
      <c r="D224" s="36"/>
      <c r="E224" s="29">
        <f>SUM(E188:E223)</f>
        <v>7515</v>
      </c>
      <c r="F224" s="29">
        <f>SUM(F188:F223)</f>
        <v>0</v>
      </c>
      <c r="G224" s="29">
        <f>SUM(G188:G223)</f>
        <v>7515</v>
      </c>
      <c r="H224" s="29">
        <f>SUM(H188:H223)</f>
        <v>0</v>
      </c>
      <c r="I224" s="29">
        <f>SUM(I188:I223)</f>
        <v>7515</v>
      </c>
      <c r="J224" s="29">
        <f t="shared" ref="J224:K224" si="35">SUM(J188:J223)</f>
        <v>80113000</v>
      </c>
      <c r="K224" s="47">
        <f t="shared" si="35"/>
        <v>20394111.090000004</v>
      </c>
      <c r="L224" s="218"/>
    </row>
    <row r="225" spans="1:12" ht="15.75" thickBot="1" x14ac:dyDescent="0.3">
      <c r="B225" s="164"/>
      <c r="C225" s="165"/>
      <c r="D225" s="166"/>
      <c r="E225" s="167"/>
      <c r="F225" s="68"/>
      <c r="G225" s="167"/>
      <c r="H225" s="167"/>
      <c r="I225" s="167"/>
      <c r="J225" s="167"/>
      <c r="K225" s="166"/>
      <c r="L225" s="166"/>
    </row>
    <row r="226" spans="1:12" ht="15.75" thickBot="1" x14ac:dyDescent="0.3">
      <c r="A226" s="365" t="s">
        <v>657</v>
      </c>
      <c r="B226" s="372" t="s">
        <v>708</v>
      </c>
      <c r="C226" s="372" t="s">
        <v>1</v>
      </c>
      <c r="D226" s="373" t="s">
        <v>649</v>
      </c>
      <c r="E226" s="374" t="s">
        <v>19</v>
      </c>
      <c r="F226" s="374"/>
      <c r="G226" s="374"/>
      <c r="H226" s="374"/>
      <c r="I226" s="374"/>
      <c r="J226" s="368" t="s">
        <v>21</v>
      </c>
      <c r="K226" s="370" t="s">
        <v>602</v>
      </c>
      <c r="L226" s="349"/>
    </row>
    <row r="227" spans="1:12" ht="30.75" thickBot="1" x14ac:dyDescent="0.3">
      <c r="A227" s="366"/>
      <c r="B227" s="372"/>
      <c r="C227" s="372"/>
      <c r="D227" s="373"/>
      <c r="E227" s="69" t="s">
        <v>22</v>
      </c>
      <c r="F227" s="69" t="s">
        <v>600</v>
      </c>
      <c r="G227" s="69" t="s">
        <v>601</v>
      </c>
      <c r="H227" s="69" t="s">
        <v>589</v>
      </c>
      <c r="I227" s="69" t="s">
        <v>601</v>
      </c>
      <c r="J227" s="369"/>
      <c r="K227" s="371"/>
      <c r="L227" s="349"/>
    </row>
    <row r="228" spans="1:12" ht="15.75" thickBot="1" x14ac:dyDescent="0.3">
      <c r="A228" s="367"/>
      <c r="B228" s="188">
        <v>1</v>
      </c>
      <c r="C228" s="188">
        <v>2</v>
      </c>
      <c r="D228" s="188">
        <v>3</v>
      </c>
      <c r="E228" s="71">
        <v>4</v>
      </c>
      <c r="F228" s="71">
        <f>+E228+1</f>
        <v>5</v>
      </c>
      <c r="G228" s="71" t="s">
        <v>652</v>
      </c>
      <c r="H228" s="71">
        <v>7</v>
      </c>
      <c r="I228" s="72" t="s">
        <v>651</v>
      </c>
      <c r="J228" s="42" t="s">
        <v>650</v>
      </c>
      <c r="K228" s="42" t="s">
        <v>653</v>
      </c>
      <c r="L228" s="350"/>
    </row>
    <row r="229" spans="1:12" x14ac:dyDescent="0.25">
      <c r="A229" s="163"/>
      <c r="B229" s="73" t="s">
        <v>704</v>
      </c>
      <c r="C229" s="55"/>
      <c r="D229" s="55"/>
      <c r="E229" s="55"/>
      <c r="F229" s="55"/>
      <c r="G229" s="55"/>
      <c r="H229" s="55"/>
      <c r="I229" s="55"/>
      <c r="J229" s="55"/>
      <c r="K229" s="55"/>
      <c r="L229" s="135"/>
    </row>
    <row r="230" spans="1:12" x14ac:dyDescent="0.25">
      <c r="A230" s="155">
        <v>1</v>
      </c>
      <c r="B230" s="61" t="s">
        <v>388</v>
      </c>
      <c r="C230" s="81">
        <v>7000</v>
      </c>
      <c r="D230" s="145">
        <f>600.3+1375</f>
        <v>1975.3</v>
      </c>
      <c r="E230" s="43">
        <v>5</v>
      </c>
      <c r="F230" s="61"/>
      <c r="G230" s="142">
        <f t="shared" ref="G230:G251" si="36">+E230+F230</f>
        <v>5</v>
      </c>
      <c r="H230" s="56"/>
      <c r="I230" s="57">
        <f t="shared" ref="I230:I251" si="37">+G230-H230</f>
        <v>5</v>
      </c>
      <c r="J230" s="57">
        <f t="shared" ref="J230:J251" si="38">I230*C230</f>
        <v>35000</v>
      </c>
      <c r="K230" s="58">
        <f t="shared" ref="K230:K251" si="39">+D230*I230</f>
        <v>9876.5</v>
      </c>
      <c r="L230" s="351"/>
    </row>
    <row r="231" spans="1:12" x14ac:dyDescent="0.25">
      <c r="A231" s="155">
        <v>2</v>
      </c>
      <c r="B231" s="226" t="s">
        <v>389</v>
      </c>
      <c r="C231" s="81">
        <v>14500</v>
      </c>
      <c r="D231" s="145">
        <f>1375+177.1</f>
        <v>1552.1</v>
      </c>
      <c r="E231" s="43">
        <v>10</v>
      </c>
      <c r="F231" s="61"/>
      <c r="G231" s="142">
        <f t="shared" si="36"/>
        <v>10</v>
      </c>
      <c r="H231" s="56"/>
      <c r="I231" s="57">
        <f t="shared" si="37"/>
        <v>10</v>
      </c>
      <c r="J231" s="57">
        <f t="shared" si="38"/>
        <v>145000</v>
      </c>
      <c r="K231" s="58">
        <f t="shared" si="39"/>
        <v>15521</v>
      </c>
      <c r="L231" s="351"/>
    </row>
    <row r="232" spans="1:12" x14ac:dyDescent="0.25">
      <c r="A232" s="155">
        <v>3</v>
      </c>
      <c r="B232" s="226" t="s">
        <v>390</v>
      </c>
      <c r="C232" s="81">
        <v>19000</v>
      </c>
      <c r="D232" s="145">
        <f>82.22*6+3135</f>
        <v>3628.32</v>
      </c>
      <c r="E232" s="43">
        <v>25</v>
      </c>
      <c r="F232" s="61"/>
      <c r="G232" s="142">
        <f t="shared" si="36"/>
        <v>25</v>
      </c>
      <c r="H232" s="56"/>
      <c r="I232" s="57">
        <f t="shared" si="37"/>
        <v>25</v>
      </c>
      <c r="J232" s="57">
        <f t="shared" si="38"/>
        <v>475000</v>
      </c>
      <c r="K232" s="58">
        <f t="shared" si="39"/>
        <v>90708</v>
      </c>
      <c r="L232" s="351"/>
    </row>
    <row r="233" spans="1:12" x14ac:dyDescent="0.25">
      <c r="A233" s="155">
        <v>4</v>
      </c>
      <c r="B233" s="226" t="s">
        <v>391</v>
      </c>
      <c r="C233" s="81">
        <v>14000</v>
      </c>
      <c r="D233" s="145">
        <f>3135+582.69+582.69</f>
        <v>4300.38</v>
      </c>
      <c r="E233" s="43">
        <v>25</v>
      </c>
      <c r="F233" s="61"/>
      <c r="G233" s="142">
        <f t="shared" si="36"/>
        <v>25</v>
      </c>
      <c r="H233" s="56"/>
      <c r="I233" s="57">
        <f t="shared" si="37"/>
        <v>25</v>
      </c>
      <c r="J233" s="57">
        <f t="shared" si="38"/>
        <v>350000</v>
      </c>
      <c r="K233" s="58">
        <f t="shared" si="39"/>
        <v>107509.5</v>
      </c>
      <c r="L233" s="351"/>
    </row>
    <row r="234" spans="1:12" x14ac:dyDescent="0.25">
      <c r="A234" s="155">
        <v>5</v>
      </c>
      <c r="B234" s="61" t="s">
        <v>392</v>
      </c>
      <c r="C234" s="81">
        <v>8000</v>
      </c>
      <c r="D234" s="145">
        <f>1760+4*176.31</f>
        <v>2465.2399999999998</v>
      </c>
      <c r="E234" s="43">
        <v>125</v>
      </c>
      <c r="F234" s="61"/>
      <c r="G234" s="142">
        <f t="shared" si="36"/>
        <v>125</v>
      </c>
      <c r="H234" s="56"/>
      <c r="I234" s="57">
        <f t="shared" si="37"/>
        <v>125</v>
      </c>
      <c r="J234" s="57">
        <f t="shared" si="38"/>
        <v>1000000</v>
      </c>
      <c r="K234" s="58">
        <f t="shared" si="39"/>
        <v>308155</v>
      </c>
      <c r="L234" s="351"/>
    </row>
    <row r="235" spans="1:12" x14ac:dyDescent="0.25">
      <c r="A235" s="155">
        <v>6</v>
      </c>
      <c r="B235" s="61" t="s">
        <v>318</v>
      </c>
      <c r="C235" s="81">
        <v>6500</v>
      </c>
      <c r="D235" s="145">
        <f>131.72*3+1760</f>
        <v>2155.16</v>
      </c>
      <c r="E235" s="43">
        <v>135</v>
      </c>
      <c r="F235" s="61"/>
      <c r="G235" s="142">
        <f t="shared" si="36"/>
        <v>135</v>
      </c>
      <c r="H235" s="56"/>
      <c r="I235" s="57">
        <f t="shared" si="37"/>
        <v>135</v>
      </c>
      <c r="J235" s="57">
        <f t="shared" si="38"/>
        <v>877500</v>
      </c>
      <c r="K235" s="58">
        <f t="shared" si="39"/>
        <v>290946.59999999998</v>
      </c>
      <c r="L235" s="351"/>
    </row>
    <row r="236" spans="1:12" x14ac:dyDescent="0.25">
      <c r="A236" s="155">
        <v>7</v>
      </c>
      <c r="B236" s="61" t="s">
        <v>393</v>
      </c>
      <c r="C236" s="81">
        <v>7000</v>
      </c>
      <c r="D236" s="145">
        <f>539.53+1760</f>
        <v>2299.5299999999997</v>
      </c>
      <c r="E236" s="43">
        <v>135</v>
      </c>
      <c r="F236" s="61"/>
      <c r="G236" s="142">
        <f t="shared" si="36"/>
        <v>135</v>
      </c>
      <c r="H236" s="56"/>
      <c r="I236" s="57">
        <f t="shared" si="37"/>
        <v>135</v>
      </c>
      <c r="J236" s="57">
        <f t="shared" si="38"/>
        <v>945000</v>
      </c>
      <c r="K236" s="58">
        <f t="shared" si="39"/>
        <v>310436.55</v>
      </c>
      <c r="L236" s="351"/>
    </row>
    <row r="237" spans="1:12" x14ac:dyDescent="0.25">
      <c r="A237" s="155">
        <v>8</v>
      </c>
      <c r="B237" s="61" t="s">
        <v>394</v>
      </c>
      <c r="C237" s="81">
        <v>6500</v>
      </c>
      <c r="D237" s="145">
        <f>1760+3*170.53</f>
        <v>2271.59</v>
      </c>
      <c r="E237" s="43">
        <v>50</v>
      </c>
      <c r="F237" s="61"/>
      <c r="G237" s="142">
        <f t="shared" si="36"/>
        <v>50</v>
      </c>
      <c r="H237" s="56"/>
      <c r="I237" s="57">
        <f t="shared" si="37"/>
        <v>50</v>
      </c>
      <c r="J237" s="57">
        <f t="shared" si="38"/>
        <v>325000</v>
      </c>
      <c r="K237" s="58">
        <f t="shared" si="39"/>
        <v>113579.5</v>
      </c>
      <c r="L237" s="351"/>
    </row>
    <row r="238" spans="1:12" x14ac:dyDescent="0.25">
      <c r="A238" s="155">
        <v>9</v>
      </c>
      <c r="B238" s="61" t="s">
        <v>395</v>
      </c>
      <c r="C238" s="81">
        <v>14000</v>
      </c>
      <c r="D238" s="145">
        <f>4400+1282.4</f>
        <v>5682.4</v>
      </c>
      <c r="E238" s="43">
        <v>110</v>
      </c>
      <c r="F238" s="61"/>
      <c r="G238" s="142">
        <f t="shared" si="36"/>
        <v>110</v>
      </c>
      <c r="H238" s="56"/>
      <c r="I238" s="57">
        <f t="shared" si="37"/>
        <v>110</v>
      </c>
      <c r="J238" s="57">
        <f t="shared" si="38"/>
        <v>1540000</v>
      </c>
      <c r="K238" s="58">
        <f t="shared" si="39"/>
        <v>625064</v>
      </c>
      <c r="L238" s="351"/>
    </row>
    <row r="239" spans="1:12" x14ac:dyDescent="0.25">
      <c r="A239" s="155">
        <v>10</v>
      </c>
      <c r="B239" s="61" t="s">
        <v>396</v>
      </c>
      <c r="C239" s="81">
        <v>5000</v>
      </c>
      <c r="D239" s="145">
        <f>192.39+2200</f>
        <v>2392.39</v>
      </c>
      <c r="E239" s="43">
        <v>25</v>
      </c>
      <c r="F239" s="61"/>
      <c r="G239" s="142">
        <f t="shared" si="36"/>
        <v>25</v>
      </c>
      <c r="H239" s="56"/>
      <c r="I239" s="57">
        <f t="shared" si="37"/>
        <v>25</v>
      </c>
      <c r="J239" s="57">
        <f t="shared" si="38"/>
        <v>125000</v>
      </c>
      <c r="K239" s="58">
        <f t="shared" si="39"/>
        <v>59809.75</v>
      </c>
      <c r="L239" s="351"/>
    </row>
    <row r="240" spans="1:12" x14ac:dyDescent="0.25">
      <c r="A240" s="155">
        <v>11</v>
      </c>
      <c r="B240" s="225" t="s">
        <v>397</v>
      </c>
      <c r="C240" s="81">
        <v>7000</v>
      </c>
      <c r="D240" s="145">
        <f>328.16+3960</f>
        <v>4288.16</v>
      </c>
      <c r="E240" s="43">
        <v>0</v>
      </c>
      <c r="F240" s="61"/>
      <c r="G240" s="142">
        <f t="shared" si="36"/>
        <v>0</v>
      </c>
      <c r="H240" s="56">
        <f>15-15</f>
        <v>0</v>
      </c>
      <c r="I240" s="57">
        <f t="shared" si="37"/>
        <v>0</v>
      </c>
      <c r="J240" s="57">
        <f t="shared" si="38"/>
        <v>0</v>
      </c>
      <c r="K240" s="58">
        <f t="shared" si="39"/>
        <v>0</v>
      </c>
      <c r="L240" s="351"/>
    </row>
    <row r="241" spans="1:12" x14ac:dyDescent="0.25">
      <c r="A241" s="155">
        <v>12</v>
      </c>
      <c r="B241" s="225" t="s">
        <v>398</v>
      </c>
      <c r="C241" s="81">
        <v>7000</v>
      </c>
      <c r="D241" s="145">
        <f>3960+735.57</f>
        <v>4695.57</v>
      </c>
      <c r="E241" s="43">
        <v>50</v>
      </c>
      <c r="F241" s="61"/>
      <c r="G241" s="142">
        <f t="shared" si="36"/>
        <v>50</v>
      </c>
      <c r="H241" s="56"/>
      <c r="I241" s="57">
        <f t="shared" si="37"/>
        <v>50</v>
      </c>
      <c r="J241" s="57">
        <f t="shared" si="38"/>
        <v>350000</v>
      </c>
      <c r="K241" s="58">
        <f t="shared" si="39"/>
        <v>234778.5</v>
      </c>
      <c r="L241" s="351"/>
    </row>
    <row r="242" spans="1:12" x14ac:dyDescent="0.25">
      <c r="A242" s="155">
        <v>13</v>
      </c>
      <c r="B242" s="61" t="s">
        <v>399</v>
      </c>
      <c r="C242" s="81">
        <v>5000</v>
      </c>
      <c r="D242" s="145">
        <v>1842.39</v>
      </c>
      <c r="E242" s="43">
        <v>0</v>
      </c>
      <c r="F242" s="61"/>
      <c r="G242" s="142">
        <f t="shared" si="36"/>
        <v>0</v>
      </c>
      <c r="H242" s="56">
        <f>10-10</f>
        <v>0</v>
      </c>
      <c r="I242" s="57">
        <f t="shared" si="37"/>
        <v>0</v>
      </c>
      <c r="J242" s="57">
        <f t="shared" si="38"/>
        <v>0</v>
      </c>
      <c r="K242" s="58">
        <f t="shared" si="39"/>
        <v>0</v>
      </c>
      <c r="L242" s="351"/>
    </row>
    <row r="243" spans="1:12" x14ac:dyDescent="0.25">
      <c r="A243" s="155">
        <v>14</v>
      </c>
      <c r="B243" s="224" t="s">
        <v>400</v>
      </c>
      <c r="C243" s="81">
        <v>7000</v>
      </c>
      <c r="D243" s="145">
        <f>182.09*4+1760</f>
        <v>2488.36</v>
      </c>
      <c r="E243" s="43">
        <v>100</v>
      </c>
      <c r="F243" s="61"/>
      <c r="G243" s="142">
        <f t="shared" si="36"/>
        <v>100</v>
      </c>
      <c r="H243" s="56">
        <f>64-64</f>
        <v>0</v>
      </c>
      <c r="I243" s="57">
        <f t="shared" si="37"/>
        <v>100</v>
      </c>
      <c r="J243" s="57">
        <f t="shared" si="38"/>
        <v>700000</v>
      </c>
      <c r="K243" s="58">
        <f t="shared" si="39"/>
        <v>248836</v>
      </c>
      <c r="L243" s="351"/>
    </row>
    <row r="244" spans="1:12" x14ac:dyDescent="0.25">
      <c r="A244" s="155">
        <v>15</v>
      </c>
      <c r="B244" s="224" t="s">
        <v>401</v>
      </c>
      <c r="C244" s="81">
        <v>7000</v>
      </c>
      <c r="D244" s="145">
        <f>634.7+1760</f>
        <v>2394.6999999999998</v>
      </c>
      <c r="E244" s="43">
        <v>165</v>
      </c>
      <c r="F244" s="61"/>
      <c r="G244" s="142">
        <f t="shared" si="36"/>
        <v>165</v>
      </c>
      <c r="H244" s="56"/>
      <c r="I244" s="57">
        <f t="shared" si="37"/>
        <v>165</v>
      </c>
      <c r="J244" s="57">
        <f t="shared" si="38"/>
        <v>1155000</v>
      </c>
      <c r="K244" s="58">
        <f t="shared" si="39"/>
        <v>395125.49999999994</v>
      </c>
      <c r="L244" s="351"/>
    </row>
    <row r="245" spans="1:12" x14ac:dyDescent="0.25">
      <c r="A245" s="155">
        <v>16</v>
      </c>
      <c r="B245" s="224" t="s">
        <v>402</v>
      </c>
      <c r="C245" s="81">
        <v>8000</v>
      </c>
      <c r="D245" s="145">
        <f>136.57*2+2050</f>
        <v>2323.14</v>
      </c>
      <c r="E245" s="43">
        <v>50</v>
      </c>
      <c r="F245" s="61"/>
      <c r="G245" s="142">
        <f t="shared" si="36"/>
        <v>50</v>
      </c>
      <c r="H245" s="56"/>
      <c r="I245" s="57">
        <f t="shared" si="37"/>
        <v>50</v>
      </c>
      <c r="J245" s="57">
        <f t="shared" si="38"/>
        <v>400000</v>
      </c>
      <c r="K245" s="58">
        <f t="shared" si="39"/>
        <v>116157</v>
      </c>
      <c r="L245" s="351"/>
    </row>
    <row r="246" spans="1:12" x14ac:dyDescent="0.25">
      <c r="A246" s="155">
        <v>17</v>
      </c>
      <c r="B246" s="61" t="s">
        <v>403</v>
      </c>
      <c r="C246" s="81">
        <v>20000</v>
      </c>
      <c r="D246" s="145">
        <f>2860+116.35*11</f>
        <v>4139.8500000000004</v>
      </c>
      <c r="E246" s="43">
        <v>90</v>
      </c>
      <c r="F246" s="61"/>
      <c r="G246" s="142">
        <f t="shared" si="36"/>
        <v>90</v>
      </c>
      <c r="H246" s="56"/>
      <c r="I246" s="57">
        <f t="shared" si="37"/>
        <v>90</v>
      </c>
      <c r="J246" s="57">
        <f t="shared" si="38"/>
        <v>1800000</v>
      </c>
      <c r="K246" s="58">
        <f t="shared" si="39"/>
        <v>372586.50000000006</v>
      </c>
      <c r="L246" s="351"/>
    </row>
    <row r="247" spans="1:12" x14ac:dyDescent="0.25">
      <c r="A247" s="155">
        <v>18</v>
      </c>
      <c r="B247" s="61" t="s">
        <v>404</v>
      </c>
      <c r="C247" s="81">
        <v>5000</v>
      </c>
      <c r="D247" s="145">
        <f>111.78*2+1760</f>
        <v>1983.56</v>
      </c>
      <c r="E247" s="43">
        <v>50</v>
      </c>
      <c r="F247" s="61"/>
      <c r="G247" s="142">
        <f t="shared" si="36"/>
        <v>50</v>
      </c>
      <c r="H247" s="56"/>
      <c r="I247" s="57">
        <f t="shared" si="37"/>
        <v>50</v>
      </c>
      <c r="J247" s="57">
        <f t="shared" si="38"/>
        <v>250000</v>
      </c>
      <c r="K247" s="58">
        <f t="shared" si="39"/>
        <v>99178</v>
      </c>
      <c r="L247" s="351"/>
    </row>
    <row r="248" spans="1:12" x14ac:dyDescent="0.25">
      <c r="A248" s="155">
        <v>19</v>
      </c>
      <c r="B248" s="61" t="s">
        <v>405</v>
      </c>
      <c r="C248" s="81">
        <v>7000</v>
      </c>
      <c r="D248" s="145">
        <f>1650+872.71</f>
        <v>2522.71</v>
      </c>
      <c r="E248" s="43">
        <v>25</v>
      </c>
      <c r="F248" s="61"/>
      <c r="G248" s="142">
        <f t="shared" si="36"/>
        <v>25</v>
      </c>
      <c r="H248" s="56"/>
      <c r="I248" s="57">
        <f t="shared" si="37"/>
        <v>25</v>
      </c>
      <c r="J248" s="57">
        <f t="shared" si="38"/>
        <v>175000</v>
      </c>
      <c r="K248" s="58">
        <f t="shared" si="39"/>
        <v>63067.75</v>
      </c>
      <c r="L248" s="351"/>
    </row>
    <row r="249" spans="1:12" x14ac:dyDescent="0.25">
      <c r="A249" s="155">
        <v>20</v>
      </c>
      <c r="B249" s="61" t="s">
        <v>406</v>
      </c>
      <c r="C249" s="81">
        <v>5000</v>
      </c>
      <c r="D249" s="145">
        <f>1650+192.39</f>
        <v>1842.3899999999999</v>
      </c>
      <c r="E249" s="43">
        <v>25</v>
      </c>
      <c r="F249" s="61"/>
      <c r="G249" s="142">
        <f t="shared" si="36"/>
        <v>25</v>
      </c>
      <c r="H249" s="56"/>
      <c r="I249" s="57">
        <f t="shared" si="37"/>
        <v>25</v>
      </c>
      <c r="J249" s="57">
        <f t="shared" si="38"/>
        <v>125000</v>
      </c>
      <c r="K249" s="58">
        <f t="shared" si="39"/>
        <v>46059.75</v>
      </c>
      <c r="L249" s="351"/>
    </row>
    <row r="250" spans="1:12" x14ac:dyDescent="0.25">
      <c r="A250" s="155">
        <v>21</v>
      </c>
      <c r="B250" s="61" t="s">
        <v>407</v>
      </c>
      <c r="C250" s="81">
        <v>4000</v>
      </c>
      <c r="D250" s="145">
        <f>1760+177.2</f>
        <v>1937.2</v>
      </c>
      <c r="E250" s="43">
        <v>10</v>
      </c>
      <c r="F250" s="61"/>
      <c r="G250" s="142">
        <f t="shared" si="36"/>
        <v>10</v>
      </c>
      <c r="H250" s="56"/>
      <c r="I250" s="57">
        <f t="shared" si="37"/>
        <v>10</v>
      </c>
      <c r="J250" s="57">
        <f t="shared" si="38"/>
        <v>40000</v>
      </c>
      <c r="K250" s="58">
        <f t="shared" si="39"/>
        <v>19372</v>
      </c>
      <c r="L250" s="351"/>
    </row>
    <row r="251" spans="1:12" ht="15.75" thickBot="1" x14ac:dyDescent="0.3">
      <c r="A251" s="173">
        <v>22</v>
      </c>
      <c r="B251" s="124" t="s">
        <v>408</v>
      </c>
      <c r="C251" s="119">
        <v>38500</v>
      </c>
      <c r="D251" s="193">
        <f>1540*11+11*231.84</f>
        <v>19490.240000000002</v>
      </c>
      <c r="E251" s="125">
        <v>59</v>
      </c>
      <c r="F251" s="124"/>
      <c r="G251" s="172">
        <f t="shared" si="36"/>
        <v>59</v>
      </c>
      <c r="H251" s="110"/>
      <c r="I251" s="111">
        <f t="shared" si="37"/>
        <v>59</v>
      </c>
      <c r="J251" s="111">
        <f t="shared" si="38"/>
        <v>2271500</v>
      </c>
      <c r="K251" s="112">
        <f t="shared" si="39"/>
        <v>1149924.1600000001</v>
      </c>
      <c r="L251" s="351"/>
    </row>
    <row r="252" spans="1:12" ht="15.75" thickBot="1" x14ac:dyDescent="0.3">
      <c r="A252" s="131"/>
      <c r="B252" s="122" t="s">
        <v>673</v>
      </c>
      <c r="C252" s="36"/>
      <c r="D252" s="36"/>
      <c r="E252" s="29">
        <f>SUM(E230:E251)</f>
        <v>1269</v>
      </c>
      <c r="F252" s="29">
        <f>SUM(F230:F251)</f>
        <v>0</v>
      </c>
      <c r="G252" s="29">
        <f>SUM(G230:G251)</f>
        <v>1269</v>
      </c>
      <c r="H252" s="29">
        <f>SUM(H230:H251)</f>
        <v>0</v>
      </c>
      <c r="I252" s="29">
        <f>SUM(I230:I251)</f>
        <v>1269</v>
      </c>
      <c r="J252" s="29">
        <f t="shared" ref="J252:K252" si="40">SUM(J230:J251)</f>
        <v>13084000</v>
      </c>
      <c r="K252" s="47">
        <f t="shared" si="40"/>
        <v>4676691.5600000005</v>
      </c>
      <c r="L252" s="218"/>
    </row>
    <row r="253" spans="1:12" ht="15.75" thickBot="1" x14ac:dyDescent="0.3">
      <c r="B253" s="164"/>
      <c r="C253" s="165"/>
      <c r="D253" s="166"/>
      <c r="E253" s="167"/>
      <c r="F253" s="68"/>
      <c r="G253" s="167"/>
      <c r="H253" s="167"/>
      <c r="I253" s="167"/>
      <c r="J253" s="167"/>
      <c r="K253" s="166"/>
      <c r="L253" s="166"/>
    </row>
    <row r="254" spans="1:12" ht="15.75" thickBot="1" x14ac:dyDescent="0.3">
      <c r="A254" s="365" t="s">
        <v>657</v>
      </c>
      <c r="B254" s="372" t="s">
        <v>708</v>
      </c>
      <c r="C254" s="372" t="s">
        <v>1</v>
      </c>
      <c r="D254" s="373" t="s">
        <v>649</v>
      </c>
      <c r="E254" s="374" t="s">
        <v>19</v>
      </c>
      <c r="F254" s="374"/>
      <c r="G254" s="374"/>
      <c r="H254" s="374"/>
      <c r="I254" s="374"/>
      <c r="J254" s="368" t="s">
        <v>21</v>
      </c>
      <c r="K254" s="370" t="s">
        <v>602</v>
      </c>
      <c r="L254" s="349"/>
    </row>
    <row r="255" spans="1:12" ht="30.75" thickBot="1" x14ac:dyDescent="0.3">
      <c r="A255" s="366"/>
      <c r="B255" s="372"/>
      <c r="C255" s="372"/>
      <c r="D255" s="373"/>
      <c r="E255" s="69" t="s">
        <v>22</v>
      </c>
      <c r="F255" s="69" t="s">
        <v>600</v>
      </c>
      <c r="G255" s="69" t="s">
        <v>601</v>
      </c>
      <c r="H255" s="69" t="s">
        <v>589</v>
      </c>
      <c r="I255" s="69" t="s">
        <v>601</v>
      </c>
      <c r="J255" s="369"/>
      <c r="K255" s="371"/>
      <c r="L255" s="349"/>
    </row>
    <row r="256" spans="1:12" ht="15.75" thickBot="1" x14ac:dyDescent="0.3">
      <c r="A256" s="367"/>
      <c r="B256" s="188">
        <v>1</v>
      </c>
      <c r="C256" s="188">
        <v>2</v>
      </c>
      <c r="D256" s="188">
        <v>3</v>
      </c>
      <c r="E256" s="71">
        <v>4</v>
      </c>
      <c r="F256" s="71">
        <f>+E256+1</f>
        <v>5</v>
      </c>
      <c r="G256" s="71" t="s">
        <v>652</v>
      </c>
      <c r="H256" s="71">
        <v>7</v>
      </c>
      <c r="I256" s="72" t="s">
        <v>651</v>
      </c>
      <c r="J256" s="42" t="s">
        <v>650</v>
      </c>
      <c r="K256" s="42" t="s">
        <v>653</v>
      </c>
      <c r="L256" s="350"/>
    </row>
    <row r="257" spans="1:12" x14ac:dyDescent="0.25">
      <c r="A257" s="163"/>
      <c r="B257" s="73" t="s">
        <v>706</v>
      </c>
      <c r="C257" s="55"/>
      <c r="D257" s="55"/>
      <c r="E257" s="55"/>
      <c r="F257" s="55"/>
      <c r="G257" s="55"/>
      <c r="H257" s="55"/>
      <c r="I257" s="55"/>
      <c r="J257" s="55"/>
      <c r="K257" s="55"/>
      <c r="L257" s="135"/>
    </row>
    <row r="258" spans="1:12" x14ac:dyDescent="0.25">
      <c r="A258" s="155">
        <v>1</v>
      </c>
      <c r="B258" s="61" t="s">
        <v>409</v>
      </c>
      <c r="C258" s="81">
        <v>11000</v>
      </c>
      <c r="D258" s="145">
        <v>2154.44</v>
      </c>
      <c r="E258" s="43">
        <v>13</v>
      </c>
      <c r="F258" s="61"/>
      <c r="G258" s="142">
        <f t="shared" ref="G258:G290" si="41">+E258+F258</f>
        <v>13</v>
      </c>
      <c r="H258" s="56"/>
      <c r="I258" s="57">
        <f t="shared" ref="I258:I290" si="42">+G258-H258</f>
        <v>13</v>
      </c>
      <c r="J258" s="57">
        <f t="shared" ref="J258:J290" si="43">I258*C258</f>
        <v>143000</v>
      </c>
      <c r="K258" s="58">
        <f t="shared" ref="K258:K290" si="44">+D258*I258</f>
        <v>28007.72</v>
      </c>
      <c r="L258" s="351"/>
    </row>
    <row r="259" spans="1:12" x14ac:dyDescent="0.25">
      <c r="A259" s="155">
        <v>2</v>
      </c>
      <c r="B259" s="61" t="s">
        <v>410</v>
      </c>
      <c r="C259" s="81">
        <v>7000</v>
      </c>
      <c r="D259" s="145">
        <v>2593.21</v>
      </c>
      <c r="E259" s="43">
        <v>33</v>
      </c>
      <c r="F259" s="61"/>
      <c r="G259" s="142">
        <f t="shared" si="41"/>
        <v>33</v>
      </c>
      <c r="H259" s="56"/>
      <c r="I259" s="57">
        <f t="shared" si="42"/>
        <v>33</v>
      </c>
      <c r="J259" s="57">
        <f t="shared" si="43"/>
        <v>231000</v>
      </c>
      <c r="K259" s="58">
        <f t="shared" si="44"/>
        <v>85575.930000000008</v>
      </c>
      <c r="L259" s="351"/>
    </row>
    <row r="260" spans="1:12" x14ac:dyDescent="0.25">
      <c r="A260" s="155">
        <v>3</v>
      </c>
      <c r="B260" s="61" t="s">
        <v>411</v>
      </c>
      <c r="C260" s="81">
        <v>8000</v>
      </c>
      <c r="D260" s="145">
        <v>2094.84</v>
      </c>
      <c r="E260" s="43">
        <v>90</v>
      </c>
      <c r="F260" s="61"/>
      <c r="G260" s="142">
        <f t="shared" si="41"/>
        <v>90</v>
      </c>
      <c r="H260" s="56"/>
      <c r="I260" s="57">
        <f t="shared" si="42"/>
        <v>90</v>
      </c>
      <c r="J260" s="57">
        <f t="shared" si="43"/>
        <v>720000</v>
      </c>
      <c r="K260" s="58">
        <f t="shared" si="44"/>
        <v>188535.6</v>
      </c>
      <c r="L260" s="351"/>
    </row>
    <row r="261" spans="1:12" x14ac:dyDescent="0.25">
      <c r="A261" s="155">
        <v>4</v>
      </c>
      <c r="B261" s="61" t="s">
        <v>412</v>
      </c>
      <c r="C261" s="81">
        <v>10000</v>
      </c>
      <c r="D261" s="145">
        <v>4514.84</v>
      </c>
      <c r="E261" s="43">
        <v>174</v>
      </c>
      <c r="F261" s="61"/>
      <c r="G261" s="142">
        <f t="shared" si="41"/>
        <v>174</v>
      </c>
      <c r="H261" s="56"/>
      <c r="I261" s="57">
        <f t="shared" si="42"/>
        <v>174</v>
      </c>
      <c r="J261" s="57">
        <f t="shared" si="43"/>
        <v>1740000</v>
      </c>
      <c r="K261" s="58">
        <f t="shared" si="44"/>
        <v>785582.16</v>
      </c>
      <c r="L261" s="363" t="s">
        <v>1014</v>
      </c>
    </row>
    <row r="262" spans="1:12" x14ac:dyDescent="0.25">
      <c r="A262" s="155">
        <v>5</v>
      </c>
      <c r="B262" s="224" t="s">
        <v>413</v>
      </c>
      <c r="C262" s="81">
        <v>6000</v>
      </c>
      <c r="D262" s="145">
        <v>2106.4</v>
      </c>
      <c r="E262" s="43">
        <v>5</v>
      </c>
      <c r="F262" s="61"/>
      <c r="G262" s="142">
        <f t="shared" si="41"/>
        <v>5</v>
      </c>
      <c r="H262" s="56"/>
      <c r="I262" s="57">
        <f t="shared" si="42"/>
        <v>5</v>
      </c>
      <c r="J262" s="57">
        <f t="shared" si="43"/>
        <v>30000</v>
      </c>
      <c r="K262" s="58">
        <f t="shared" si="44"/>
        <v>10532</v>
      </c>
      <c r="L262" s="351"/>
    </row>
    <row r="263" spans="1:12" x14ac:dyDescent="0.25">
      <c r="A263" s="155">
        <v>6</v>
      </c>
      <c r="B263" s="61" t="s">
        <v>414</v>
      </c>
      <c r="C263" s="81">
        <v>7000</v>
      </c>
      <c r="D263" s="145">
        <v>2830.73</v>
      </c>
      <c r="E263" s="43">
        <v>50</v>
      </c>
      <c r="F263" s="61"/>
      <c r="G263" s="142">
        <f t="shared" si="41"/>
        <v>50</v>
      </c>
      <c r="H263" s="56"/>
      <c r="I263" s="57">
        <f t="shared" si="42"/>
        <v>50</v>
      </c>
      <c r="J263" s="57">
        <f t="shared" si="43"/>
        <v>350000</v>
      </c>
      <c r="K263" s="58">
        <f t="shared" si="44"/>
        <v>141536.5</v>
      </c>
      <c r="L263" s="351"/>
    </row>
    <row r="264" spans="1:12" x14ac:dyDescent="0.25">
      <c r="A264" s="155">
        <v>7</v>
      </c>
      <c r="B264" s="224" t="s">
        <v>415</v>
      </c>
      <c r="C264" s="81">
        <v>7000</v>
      </c>
      <c r="D264" s="145">
        <v>2002.06</v>
      </c>
      <c r="E264" s="43">
        <v>200</v>
      </c>
      <c r="F264" s="61"/>
      <c r="G264" s="142">
        <f t="shared" si="41"/>
        <v>200</v>
      </c>
      <c r="H264" s="56"/>
      <c r="I264" s="57">
        <f t="shared" si="42"/>
        <v>200</v>
      </c>
      <c r="J264" s="57">
        <f t="shared" si="43"/>
        <v>1400000</v>
      </c>
      <c r="K264" s="58">
        <f t="shared" si="44"/>
        <v>400412</v>
      </c>
      <c r="L264" s="351"/>
    </row>
    <row r="265" spans="1:12" x14ac:dyDescent="0.25">
      <c r="A265" s="155">
        <v>8</v>
      </c>
      <c r="B265" s="61" t="s">
        <v>416</v>
      </c>
      <c r="C265" s="81">
        <v>5000</v>
      </c>
      <c r="D265" s="145">
        <v>1646.07</v>
      </c>
      <c r="E265" s="43">
        <v>50</v>
      </c>
      <c r="F265" s="61"/>
      <c r="G265" s="142">
        <f t="shared" si="41"/>
        <v>50</v>
      </c>
      <c r="H265" s="56"/>
      <c r="I265" s="57">
        <f t="shared" si="42"/>
        <v>50</v>
      </c>
      <c r="J265" s="57">
        <f t="shared" si="43"/>
        <v>250000</v>
      </c>
      <c r="K265" s="58">
        <f t="shared" si="44"/>
        <v>82303.5</v>
      </c>
      <c r="L265" s="351"/>
    </row>
    <row r="266" spans="1:12" x14ac:dyDescent="0.25">
      <c r="A266" s="155">
        <v>9</v>
      </c>
      <c r="B266" s="61" t="s">
        <v>318</v>
      </c>
      <c r="C266" s="81">
        <v>7000</v>
      </c>
      <c r="D266" s="145">
        <v>1955.38</v>
      </c>
      <c r="E266" s="43">
        <v>40</v>
      </c>
      <c r="F266" s="61"/>
      <c r="G266" s="142">
        <f t="shared" si="41"/>
        <v>40</v>
      </c>
      <c r="H266" s="56"/>
      <c r="I266" s="57">
        <f t="shared" si="42"/>
        <v>40</v>
      </c>
      <c r="J266" s="57">
        <f t="shared" si="43"/>
        <v>280000</v>
      </c>
      <c r="K266" s="58">
        <f t="shared" si="44"/>
        <v>78215.200000000012</v>
      </c>
      <c r="L266" s="351"/>
    </row>
    <row r="267" spans="1:12" x14ac:dyDescent="0.25">
      <c r="A267" s="155">
        <v>10</v>
      </c>
      <c r="B267" s="61" t="s">
        <v>319</v>
      </c>
      <c r="C267" s="81">
        <v>7000</v>
      </c>
      <c r="D267" s="145">
        <v>1458.95</v>
      </c>
      <c r="E267" s="43">
        <v>40</v>
      </c>
      <c r="F267" s="61"/>
      <c r="G267" s="142">
        <f t="shared" si="41"/>
        <v>40</v>
      </c>
      <c r="H267" s="56"/>
      <c r="I267" s="57">
        <f t="shared" si="42"/>
        <v>40</v>
      </c>
      <c r="J267" s="57">
        <f t="shared" si="43"/>
        <v>280000</v>
      </c>
      <c r="K267" s="58">
        <f t="shared" si="44"/>
        <v>58358</v>
      </c>
      <c r="L267" s="351"/>
    </row>
    <row r="268" spans="1:12" x14ac:dyDescent="0.25">
      <c r="A268" s="155">
        <v>11</v>
      </c>
      <c r="B268" s="61" t="s">
        <v>417</v>
      </c>
      <c r="C268" s="81">
        <v>5000</v>
      </c>
      <c r="D268" s="145">
        <f>1320+(3542/8)</f>
        <v>1762.75</v>
      </c>
      <c r="E268" s="43">
        <v>2600</v>
      </c>
      <c r="F268" s="61"/>
      <c r="G268" s="142">
        <f t="shared" si="41"/>
        <v>2600</v>
      </c>
      <c r="H268" s="56"/>
      <c r="I268" s="57">
        <f t="shared" si="42"/>
        <v>2600</v>
      </c>
      <c r="J268" s="57">
        <f t="shared" si="43"/>
        <v>13000000</v>
      </c>
      <c r="K268" s="58">
        <f t="shared" si="44"/>
        <v>4583150</v>
      </c>
      <c r="L268" s="351"/>
    </row>
    <row r="269" spans="1:12" x14ac:dyDescent="0.25">
      <c r="A269" s="155">
        <v>12</v>
      </c>
      <c r="B269" s="80" t="s">
        <v>418</v>
      </c>
      <c r="C269" s="81">
        <v>12000</v>
      </c>
      <c r="D269" s="145">
        <v>2253.37</v>
      </c>
      <c r="E269" s="43">
        <v>0</v>
      </c>
      <c r="F269" s="61"/>
      <c r="G269" s="142">
        <f t="shared" si="41"/>
        <v>0</v>
      </c>
      <c r="H269" s="56">
        <f>50-50</f>
        <v>0</v>
      </c>
      <c r="I269" s="57">
        <f t="shared" si="42"/>
        <v>0</v>
      </c>
      <c r="J269" s="57">
        <f t="shared" si="43"/>
        <v>0</v>
      </c>
      <c r="K269" s="58">
        <f t="shared" si="44"/>
        <v>0</v>
      </c>
      <c r="L269" s="351"/>
    </row>
    <row r="270" spans="1:12" x14ac:dyDescent="0.25">
      <c r="A270" s="155">
        <v>13</v>
      </c>
      <c r="B270" s="80" t="s">
        <v>419</v>
      </c>
      <c r="C270" s="81">
        <v>9500</v>
      </c>
      <c r="D270" s="145">
        <v>2051.96</v>
      </c>
      <c r="E270" s="43">
        <v>60</v>
      </c>
      <c r="F270" s="61"/>
      <c r="G270" s="142">
        <f t="shared" si="41"/>
        <v>60</v>
      </c>
      <c r="H270" s="56"/>
      <c r="I270" s="57">
        <f t="shared" si="42"/>
        <v>60</v>
      </c>
      <c r="J270" s="57">
        <f t="shared" si="43"/>
        <v>570000</v>
      </c>
      <c r="K270" s="58">
        <f t="shared" si="44"/>
        <v>123117.6</v>
      </c>
      <c r="L270" s="351"/>
    </row>
    <row r="271" spans="1:12" x14ac:dyDescent="0.25">
      <c r="A271" s="155">
        <v>14</v>
      </c>
      <c r="B271" s="80" t="s">
        <v>420</v>
      </c>
      <c r="C271" s="81">
        <v>7000</v>
      </c>
      <c r="D271" s="145">
        <v>1743.66</v>
      </c>
      <c r="E271" s="43">
        <v>60</v>
      </c>
      <c r="F271" s="61"/>
      <c r="G271" s="142">
        <f t="shared" si="41"/>
        <v>60</v>
      </c>
      <c r="H271" s="56"/>
      <c r="I271" s="57">
        <f t="shared" si="42"/>
        <v>60</v>
      </c>
      <c r="J271" s="57">
        <f t="shared" si="43"/>
        <v>420000</v>
      </c>
      <c r="K271" s="58">
        <f t="shared" si="44"/>
        <v>104619.6</v>
      </c>
      <c r="L271" s="351"/>
    </row>
    <row r="272" spans="1:12" x14ac:dyDescent="0.25">
      <c r="A272" s="155">
        <v>15</v>
      </c>
      <c r="B272" s="80" t="s">
        <v>421</v>
      </c>
      <c r="C272" s="81">
        <v>13500</v>
      </c>
      <c r="D272" s="145">
        <v>1935.04</v>
      </c>
      <c r="E272" s="43">
        <v>100</v>
      </c>
      <c r="F272" s="61"/>
      <c r="G272" s="142">
        <f t="shared" si="41"/>
        <v>100</v>
      </c>
      <c r="H272" s="56"/>
      <c r="I272" s="57">
        <f t="shared" si="42"/>
        <v>100</v>
      </c>
      <c r="J272" s="57">
        <f t="shared" si="43"/>
        <v>1350000</v>
      </c>
      <c r="K272" s="58">
        <f t="shared" si="44"/>
        <v>193504</v>
      </c>
      <c r="L272" s="351"/>
    </row>
    <row r="273" spans="1:12" x14ac:dyDescent="0.25">
      <c r="A273" s="155">
        <v>16</v>
      </c>
      <c r="B273" s="80" t="s">
        <v>422</v>
      </c>
      <c r="C273" s="81">
        <v>24000</v>
      </c>
      <c r="D273" s="145">
        <v>3985.2</v>
      </c>
      <c r="E273" s="43">
        <v>110</v>
      </c>
      <c r="F273" s="61"/>
      <c r="G273" s="142">
        <f t="shared" si="41"/>
        <v>110</v>
      </c>
      <c r="H273" s="56"/>
      <c r="I273" s="57">
        <f t="shared" si="42"/>
        <v>110</v>
      </c>
      <c r="J273" s="57">
        <f t="shared" si="43"/>
        <v>2640000</v>
      </c>
      <c r="K273" s="58">
        <f t="shared" si="44"/>
        <v>438372</v>
      </c>
      <c r="L273" s="351"/>
    </row>
    <row r="274" spans="1:12" x14ac:dyDescent="0.25">
      <c r="A274" s="155">
        <v>17</v>
      </c>
      <c r="B274" s="80" t="s">
        <v>423</v>
      </c>
      <c r="C274" s="81">
        <v>5000</v>
      </c>
      <c r="D274" s="145">
        <v>1786.46</v>
      </c>
      <c r="E274" s="43">
        <v>342</v>
      </c>
      <c r="F274" s="61"/>
      <c r="G274" s="142">
        <f t="shared" si="41"/>
        <v>342</v>
      </c>
      <c r="H274" s="56"/>
      <c r="I274" s="57">
        <f t="shared" si="42"/>
        <v>342</v>
      </c>
      <c r="J274" s="57">
        <f t="shared" si="43"/>
        <v>1710000</v>
      </c>
      <c r="K274" s="58">
        <f t="shared" si="44"/>
        <v>610969.32000000007</v>
      </c>
      <c r="L274" s="351"/>
    </row>
    <row r="275" spans="1:12" x14ac:dyDescent="0.25">
      <c r="A275" s="155">
        <v>18</v>
      </c>
      <c r="B275" s="80" t="s">
        <v>424</v>
      </c>
      <c r="C275" s="81">
        <v>7000</v>
      </c>
      <c r="D275" s="145">
        <v>1980.78</v>
      </c>
      <c r="E275" s="43">
        <v>45</v>
      </c>
      <c r="F275" s="61"/>
      <c r="G275" s="142">
        <f t="shared" si="41"/>
        <v>45</v>
      </c>
      <c r="H275" s="56"/>
      <c r="I275" s="57">
        <f t="shared" si="42"/>
        <v>45</v>
      </c>
      <c r="J275" s="57">
        <f t="shared" si="43"/>
        <v>315000</v>
      </c>
      <c r="K275" s="58">
        <f t="shared" si="44"/>
        <v>89135.1</v>
      </c>
      <c r="L275" s="351"/>
    </row>
    <row r="276" spans="1:12" x14ac:dyDescent="0.25">
      <c r="A276" s="155">
        <v>19</v>
      </c>
      <c r="B276" s="80" t="s">
        <v>425</v>
      </c>
      <c r="C276" s="81">
        <v>5000</v>
      </c>
      <c r="D276" s="145">
        <v>1848.18</v>
      </c>
      <c r="E276" s="43">
        <v>880</v>
      </c>
      <c r="F276" s="61"/>
      <c r="G276" s="142">
        <f t="shared" si="41"/>
        <v>880</v>
      </c>
      <c r="H276" s="56"/>
      <c r="I276" s="57">
        <f t="shared" si="42"/>
        <v>880</v>
      </c>
      <c r="J276" s="57">
        <f t="shared" si="43"/>
        <v>4400000</v>
      </c>
      <c r="K276" s="58">
        <f t="shared" si="44"/>
        <v>1626398.4000000001</v>
      </c>
      <c r="L276" s="351"/>
    </row>
    <row r="277" spans="1:12" x14ac:dyDescent="0.25">
      <c r="A277" s="155">
        <v>20</v>
      </c>
      <c r="B277" s="80" t="s">
        <v>426</v>
      </c>
      <c r="C277" s="81">
        <v>5000</v>
      </c>
      <c r="D277" s="145">
        <v>1881.84</v>
      </c>
      <c r="E277" s="43">
        <v>400</v>
      </c>
      <c r="F277" s="61"/>
      <c r="G277" s="142">
        <f t="shared" si="41"/>
        <v>400</v>
      </c>
      <c r="H277" s="56"/>
      <c r="I277" s="57">
        <f t="shared" si="42"/>
        <v>400</v>
      </c>
      <c r="J277" s="57">
        <f t="shared" si="43"/>
        <v>2000000</v>
      </c>
      <c r="K277" s="58">
        <f t="shared" si="44"/>
        <v>752736</v>
      </c>
      <c r="L277" s="351"/>
    </row>
    <row r="278" spans="1:12" x14ac:dyDescent="0.25">
      <c r="A278" s="155">
        <v>21</v>
      </c>
      <c r="B278" s="80" t="s">
        <v>427</v>
      </c>
      <c r="C278" s="81">
        <v>12000</v>
      </c>
      <c r="D278" s="145">
        <v>2204.1999999999998</v>
      </c>
      <c r="E278" s="43">
        <v>20</v>
      </c>
      <c r="F278" s="61"/>
      <c r="G278" s="142">
        <f t="shared" si="41"/>
        <v>20</v>
      </c>
      <c r="H278" s="56"/>
      <c r="I278" s="57">
        <f t="shared" si="42"/>
        <v>20</v>
      </c>
      <c r="J278" s="57">
        <f t="shared" si="43"/>
        <v>240000</v>
      </c>
      <c r="K278" s="58">
        <f t="shared" si="44"/>
        <v>44084</v>
      </c>
      <c r="L278" s="351"/>
    </row>
    <row r="279" spans="1:12" x14ac:dyDescent="0.25">
      <c r="A279" s="155">
        <v>22</v>
      </c>
      <c r="B279" s="80" t="s">
        <v>428</v>
      </c>
      <c r="C279" s="81">
        <v>7000</v>
      </c>
      <c r="D279" s="145">
        <v>3488.55</v>
      </c>
      <c r="E279" s="43">
        <v>1515</v>
      </c>
      <c r="F279" s="61"/>
      <c r="G279" s="142">
        <f t="shared" si="41"/>
        <v>1515</v>
      </c>
      <c r="H279" s="56"/>
      <c r="I279" s="57">
        <f t="shared" si="42"/>
        <v>1515</v>
      </c>
      <c r="J279" s="57">
        <f t="shared" si="43"/>
        <v>10605000</v>
      </c>
      <c r="K279" s="58">
        <f t="shared" si="44"/>
        <v>5285153.25</v>
      </c>
      <c r="L279" s="351"/>
    </row>
    <row r="280" spans="1:12" x14ac:dyDescent="0.25">
      <c r="A280" s="155">
        <v>23</v>
      </c>
      <c r="B280" s="80" t="s">
        <v>429</v>
      </c>
      <c r="C280" s="81">
        <v>19000</v>
      </c>
      <c r="D280" s="145">
        <v>2353.6999999999998</v>
      </c>
      <c r="E280" s="43">
        <v>30</v>
      </c>
      <c r="F280" s="61"/>
      <c r="G280" s="142">
        <f t="shared" si="41"/>
        <v>30</v>
      </c>
      <c r="H280" s="56"/>
      <c r="I280" s="57">
        <f t="shared" si="42"/>
        <v>30</v>
      </c>
      <c r="J280" s="57">
        <f t="shared" si="43"/>
        <v>570000</v>
      </c>
      <c r="K280" s="58">
        <f t="shared" si="44"/>
        <v>70611</v>
      </c>
      <c r="L280" s="351"/>
    </row>
    <row r="281" spans="1:12" x14ac:dyDescent="0.25">
      <c r="A281" s="155">
        <v>24</v>
      </c>
      <c r="B281" s="80" t="s">
        <v>430</v>
      </c>
      <c r="C281" s="81">
        <v>14500</v>
      </c>
      <c r="D281" s="145">
        <v>4092.45</v>
      </c>
      <c r="E281" s="43">
        <v>315</v>
      </c>
      <c r="F281" s="61"/>
      <c r="G281" s="142">
        <f t="shared" si="41"/>
        <v>315</v>
      </c>
      <c r="H281" s="56"/>
      <c r="I281" s="57">
        <f t="shared" si="42"/>
        <v>315</v>
      </c>
      <c r="J281" s="57">
        <f t="shared" si="43"/>
        <v>4567500</v>
      </c>
      <c r="K281" s="58">
        <f t="shared" si="44"/>
        <v>1289121.75</v>
      </c>
      <c r="L281" s="351"/>
    </row>
    <row r="282" spans="1:12" x14ac:dyDescent="0.25">
      <c r="A282" s="155">
        <v>25</v>
      </c>
      <c r="B282" s="80" t="s">
        <v>431</v>
      </c>
      <c r="C282" s="81">
        <v>12000</v>
      </c>
      <c r="D282" s="145">
        <v>2369.37</v>
      </c>
      <c r="E282" s="43">
        <v>1175</v>
      </c>
      <c r="F282" s="61"/>
      <c r="G282" s="142">
        <f t="shared" si="41"/>
        <v>1175</v>
      </c>
      <c r="H282" s="56"/>
      <c r="I282" s="57">
        <f t="shared" si="42"/>
        <v>1175</v>
      </c>
      <c r="J282" s="57">
        <f t="shared" si="43"/>
        <v>14100000</v>
      </c>
      <c r="K282" s="58">
        <f t="shared" si="44"/>
        <v>2784009.75</v>
      </c>
      <c r="L282" s="351"/>
    </row>
    <row r="283" spans="1:12" x14ac:dyDescent="0.25">
      <c r="A283" s="155">
        <v>26</v>
      </c>
      <c r="B283" s="80" t="s">
        <v>432</v>
      </c>
      <c r="C283" s="81">
        <v>7000</v>
      </c>
      <c r="D283" s="145">
        <v>1955.38</v>
      </c>
      <c r="E283" s="43">
        <v>115</v>
      </c>
      <c r="F283" s="61"/>
      <c r="G283" s="142">
        <f t="shared" si="41"/>
        <v>115</v>
      </c>
      <c r="H283" s="56"/>
      <c r="I283" s="57">
        <f t="shared" si="42"/>
        <v>115</v>
      </c>
      <c r="J283" s="57">
        <f t="shared" si="43"/>
        <v>805000</v>
      </c>
      <c r="K283" s="58">
        <f t="shared" si="44"/>
        <v>224868.7</v>
      </c>
      <c r="L283" s="351"/>
    </row>
    <row r="284" spans="1:12" x14ac:dyDescent="0.25">
      <c r="A284" s="155">
        <v>27</v>
      </c>
      <c r="B284" s="80" t="s">
        <v>433</v>
      </c>
      <c r="C284" s="81">
        <v>12000</v>
      </c>
      <c r="D284" s="145">
        <v>2321.0700000000002</v>
      </c>
      <c r="E284" s="43">
        <v>75</v>
      </c>
      <c r="F284" s="61"/>
      <c r="G284" s="142">
        <f t="shared" si="41"/>
        <v>75</v>
      </c>
      <c r="H284" s="56"/>
      <c r="I284" s="57">
        <f t="shared" si="42"/>
        <v>75</v>
      </c>
      <c r="J284" s="57">
        <f t="shared" si="43"/>
        <v>900000</v>
      </c>
      <c r="K284" s="58">
        <f t="shared" si="44"/>
        <v>174080.25</v>
      </c>
      <c r="L284" s="351"/>
    </row>
    <row r="285" spans="1:12" x14ac:dyDescent="0.25">
      <c r="A285" s="155">
        <v>28</v>
      </c>
      <c r="B285" s="80" t="s">
        <v>434</v>
      </c>
      <c r="C285" s="81">
        <v>11000</v>
      </c>
      <c r="D285" s="145">
        <f>495+98.95+(1416.8/8)</f>
        <v>771.05000000000007</v>
      </c>
      <c r="E285" s="43">
        <v>630</v>
      </c>
      <c r="F285" s="61"/>
      <c r="G285" s="142">
        <f t="shared" si="41"/>
        <v>630</v>
      </c>
      <c r="H285" s="56"/>
      <c r="I285" s="57">
        <f t="shared" si="42"/>
        <v>630</v>
      </c>
      <c r="J285" s="57">
        <f t="shared" si="43"/>
        <v>6930000</v>
      </c>
      <c r="K285" s="58">
        <f t="shared" si="44"/>
        <v>485761.50000000006</v>
      </c>
      <c r="L285" s="351"/>
    </row>
    <row r="286" spans="1:12" x14ac:dyDescent="0.25">
      <c r="A286" s="155">
        <v>29</v>
      </c>
      <c r="B286" s="80" t="s">
        <v>435</v>
      </c>
      <c r="C286" s="81">
        <v>11000</v>
      </c>
      <c r="D286" s="145">
        <f>495+98.95+(1416.8/8)</f>
        <v>771.05000000000007</v>
      </c>
      <c r="E286" s="43">
        <v>626</v>
      </c>
      <c r="F286" s="61"/>
      <c r="G286" s="142">
        <f t="shared" si="41"/>
        <v>626</v>
      </c>
      <c r="H286" s="56"/>
      <c r="I286" s="57">
        <f t="shared" si="42"/>
        <v>626</v>
      </c>
      <c r="J286" s="57">
        <f t="shared" si="43"/>
        <v>6886000</v>
      </c>
      <c r="K286" s="58">
        <f t="shared" si="44"/>
        <v>482677.30000000005</v>
      </c>
      <c r="L286" s="351"/>
    </row>
    <row r="287" spans="1:12" x14ac:dyDescent="0.25">
      <c r="A287" s="155">
        <v>30</v>
      </c>
      <c r="B287" s="80" t="s">
        <v>436</v>
      </c>
      <c r="C287" s="81">
        <v>11000</v>
      </c>
      <c r="D287" s="145">
        <f>495+98.95+(1416.8/8)</f>
        <v>771.05000000000007</v>
      </c>
      <c r="E287" s="43">
        <v>631</v>
      </c>
      <c r="F287" s="61"/>
      <c r="G287" s="142">
        <f t="shared" si="41"/>
        <v>631</v>
      </c>
      <c r="H287" s="56"/>
      <c r="I287" s="57">
        <f t="shared" si="42"/>
        <v>631</v>
      </c>
      <c r="J287" s="57">
        <f t="shared" si="43"/>
        <v>6941000</v>
      </c>
      <c r="K287" s="58">
        <f t="shared" si="44"/>
        <v>486532.55000000005</v>
      </c>
      <c r="L287" s="351"/>
    </row>
    <row r="288" spans="1:12" x14ac:dyDescent="0.25">
      <c r="A288" s="155">
        <v>31</v>
      </c>
      <c r="B288" s="227" t="s">
        <v>437</v>
      </c>
      <c r="C288" s="81">
        <v>5000</v>
      </c>
      <c r="D288" s="145">
        <v>2377.3200000000002</v>
      </c>
      <c r="E288" s="43">
        <v>250</v>
      </c>
      <c r="F288" s="61"/>
      <c r="G288" s="142">
        <f t="shared" si="41"/>
        <v>250</v>
      </c>
      <c r="H288" s="56"/>
      <c r="I288" s="57">
        <f t="shared" si="42"/>
        <v>250</v>
      </c>
      <c r="J288" s="57">
        <f t="shared" si="43"/>
        <v>1250000</v>
      </c>
      <c r="K288" s="58">
        <f t="shared" si="44"/>
        <v>594330</v>
      </c>
      <c r="L288" s="351"/>
    </row>
    <row r="289" spans="1:13" x14ac:dyDescent="0.25">
      <c r="A289" s="155">
        <v>32</v>
      </c>
      <c r="B289" s="227" t="s">
        <v>438</v>
      </c>
      <c r="C289" s="81">
        <v>5000</v>
      </c>
      <c r="D289" s="145">
        <v>2377.3200000000002</v>
      </c>
      <c r="E289" s="43">
        <v>42</v>
      </c>
      <c r="F289" s="61"/>
      <c r="G289" s="142">
        <f t="shared" si="41"/>
        <v>42</v>
      </c>
      <c r="H289" s="56"/>
      <c r="I289" s="57">
        <f t="shared" si="42"/>
        <v>42</v>
      </c>
      <c r="J289" s="57">
        <f t="shared" si="43"/>
        <v>210000</v>
      </c>
      <c r="K289" s="58">
        <f t="shared" si="44"/>
        <v>99847.44</v>
      </c>
      <c r="L289" s="351"/>
    </row>
    <row r="290" spans="1:13" ht="15.75" thickBot="1" x14ac:dyDescent="0.3">
      <c r="A290" s="156">
        <v>33</v>
      </c>
      <c r="B290" s="228" t="s">
        <v>439</v>
      </c>
      <c r="C290" s="83">
        <v>5000</v>
      </c>
      <c r="D290" s="148">
        <v>2377.3200000000002</v>
      </c>
      <c r="E290" s="157">
        <v>242</v>
      </c>
      <c r="F290" s="159"/>
      <c r="G290" s="150">
        <f t="shared" si="41"/>
        <v>242</v>
      </c>
      <c r="H290" s="59"/>
      <c r="I290" s="65">
        <f t="shared" si="42"/>
        <v>242</v>
      </c>
      <c r="J290" s="65">
        <f t="shared" si="43"/>
        <v>1210000</v>
      </c>
      <c r="K290" s="66">
        <f t="shared" si="44"/>
        <v>575311.44000000006</v>
      </c>
      <c r="L290" s="351"/>
    </row>
    <row r="291" spans="1:13" ht="15.75" thickBot="1" x14ac:dyDescent="0.3">
      <c r="A291" s="131"/>
      <c r="B291" s="122" t="s">
        <v>674</v>
      </c>
      <c r="C291" s="36"/>
      <c r="D291" s="36"/>
      <c r="E291" s="29">
        <f>SUM(E258:E290)</f>
        <v>10958</v>
      </c>
      <c r="F291" s="29">
        <f>SUM(F258:F290)</f>
        <v>0</v>
      </c>
      <c r="G291" s="29">
        <f>SUM(G258:G290)</f>
        <v>10958</v>
      </c>
      <c r="H291" s="29">
        <f>SUM(H258:H290)</f>
        <v>0</v>
      </c>
      <c r="I291" s="29">
        <f>SUM(I258:I290)</f>
        <v>10958</v>
      </c>
      <c r="J291" s="29">
        <f t="shared" ref="J291:K291" si="45">SUM(J258:J290)</f>
        <v>87043500</v>
      </c>
      <c r="K291" s="47">
        <f t="shared" si="45"/>
        <v>22977449.560000002</v>
      </c>
      <c r="L291" s="218"/>
    </row>
    <row r="292" spans="1:13" ht="15.75" thickBot="1" x14ac:dyDescent="0.3">
      <c r="B292" s="164"/>
      <c r="C292" s="165"/>
      <c r="D292" s="166"/>
      <c r="E292" s="167"/>
      <c r="F292" s="68"/>
      <c r="G292" s="167"/>
      <c r="H292" s="167"/>
      <c r="I292" s="167"/>
      <c r="J292" s="167"/>
      <c r="K292" s="166"/>
      <c r="L292" s="166"/>
    </row>
    <row r="293" spans="1:13" ht="15.75" thickBot="1" x14ac:dyDescent="0.3">
      <c r="A293" s="365" t="s">
        <v>657</v>
      </c>
      <c r="B293" s="372" t="s">
        <v>708</v>
      </c>
      <c r="C293" s="372" t="s">
        <v>1</v>
      </c>
      <c r="D293" s="373" t="s">
        <v>649</v>
      </c>
      <c r="E293" s="374" t="s">
        <v>19</v>
      </c>
      <c r="F293" s="374"/>
      <c r="G293" s="374"/>
      <c r="H293" s="374"/>
      <c r="I293" s="374"/>
      <c r="J293" s="368" t="s">
        <v>21</v>
      </c>
      <c r="K293" s="370" t="s">
        <v>602</v>
      </c>
      <c r="L293" s="349"/>
    </row>
    <row r="294" spans="1:13" ht="30.75" thickBot="1" x14ac:dyDescent="0.3">
      <c r="A294" s="366"/>
      <c r="B294" s="372"/>
      <c r="C294" s="372"/>
      <c r="D294" s="373"/>
      <c r="E294" s="69" t="s">
        <v>22</v>
      </c>
      <c r="F294" s="69" t="s">
        <v>600</v>
      </c>
      <c r="G294" s="69" t="s">
        <v>601</v>
      </c>
      <c r="H294" s="69" t="s">
        <v>589</v>
      </c>
      <c r="I294" s="69" t="s">
        <v>601</v>
      </c>
      <c r="J294" s="369"/>
      <c r="K294" s="371"/>
      <c r="L294" s="349"/>
    </row>
    <row r="295" spans="1:13" ht="15.75" thickBot="1" x14ac:dyDescent="0.3">
      <c r="A295" s="367"/>
      <c r="B295" s="188">
        <v>1</v>
      </c>
      <c r="C295" s="188">
        <v>2</v>
      </c>
      <c r="D295" s="188">
        <v>3</v>
      </c>
      <c r="E295" s="71">
        <v>4</v>
      </c>
      <c r="F295" s="71">
        <f>+E295+1</f>
        <v>5</v>
      </c>
      <c r="G295" s="71" t="s">
        <v>652</v>
      </c>
      <c r="H295" s="71">
        <v>7</v>
      </c>
      <c r="I295" s="72" t="s">
        <v>651</v>
      </c>
      <c r="J295" s="42" t="s">
        <v>650</v>
      </c>
      <c r="K295" s="42" t="s">
        <v>653</v>
      </c>
      <c r="L295" s="350"/>
    </row>
    <row r="296" spans="1:13" x14ac:dyDescent="0.25">
      <c r="A296" s="163"/>
      <c r="B296" s="73" t="s">
        <v>710</v>
      </c>
      <c r="C296" s="55"/>
      <c r="D296" s="55"/>
      <c r="E296" s="55"/>
      <c r="F296" s="55"/>
      <c r="G296" s="55"/>
      <c r="H296" s="55"/>
      <c r="I296" s="55"/>
      <c r="J296" s="55"/>
      <c r="K296" s="55"/>
      <c r="L296" s="135"/>
    </row>
    <row r="297" spans="1:13" x14ac:dyDescent="0.25">
      <c r="A297" s="155">
        <v>1</v>
      </c>
      <c r="B297" s="80" t="s">
        <v>440</v>
      </c>
      <c r="C297" s="81">
        <v>9500</v>
      </c>
      <c r="D297" s="145">
        <v>2053.04</v>
      </c>
      <c r="E297" s="43">
        <v>20</v>
      </c>
      <c r="F297" s="61"/>
      <c r="G297" s="142">
        <f t="shared" ref="G297:G309" si="46">+E297+F297</f>
        <v>20</v>
      </c>
      <c r="H297" s="56"/>
      <c r="I297" s="57">
        <f t="shared" ref="I297:I309" si="47">+G297-H297</f>
        <v>20</v>
      </c>
      <c r="J297" s="57">
        <f t="shared" ref="J297:J309" si="48">I297*C297</f>
        <v>190000</v>
      </c>
      <c r="K297" s="58">
        <f t="shared" ref="K297:K309" si="49">+D297*I297</f>
        <v>41060.800000000003</v>
      </c>
      <c r="L297" s="351"/>
    </row>
    <row r="298" spans="1:13" x14ac:dyDescent="0.25">
      <c r="A298" s="155">
        <v>2</v>
      </c>
      <c r="B298" s="80" t="s">
        <v>441</v>
      </c>
      <c r="C298" s="81">
        <v>19000</v>
      </c>
      <c r="D298" s="145">
        <v>2163.04</v>
      </c>
      <c r="E298" s="43">
        <v>49</v>
      </c>
      <c r="F298" s="61"/>
      <c r="G298" s="142">
        <f t="shared" si="46"/>
        <v>49</v>
      </c>
      <c r="H298" s="56"/>
      <c r="I298" s="57">
        <f t="shared" si="47"/>
        <v>49</v>
      </c>
      <c r="J298" s="57">
        <f t="shared" si="48"/>
        <v>931000</v>
      </c>
      <c r="K298" s="58">
        <f t="shared" si="49"/>
        <v>105988.95999999999</v>
      </c>
      <c r="L298" s="351"/>
      <c r="M298" s="53" t="s">
        <v>862</v>
      </c>
    </row>
    <row r="299" spans="1:13" x14ac:dyDescent="0.25">
      <c r="A299" s="155">
        <v>3</v>
      </c>
      <c r="B299" s="80" t="s">
        <v>442</v>
      </c>
      <c r="C299" s="81">
        <v>7000</v>
      </c>
      <c r="D299" s="145">
        <v>1700</v>
      </c>
      <c r="E299" s="43">
        <v>200</v>
      </c>
      <c r="F299" s="61"/>
      <c r="G299" s="142">
        <f t="shared" si="46"/>
        <v>200</v>
      </c>
      <c r="H299" s="56"/>
      <c r="I299" s="57">
        <f t="shared" si="47"/>
        <v>200</v>
      </c>
      <c r="J299" s="57">
        <f t="shared" si="48"/>
        <v>1400000</v>
      </c>
      <c r="K299" s="58">
        <f t="shared" si="49"/>
        <v>340000</v>
      </c>
      <c r="L299" s="351"/>
    </row>
    <row r="300" spans="1:13" x14ac:dyDescent="0.25">
      <c r="A300" s="155">
        <v>4</v>
      </c>
      <c r="B300" s="80" t="s">
        <v>877</v>
      </c>
      <c r="C300" s="81">
        <v>36000</v>
      </c>
      <c r="D300" s="103">
        <f>1591*8</f>
        <v>12728</v>
      </c>
      <c r="E300" s="43">
        <f>100+100</f>
        <v>200</v>
      </c>
      <c r="F300" s="61"/>
      <c r="G300" s="142">
        <f t="shared" si="46"/>
        <v>200</v>
      </c>
      <c r="H300" s="56"/>
      <c r="I300" s="57">
        <f t="shared" si="47"/>
        <v>200</v>
      </c>
      <c r="J300" s="57">
        <f t="shared" si="48"/>
        <v>7200000</v>
      </c>
      <c r="K300" s="58">
        <f t="shared" si="49"/>
        <v>2545600</v>
      </c>
      <c r="L300" s="351"/>
    </row>
    <row r="301" spans="1:13" x14ac:dyDescent="0.25">
      <c r="A301" s="155">
        <v>5</v>
      </c>
      <c r="B301" s="80" t="s">
        <v>633</v>
      </c>
      <c r="C301" s="81">
        <v>6000</v>
      </c>
      <c r="D301" s="145">
        <f>+'[2]SHP,SP'!$D$762</f>
        <v>2103</v>
      </c>
      <c r="E301" s="43">
        <v>60</v>
      </c>
      <c r="F301" s="61"/>
      <c r="G301" s="142">
        <f t="shared" si="46"/>
        <v>60</v>
      </c>
      <c r="H301" s="56"/>
      <c r="I301" s="57">
        <f t="shared" si="47"/>
        <v>60</v>
      </c>
      <c r="J301" s="57">
        <f t="shared" si="48"/>
        <v>360000</v>
      </c>
      <c r="K301" s="58">
        <f t="shared" si="49"/>
        <v>126180</v>
      </c>
      <c r="L301" s="351"/>
    </row>
    <row r="302" spans="1:13" x14ac:dyDescent="0.25">
      <c r="A302" s="155">
        <v>6</v>
      </c>
      <c r="B302" s="220" t="s">
        <v>443</v>
      </c>
      <c r="C302" s="81">
        <f>+'[7]KEL C-2'!$GF$4</f>
        <v>12000</v>
      </c>
      <c r="D302" s="61"/>
      <c r="E302" s="43">
        <v>100</v>
      </c>
      <c r="F302" s="61"/>
      <c r="G302" s="142">
        <f t="shared" si="46"/>
        <v>100</v>
      </c>
      <c r="H302" s="56"/>
      <c r="I302" s="57">
        <f t="shared" si="47"/>
        <v>100</v>
      </c>
      <c r="J302" s="57">
        <f t="shared" si="48"/>
        <v>1200000</v>
      </c>
      <c r="K302" s="58">
        <f t="shared" si="49"/>
        <v>0</v>
      </c>
      <c r="L302" s="351"/>
    </row>
    <row r="303" spans="1:13" x14ac:dyDescent="0.25">
      <c r="A303" s="155">
        <v>7</v>
      </c>
      <c r="B303" s="80" t="s">
        <v>444</v>
      </c>
      <c r="C303" s="81">
        <f>+'[7]KEL C-2'!$FX$4</f>
        <v>7000</v>
      </c>
      <c r="D303" s="61"/>
      <c r="E303" s="43">
        <v>100</v>
      </c>
      <c r="F303" s="61"/>
      <c r="G303" s="142">
        <f t="shared" si="46"/>
        <v>100</v>
      </c>
      <c r="H303" s="56"/>
      <c r="I303" s="57">
        <f t="shared" si="47"/>
        <v>100</v>
      </c>
      <c r="J303" s="57">
        <f t="shared" si="48"/>
        <v>700000</v>
      </c>
      <c r="K303" s="58">
        <f t="shared" si="49"/>
        <v>0</v>
      </c>
      <c r="L303" s="351"/>
    </row>
    <row r="304" spans="1:13" x14ac:dyDescent="0.25">
      <c r="A304" s="155">
        <v>8</v>
      </c>
      <c r="B304" s="80" t="s">
        <v>445</v>
      </c>
      <c r="C304" s="81">
        <f>+'[8]KEL C-2'!$GH$4</f>
        <v>7000</v>
      </c>
      <c r="D304" s="145"/>
      <c r="E304" s="43">
        <v>100</v>
      </c>
      <c r="F304" s="61"/>
      <c r="G304" s="142">
        <f t="shared" si="46"/>
        <v>100</v>
      </c>
      <c r="H304" s="56"/>
      <c r="I304" s="57">
        <f t="shared" si="47"/>
        <v>100</v>
      </c>
      <c r="J304" s="57">
        <f t="shared" si="48"/>
        <v>700000</v>
      </c>
      <c r="K304" s="58">
        <f t="shared" si="49"/>
        <v>0</v>
      </c>
      <c r="L304" s="351"/>
    </row>
    <row r="305" spans="1:12" x14ac:dyDescent="0.25">
      <c r="A305" s="155">
        <v>9</v>
      </c>
      <c r="B305" s="80" t="s">
        <v>446</v>
      </c>
      <c r="C305" s="81">
        <f>+'[8]KEL C-2'!$GG$4</f>
        <v>7000</v>
      </c>
      <c r="D305" s="145"/>
      <c r="E305" s="43">
        <v>78</v>
      </c>
      <c r="F305" s="61"/>
      <c r="G305" s="142">
        <f t="shared" si="46"/>
        <v>78</v>
      </c>
      <c r="H305" s="56"/>
      <c r="I305" s="57">
        <f t="shared" si="47"/>
        <v>78</v>
      </c>
      <c r="J305" s="57">
        <f t="shared" si="48"/>
        <v>546000</v>
      </c>
      <c r="K305" s="58">
        <f t="shared" si="49"/>
        <v>0</v>
      </c>
      <c r="L305" s="351"/>
    </row>
    <row r="306" spans="1:12" x14ac:dyDescent="0.25">
      <c r="A306" s="155">
        <v>10</v>
      </c>
      <c r="B306" s="80" t="str">
        <f>+'[8]KEL C-2'!$HL$2</f>
        <v>SHP JATI DIRI BANGSA</v>
      </c>
      <c r="C306" s="81">
        <f>+'[8]KEL C-2'!$HL$4</f>
        <v>9500</v>
      </c>
      <c r="D306" s="145">
        <v>1700</v>
      </c>
      <c r="E306" s="43">
        <v>98</v>
      </c>
      <c r="F306" s="61"/>
      <c r="G306" s="142">
        <f t="shared" si="46"/>
        <v>98</v>
      </c>
      <c r="H306" s="56"/>
      <c r="I306" s="57">
        <f t="shared" si="47"/>
        <v>98</v>
      </c>
      <c r="J306" s="57">
        <f t="shared" si="48"/>
        <v>931000</v>
      </c>
      <c r="K306" s="58">
        <f t="shared" si="49"/>
        <v>166600</v>
      </c>
      <c r="L306" s="351"/>
    </row>
    <row r="307" spans="1:12" x14ac:dyDescent="0.25">
      <c r="A307" s="155">
        <v>11</v>
      </c>
      <c r="B307" s="80" t="str">
        <f>+'[8]KEL C-2'!$HM$2</f>
        <v>SP 266 POS</v>
      </c>
      <c r="C307" s="81">
        <f>+'[8]KEL C-2'!$HM$4</f>
        <v>5000</v>
      </c>
      <c r="D307" s="145">
        <v>1850</v>
      </c>
      <c r="E307" s="43">
        <v>100</v>
      </c>
      <c r="F307" s="61"/>
      <c r="G307" s="142">
        <f t="shared" si="46"/>
        <v>100</v>
      </c>
      <c r="H307" s="56"/>
      <c r="I307" s="57">
        <f t="shared" si="47"/>
        <v>100</v>
      </c>
      <c r="J307" s="57">
        <f t="shared" si="48"/>
        <v>500000</v>
      </c>
      <c r="K307" s="58">
        <f t="shared" si="49"/>
        <v>185000</v>
      </c>
      <c r="L307" s="351"/>
    </row>
    <row r="308" spans="1:12" x14ac:dyDescent="0.25">
      <c r="A308" s="155">
        <v>12</v>
      </c>
      <c r="B308" s="227" t="s">
        <v>447</v>
      </c>
      <c r="C308" s="81">
        <v>14500</v>
      </c>
      <c r="D308" s="61"/>
      <c r="E308" s="43">
        <v>900</v>
      </c>
      <c r="F308" s="61"/>
      <c r="G308" s="142">
        <f t="shared" si="46"/>
        <v>900</v>
      </c>
      <c r="H308" s="56"/>
      <c r="I308" s="57">
        <f t="shared" si="47"/>
        <v>900</v>
      </c>
      <c r="J308" s="57">
        <f t="shared" si="48"/>
        <v>13050000</v>
      </c>
      <c r="K308" s="58">
        <f t="shared" si="49"/>
        <v>0</v>
      </c>
      <c r="L308" s="351"/>
    </row>
    <row r="309" spans="1:12" ht="15.75" thickBot="1" x14ac:dyDescent="0.3">
      <c r="A309" s="156">
        <v>13</v>
      </c>
      <c r="B309" s="147" t="s">
        <v>448</v>
      </c>
      <c r="C309" s="83">
        <v>7000</v>
      </c>
      <c r="D309" s="159"/>
      <c r="E309" s="157">
        <v>400</v>
      </c>
      <c r="F309" s="159"/>
      <c r="G309" s="150">
        <f t="shared" si="46"/>
        <v>400</v>
      </c>
      <c r="H309" s="59"/>
      <c r="I309" s="65">
        <f t="shared" si="47"/>
        <v>400</v>
      </c>
      <c r="J309" s="65">
        <f t="shared" si="48"/>
        <v>2800000</v>
      </c>
      <c r="K309" s="66">
        <f t="shared" si="49"/>
        <v>0</v>
      </c>
      <c r="L309" s="351"/>
    </row>
    <row r="310" spans="1:12" ht="15.75" thickBot="1" x14ac:dyDescent="0.3">
      <c r="A310" s="131"/>
      <c r="B310" s="122" t="s">
        <v>676</v>
      </c>
      <c r="C310" s="36"/>
      <c r="D310" s="36"/>
      <c r="E310" s="29">
        <f t="shared" ref="E310:K310" si="50">SUM(E297:E309)</f>
        <v>2405</v>
      </c>
      <c r="F310" s="29">
        <f t="shared" si="50"/>
        <v>0</v>
      </c>
      <c r="G310" s="29">
        <f t="shared" si="50"/>
        <v>2405</v>
      </c>
      <c r="H310" s="29">
        <f t="shared" si="50"/>
        <v>0</v>
      </c>
      <c r="I310" s="29">
        <f t="shared" si="50"/>
        <v>2405</v>
      </c>
      <c r="J310" s="29">
        <f t="shared" si="50"/>
        <v>30508000</v>
      </c>
      <c r="K310" s="47">
        <f t="shared" si="50"/>
        <v>3510429.76</v>
      </c>
      <c r="L310" s="218"/>
    </row>
    <row r="311" spans="1:12" ht="15.75" thickBot="1" x14ac:dyDescent="0.3">
      <c r="B311" s="164"/>
      <c r="C311" s="165"/>
      <c r="D311" s="166"/>
      <c r="E311" s="167"/>
      <c r="F311" s="68"/>
      <c r="G311" s="167"/>
      <c r="H311" s="167"/>
      <c r="I311" s="167"/>
      <c r="J311" s="167"/>
      <c r="K311" s="166"/>
      <c r="L311" s="166"/>
    </row>
    <row r="312" spans="1:12" ht="15.75" thickBot="1" x14ac:dyDescent="0.3">
      <c r="A312" s="365" t="s">
        <v>657</v>
      </c>
      <c r="B312" s="372" t="s">
        <v>708</v>
      </c>
      <c r="C312" s="372" t="s">
        <v>1</v>
      </c>
      <c r="D312" s="373" t="s">
        <v>649</v>
      </c>
      <c r="E312" s="374" t="s">
        <v>19</v>
      </c>
      <c r="F312" s="374"/>
      <c r="G312" s="374"/>
      <c r="H312" s="374"/>
      <c r="I312" s="374"/>
      <c r="J312" s="368" t="s">
        <v>21</v>
      </c>
      <c r="K312" s="370" t="s">
        <v>602</v>
      </c>
      <c r="L312" s="349"/>
    </row>
    <row r="313" spans="1:12" ht="30.75" thickBot="1" x14ac:dyDescent="0.3">
      <c r="A313" s="366"/>
      <c r="B313" s="372"/>
      <c r="C313" s="372"/>
      <c r="D313" s="373"/>
      <c r="E313" s="69" t="s">
        <v>22</v>
      </c>
      <c r="F313" s="69" t="s">
        <v>600</v>
      </c>
      <c r="G313" s="69" t="s">
        <v>601</v>
      </c>
      <c r="H313" s="69" t="s">
        <v>589</v>
      </c>
      <c r="I313" s="69" t="s">
        <v>601</v>
      </c>
      <c r="J313" s="369"/>
      <c r="K313" s="371"/>
      <c r="L313" s="349"/>
    </row>
    <row r="314" spans="1:12" ht="15.75" thickBot="1" x14ac:dyDescent="0.3">
      <c r="A314" s="367"/>
      <c r="B314" s="188">
        <v>1</v>
      </c>
      <c r="C314" s="188">
        <v>2</v>
      </c>
      <c r="D314" s="188">
        <v>3</v>
      </c>
      <c r="E314" s="71">
        <v>4</v>
      </c>
      <c r="F314" s="71">
        <f>+E314+1</f>
        <v>5</v>
      </c>
      <c r="G314" s="71" t="s">
        <v>652</v>
      </c>
      <c r="H314" s="71">
        <v>7</v>
      </c>
      <c r="I314" s="72" t="s">
        <v>651</v>
      </c>
      <c r="J314" s="42" t="s">
        <v>650</v>
      </c>
      <c r="K314" s="42" t="s">
        <v>653</v>
      </c>
      <c r="L314" s="350"/>
    </row>
    <row r="315" spans="1:12" x14ac:dyDescent="0.25">
      <c r="A315" s="163"/>
      <c r="B315" s="73" t="s">
        <v>711</v>
      </c>
      <c r="C315" s="55"/>
      <c r="D315" s="55"/>
      <c r="E315" s="55"/>
      <c r="F315" s="55"/>
      <c r="G315" s="55"/>
      <c r="H315" s="55"/>
      <c r="I315" s="55"/>
      <c r="J315" s="55"/>
      <c r="K315" s="55"/>
      <c r="L315" s="135"/>
    </row>
    <row r="316" spans="1:12" x14ac:dyDescent="0.25">
      <c r="A316" s="155">
        <v>1</v>
      </c>
      <c r="B316" s="80" t="s">
        <v>745</v>
      </c>
      <c r="C316" s="81">
        <f>+'[5]KEL C-2'!$GQ$4</f>
        <v>17500</v>
      </c>
      <c r="D316" s="145">
        <f>+'[2]SHP,SP'!$D$751</f>
        <v>2068</v>
      </c>
      <c r="E316" s="43">
        <v>3897</v>
      </c>
      <c r="F316" s="61"/>
      <c r="G316" s="142">
        <f t="shared" ref="G316:G334" si="51">+E316+F316</f>
        <v>3897</v>
      </c>
      <c r="H316" s="56"/>
      <c r="I316" s="57">
        <f t="shared" ref="I316:I334" si="52">+G316-H316</f>
        <v>3897</v>
      </c>
      <c r="J316" s="57">
        <f t="shared" ref="J316:J334" si="53">I316*C316</f>
        <v>68197500</v>
      </c>
      <c r="K316" s="58">
        <f t="shared" ref="K316:K334" si="54">+D316*I316</f>
        <v>8058996</v>
      </c>
      <c r="L316" s="351"/>
    </row>
    <row r="317" spans="1:12" x14ac:dyDescent="0.25">
      <c r="A317" s="155">
        <v>2</v>
      </c>
      <c r="B317" s="80" t="s">
        <v>746</v>
      </c>
      <c r="C317" s="81">
        <v>12500</v>
      </c>
      <c r="D317" s="145">
        <f>+'[2]SHP,SP'!$D$752</f>
        <v>2628</v>
      </c>
      <c r="E317" s="43">
        <v>3897</v>
      </c>
      <c r="F317" s="61"/>
      <c r="G317" s="142">
        <f t="shared" si="51"/>
        <v>3897</v>
      </c>
      <c r="H317" s="56"/>
      <c r="I317" s="57">
        <f t="shared" si="52"/>
        <v>3897</v>
      </c>
      <c r="J317" s="57">
        <f t="shared" si="53"/>
        <v>48712500</v>
      </c>
      <c r="K317" s="58">
        <f t="shared" si="54"/>
        <v>10241316</v>
      </c>
      <c r="L317" s="351"/>
    </row>
    <row r="318" spans="1:12" x14ac:dyDescent="0.25">
      <c r="A318" s="155">
        <v>3</v>
      </c>
      <c r="B318" s="80" t="s">
        <v>747</v>
      </c>
      <c r="C318" s="81">
        <f>+'[1]KEL C-2'!$GS$4</f>
        <v>7500</v>
      </c>
      <c r="D318" s="145">
        <f>+'[2]SHP,SP'!$D$753</f>
        <v>2103</v>
      </c>
      <c r="E318" s="43">
        <v>624</v>
      </c>
      <c r="F318" s="61"/>
      <c r="G318" s="142">
        <f t="shared" si="51"/>
        <v>624</v>
      </c>
      <c r="H318" s="56"/>
      <c r="I318" s="57">
        <f t="shared" si="52"/>
        <v>624</v>
      </c>
      <c r="J318" s="57">
        <f t="shared" si="53"/>
        <v>4680000</v>
      </c>
      <c r="K318" s="58">
        <f t="shared" si="54"/>
        <v>1312272</v>
      </c>
      <c r="L318" s="351"/>
    </row>
    <row r="319" spans="1:12" x14ac:dyDescent="0.25">
      <c r="A319" s="155">
        <v>4</v>
      </c>
      <c r="B319" s="227" t="s">
        <v>748</v>
      </c>
      <c r="C319" s="81">
        <f>+'[1]KEL C-2'!$GT$4</f>
        <v>12500</v>
      </c>
      <c r="D319" s="145">
        <f>+'[2]SHP,SP'!$D$755</f>
        <v>1850</v>
      </c>
      <c r="E319" s="43">
        <v>0</v>
      </c>
      <c r="F319" s="61"/>
      <c r="G319" s="142">
        <f t="shared" si="51"/>
        <v>0</v>
      </c>
      <c r="H319" s="56"/>
      <c r="I319" s="57">
        <f t="shared" si="52"/>
        <v>0</v>
      </c>
      <c r="J319" s="57">
        <f t="shared" si="53"/>
        <v>0</v>
      </c>
      <c r="K319" s="58">
        <f t="shared" si="54"/>
        <v>0</v>
      </c>
      <c r="L319" s="351"/>
    </row>
    <row r="320" spans="1:12" x14ac:dyDescent="0.25">
      <c r="A320" s="155">
        <v>5</v>
      </c>
      <c r="B320" s="80" t="s">
        <v>749</v>
      </c>
      <c r="C320" s="81">
        <f>+'[1]KEL C-2'!$GU$4</f>
        <v>5000</v>
      </c>
      <c r="D320" s="145">
        <f>+'[2]SHP,SP'!$D$756</f>
        <v>1850</v>
      </c>
      <c r="E320" s="43">
        <v>0</v>
      </c>
      <c r="F320" s="61"/>
      <c r="G320" s="142">
        <f t="shared" si="51"/>
        <v>0</v>
      </c>
      <c r="H320" s="56"/>
      <c r="I320" s="57">
        <f t="shared" si="52"/>
        <v>0</v>
      </c>
      <c r="J320" s="57">
        <f t="shared" si="53"/>
        <v>0</v>
      </c>
      <c r="K320" s="58">
        <f t="shared" si="54"/>
        <v>0</v>
      </c>
      <c r="L320" s="351"/>
    </row>
    <row r="321" spans="1:13" x14ac:dyDescent="0.25">
      <c r="A321" s="155">
        <v>6</v>
      </c>
      <c r="B321" s="80" t="s">
        <v>750</v>
      </c>
      <c r="C321" s="81">
        <f>+'[3]KEL C-2'!$GV$4</f>
        <v>37500</v>
      </c>
      <c r="D321" s="145">
        <f>+'[2]SHP,SP'!$D$754</f>
        <v>5291</v>
      </c>
      <c r="E321" s="43">
        <v>200</v>
      </c>
      <c r="F321" s="61"/>
      <c r="G321" s="142">
        <f t="shared" si="51"/>
        <v>200</v>
      </c>
      <c r="H321" s="56"/>
      <c r="I321" s="57">
        <f t="shared" si="52"/>
        <v>200</v>
      </c>
      <c r="J321" s="57">
        <f t="shared" si="53"/>
        <v>7500000</v>
      </c>
      <c r="K321" s="58">
        <f t="shared" si="54"/>
        <v>1058200</v>
      </c>
      <c r="L321" s="351"/>
    </row>
    <row r="322" spans="1:13" x14ac:dyDescent="0.25">
      <c r="A322" s="155">
        <v>7</v>
      </c>
      <c r="B322" s="80" t="s">
        <v>751</v>
      </c>
      <c r="C322" s="81">
        <f>+'[9]KEL C-2'!$GW$4</f>
        <v>18500</v>
      </c>
      <c r="D322" s="145">
        <v>2323.2399999999998</v>
      </c>
      <c r="E322" s="43">
        <v>125</v>
      </c>
      <c r="F322" s="61"/>
      <c r="G322" s="142">
        <f t="shared" si="51"/>
        <v>125</v>
      </c>
      <c r="H322" s="56"/>
      <c r="I322" s="57">
        <f t="shared" si="52"/>
        <v>125</v>
      </c>
      <c r="J322" s="57">
        <f t="shared" si="53"/>
        <v>2312500</v>
      </c>
      <c r="K322" s="58">
        <f t="shared" si="54"/>
        <v>290405</v>
      </c>
      <c r="L322" s="351"/>
    </row>
    <row r="323" spans="1:13" x14ac:dyDescent="0.25">
      <c r="A323" s="155">
        <v>8</v>
      </c>
      <c r="B323" s="80" t="s">
        <v>752</v>
      </c>
      <c r="C323" s="81">
        <f>+'[4]KEL C-2'!$GX$4</f>
        <v>7500</v>
      </c>
      <c r="D323" s="145">
        <v>2103</v>
      </c>
      <c r="E323" s="43">
        <v>100</v>
      </c>
      <c r="F323" s="61"/>
      <c r="G323" s="142">
        <f t="shared" si="51"/>
        <v>100</v>
      </c>
      <c r="H323" s="56"/>
      <c r="I323" s="57">
        <f t="shared" si="52"/>
        <v>100</v>
      </c>
      <c r="J323" s="57">
        <f t="shared" si="53"/>
        <v>750000</v>
      </c>
      <c r="K323" s="58">
        <f t="shared" si="54"/>
        <v>210300</v>
      </c>
      <c r="L323" s="351"/>
    </row>
    <row r="324" spans="1:13" x14ac:dyDescent="0.25">
      <c r="A324" s="155">
        <v>9</v>
      </c>
      <c r="B324" s="80" t="s">
        <v>753</v>
      </c>
      <c r="C324" s="81">
        <f>+'[4]KEL C-2'!$GY$4</f>
        <v>7500</v>
      </c>
      <c r="D324" s="145">
        <v>2103</v>
      </c>
      <c r="E324" s="43">
        <v>200</v>
      </c>
      <c r="F324" s="61"/>
      <c r="G324" s="142">
        <f t="shared" si="51"/>
        <v>200</v>
      </c>
      <c r="H324" s="56"/>
      <c r="I324" s="57">
        <f t="shared" si="52"/>
        <v>200</v>
      </c>
      <c r="J324" s="57">
        <f t="shared" si="53"/>
        <v>1500000</v>
      </c>
      <c r="K324" s="58">
        <f t="shared" si="54"/>
        <v>420600</v>
      </c>
      <c r="L324" s="351"/>
    </row>
    <row r="325" spans="1:13" x14ac:dyDescent="0.25">
      <c r="A325" s="155">
        <v>10</v>
      </c>
      <c r="B325" s="80" t="s">
        <v>754</v>
      </c>
      <c r="C325" s="81">
        <f>+'[4]KEL C-2'!$GZ$4</f>
        <v>12500</v>
      </c>
      <c r="D325" s="145">
        <v>2612</v>
      </c>
      <c r="E325" s="43">
        <v>100</v>
      </c>
      <c r="F325" s="61"/>
      <c r="G325" s="142">
        <f t="shared" si="51"/>
        <v>100</v>
      </c>
      <c r="H325" s="56"/>
      <c r="I325" s="57">
        <f t="shared" si="52"/>
        <v>100</v>
      </c>
      <c r="J325" s="57">
        <f t="shared" si="53"/>
        <v>1250000</v>
      </c>
      <c r="K325" s="58">
        <f t="shared" si="54"/>
        <v>261200</v>
      </c>
      <c r="L325" s="351"/>
    </row>
    <row r="326" spans="1:13" x14ac:dyDescent="0.25">
      <c r="A326" s="155">
        <v>11</v>
      </c>
      <c r="B326" s="219" t="s">
        <v>755</v>
      </c>
      <c r="C326" s="81">
        <f>+'[4]KEL C-2'!$HA$4</f>
        <v>5000</v>
      </c>
      <c r="D326" s="145">
        <v>1979.83</v>
      </c>
      <c r="E326" s="43">
        <v>75</v>
      </c>
      <c r="F326" s="61"/>
      <c r="G326" s="142">
        <f t="shared" si="51"/>
        <v>75</v>
      </c>
      <c r="H326" s="56">
        <f>100-100</f>
        <v>0</v>
      </c>
      <c r="I326" s="57">
        <f t="shared" si="52"/>
        <v>75</v>
      </c>
      <c r="J326" s="57">
        <f t="shared" si="53"/>
        <v>375000</v>
      </c>
      <c r="K326" s="58">
        <f t="shared" si="54"/>
        <v>148487.25</v>
      </c>
      <c r="L326" s="351"/>
    </row>
    <row r="327" spans="1:13" x14ac:dyDescent="0.25">
      <c r="A327" s="155">
        <v>12</v>
      </c>
      <c r="B327" s="80" t="s">
        <v>756</v>
      </c>
      <c r="C327" s="81">
        <f>+'[4]KEL C-2'!$HB$4</f>
        <v>10000</v>
      </c>
      <c r="D327" s="145">
        <v>2474.4899999999998</v>
      </c>
      <c r="E327" s="43">
        <v>175</v>
      </c>
      <c r="F327" s="61"/>
      <c r="G327" s="142">
        <f t="shared" si="51"/>
        <v>175</v>
      </c>
      <c r="H327" s="56"/>
      <c r="I327" s="57">
        <f t="shared" si="52"/>
        <v>175</v>
      </c>
      <c r="J327" s="57">
        <f t="shared" si="53"/>
        <v>1750000</v>
      </c>
      <c r="K327" s="58">
        <f t="shared" si="54"/>
        <v>433035.74999999994</v>
      </c>
      <c r="L327" s="351"/>
      <c r="M327" s="232"/>
    </row>
    <row r="328" spans="1:13" x14ac:dyDescent="0.25">
      <c r="A328" s="155">
        <v>13</v>
      </c>
      <c r="B328" s="80" t="s">
        <v>757</v>
      </c>
      <c r="C328" s="81">
        <f>+'[4]KEL C-2'!$HC$4</f>
        <v>8500</v>
      </c>
      <c r="D328" s="145">
        <v>1770</v>
      </c>
      <c r="E328" s="43">
        <v>75</v>
      </c>
      <c r="F328" s="61"/>
      <c r="G328" s="142">
        <f t="shared" si="51"/>
        <v>75</v>
      </c>
      <c r="H328" s="56"/>
      <c r="I328" s="57">
        <f t="shared" si="52"/>
        <v>75</v>
      </c>
      <c r="J328" s="57">
        <f t="shared" si="53"/>
        <v>637500</v>
      </c>
      <c r="K328" s="58">
        <f t="shared" si="54"/>
        <v>132750</v>
      </c>
      <c r="L328" s="351"/>
    </row>
    <row r="329" spans="1:13" x14ac:dyDescent="0.25">
      <c r="A329" s="155">
        <v>14</v>
      </c>
      <c r="B329" s="80" t="s">
        <v>758</v>
      </c>
      <c r="C329" s="81">
        <v>17500</v>
      </c>
      <c r="D329" s="34">
        <v>2323.2399999999998</v>
      </c>
      <c r="E329" s="81">
        <v>200</v>
      </c>
      <c r="F329" s="61"/>
      <c r="G329" s="142">
        <f t="shared" si="51"/>
        <v>200</v>
      </c>
      <c r="H329" s="56"/>
      <c r="I329" s="57">
        <f t="shared" si="52"/>
        <v>200</v>
      </c>
      <c r="J329" s="57">
        <f t="shared" si="53"/>
        <v>3500000</v>
      </c>
      <c r="K329" s="58">
        <f t="shared" si="54"/>
        <v>464647.99999999994</v>
      </c>
      <c r="L329" s="351"/>
    </row>
    <row r="330" spans="1:13" x14ac:dyDescent="0.25">
      <c r="A330" s="155">
        <v>15</v>
      </c>
      <c r="B330" s="80" t="s">
        <v>634</v>
      </c>
      <c r="C330" s="81">
        <v>7500</v>
      </c>
      <c r="D330" s="145">
        <f>+'[2]SHP,SP'!$D$762</f>
        <v>2103</v>
      </c>
      <c r="E330" s="81">
        <v>500</v>
      </c>
      <c r="F330" s="61"/>
      <c r="G330" s="142">
        <f t="shared" si="51"/>
        <v>500</v>
      </c>
      <c r="H330" s="56"/>
      <c r="I330" s="57">
        <f t="shared" si="52"/>
        <v>500</v>
      </c>
      <c r="J330" s="57">
        <f t="shared" si="53"/>
        <v>3750000</v>
      </c>
      <c r="K330" s="58">
        <f t="shared" si="54"/>
        <v>1051500</v>
      </c>
      <c r="L330" s="351"/>
    </row>
    <row r="331" spans="1:13" x14ac:dyDescent="0.25">
      <c r="A331" s="155">
        <v>16</v>
      </c>
      <c r="B331" s="80" t="s">
        <v>449</v>
      </c>
      <c r="C331" s="81">
        <v>6000</v>
      </c>
      <c r="D331" s="194">
        <v>2422.6999999999998</v>
      </c>
      <c r="E331" s="81">
        <v>1000</v>
      </c>
      <c r="F331" s="61"/>
      <c r="G331" s="142">
        <f t="shared" si="51"/>
        <v>1000</v>
      </c>
      <c r="H331" s="56"/>
      <c r="I331" s="57">
        <f t="shared" si="52"/>
        <v>1000</v>
      </c>
      <c r="J331" s="57">
        <f t="shared" si="53"/>
        <v>6000000</v>
      </c>
      <c r="K331" s="58">
        <f t="shared" si="54"/>
        <v>2422700</v>
      </c>
      <c r="L331" s="351"/>
    </row>
    <row r="332" spans="1:13" x14ac:dyDescent="0.25">
      <c r="A332" s="155">
        <v>17</v>
      </c>
      <c r="B332" s="61" t="s">
        <v>450</v>
      </c>
      <c r="C332" s="43">
        <v>7500</v>
      </c>
      <c r="D332" s="34">
        <v>1980</v>
      </c>
      <c r="E332" s="43">
        <v>500</v>
      </c>
      <c r="F332" s="61"/>
      <c r="G332" s="142">
        <f t="shared" si="51"/>
        <v>500</v>
      </c>
      <c r="H332" s="56"/>
      <c r="I332" s="57">
        <f t="shared" si="52"/>
        <v>500</v>
      </c>
      <c r="J332" s="57">
        <f t="shared" si="53"/>
        <v>3750000</v>
      </c>
      <c r="K332" s="58">
        <f t="shared" si="54"/>
        <v>990000</v>
      </c>
      <c r="L332" s="351"/>
    </row>
    <row r="333" spans="1:13" x14ac:dyDescent="0.25">
      <c r="A333" s="155">
        <v>18</v>
      </c>
      <c r="B333" s="61" t="s">
        <v>558</v>
      </c>
      <c r="C333" s="43">
        <v>12500</v>
      </c>
      <c r="D333" s="34"/>
      <c r="E333" s="43">
        <v>200</v>
      </c>
      <c r="F333" s="61"/>
      <c r="G333" s="142">
        <f t="shared" si="51"/>
        <v>200</v>
      </c>
      <c r="H333" s="56"/>
      <c r="I333" s="57">
        <f t="shared" si="52"/>
        <v>200</v>
      </c>
      <c r="J333" s="57">
        <f t="shared" si="53"/>
        <v>2500000</v>
      </c>
      <c r="K333" s="58">
        <f t="shared" si="54"/>
        <v>0</v>
      </c>
      <c r="L333" s="351"/>
    </row>
    <row r="334" spans="1:13" ht="15.75" thickBot="1" x14ac:dyDescent="0.3">
      <c r="A334" s="173">
        <v>19</v>
      </c>
      <c r="B334" s="124" t="s">
        <v>557</v>
      </c>
      <c r="C334" s="125">
        <v>7500</v>
      </c>
      <c r="D334" s="40"/>
      <c r="E334" s="125">
        <v>200</v>
      </c>
      <c r="F334" s="124"/>
      <c r="G334" s="172">
        <f t="shared" si="51"/>
        <v>200</v>
      </c>
      <c r="H334" s="110"/>
      <c r="I334" s="111">
        <f t="shared" si="52"/>
        <v>200</v>
      </c>
      <c r="J334" s="111">
        <f t="shared" si="53"/>
        <v>1500000</v>
      </c>
      <c r="K334" s="112">
        <f t="shared" si="54"/>
        <v>0</v>
      </c>
      <c r="L334" s="351"/>
    </row>
    <row r="335" spans="1:13" ht="15.75" thickBot="1" x14ac:dyDescent="0.3">
      <c r="A335" s="131"/>
      <c r="B335" s="122" t="s">
        <v>684</v>
      </c>
      <c r="C335" s="36"/>
      <c r="D335" s="36"/>
      <c r="E335" s="29">
        <f t="shared" ref="E335:J335" si="55">SUM(E316:E334)</f>
        <v>12068</v>
      </c>
      <c r="F335" s="29">
        <f t="shared" si="55"/>
        <v>0</v>
      </c>
      <c r="G335" s="29">
        <f t="shared" si="55"/>
        <v>12068</v>
      </c>
      <c r="H335" s="29">
        <f t="shared" si="55"/>
        <v>0</v>
      </c>
      <c r="I335" s="29">
        <f t="shared" si="55"/>
        <v>12068</v>
      </c>
      <c r="J335" s="29">
        <f t="shared" si="55"/>
        <v>158665000</v>
      </c>
      <c r="K335" s="47">
        <f t="shared" ref="K335" si="56">SUM(K316:K332)</f>
        <v>27496410</v>
      </c>
      <c r="L335" s="218"/>
    </row>
    <row r="336" spans="1:13" ht="15.75" thickBot="1" x14ac:dyDescent="0.3">
      <c r="B336" s="164"/>
      <c r="C336" s="165"/>
      <c r="D336" s="166"/>
      <c r="E336" s="167"/>
      <c r="F336" s="68"/>
      <c r="G336" s="167"/>
      <c r="H336" s="167"/>
      <c r="I336" s="167"/>
      <c r="J336" s="167"/>
      <c r="K336" s="166"/>
      <c r="L336" s="166"/>
    </row>
    <row r="337" spans="1:12" ht="15.75" thickBot="1" x14ac:dyDescent="0.3">
      <c r="A337" s="365" t="s">
        <v>657</v>
      </c>
      <c r="B337" s="372" t="s">
        <v>708</v>
      </c>
      <c r="C337" s="372" t="s">
        <v>1</v>
      </c>
      <c r="D337" s="373" t="s">
        <v>649</v>
      </c>
      <c r="E337" s="374" t="s">
        <v>19</v>
      </c>
      <c r="F337" s="374"/>
      <c r="G337" s="374"/>
      <c r="H337" s="374"/>
      <c r="I337" s="374"/>
      <c r="J337" s="368" t="s">
        <v>21</v>
      </c>
      <c r="K337" s="370" t="s">
        <v>602</v>
      </c>
      <c r="L337" s="349"/>
    </row>
    <row r="338" spans="1:12" ht="30.75" thickBot="1" x14ac:dyDescent="0.3">
      <c r="A338" s="366"/>
      <c r="B338" s="372"/>
      <c r="C338" s="372"/>
      <c r="D338" s="373"/>
      <c r="E338" s="69" t="s">
        <v>22</v>
      </c>
      <c r="F338" s="69" t="s">
        <v>600</v>
      </c>
      <c r="G338" s="69" t="s">
        <v>601</v>
      </c>
      <c r="H338" s="69" t="s">
        <v>589</v>
      </c>
      <c r="I338" s="69" t="s">
        <v>601</v>
      </c>
      <c r="J338" s="369"/>
      <c r="K338" s="371"/>
      <c r="L338" s="349"/>
    </row>
    <row r="339" spans="1:12" ht="15.75" thickBot="1" x14ac:dyDescent="0.3">
      <c r="A339" s="367"/>
      <c r="B339" s="188">
        <v>1</v>
      </c>
      <c r="C339" s="188">
        <v>2</v>
      </c>
      <c r="D339" s="188">
        <v>3</v>
      </c>
      <c r="E339" s="71">
        <v>4</v>
      </c>
      <c r="F339" s="71">
        <f>+E339+1</f>
        <v>5</v>
      </c>
      <c r="G339" s="71" t="s">
        <v>652</v>
      </c>
      <c r="H339" s="71">
        <v>7</v>
      </c>
      <c r="I339" s="72" t="s">
        <v>651</v>
      </c>
      <c r="J339" s="42" t="s">
        <v>650</v>
      </c>
      <c r="K339" s="42" t="s">
        <v>653</v>
      </c>
      <c r="L339" s="350"/>
    </row>
    <row r="340" spans="1:12" x14ac:dyDescent="0.25">
      <c r="A340" s="163"/>
      <c r="B340" s="73" t="s">
        <v>712</v>
      </c>
      <c r="C340" s="55"/>
      <c r="D340" s="55"/>
      <c r="E340" s="55"/>
      <c r="F340" s="55"/>
      <c r="G340" s="55"/>
      <c r="H340" s="55"/>
      <c r="I340" s="55"/>
      <c r="J340" s="55"/>
      <c r="K340" s="55"/>
      <c r="L340" s="135"/>
    </row>
    <row r="341" spans="1:12" x14ac:dyDescent="0.25">
      <c r="A341" s="155">
        <v>1</v>
      </c>
      <c r="B341" s="61" t="s">
        <v>451</v>
      </c>
      <c r="C341" s="176">
        <v>12500</v>
      </c>
      <c r="D341" s="177">
        <v>2514.64</v>
      </c>
      <c r="E341" s="43">
        <v>194</v>
      </c>
      <c r="F341" s="61"/>
      <c r="G341" s="142">
        <f t="shared" ref="G341:G357" si="57">+E341+F341</f>
        <v>194</v>
      </c>
      <c r="H341" s="56"/>
      <c r="I341" s="57">
        <f t="shared" ref="I341:I357" si="58">+G341-H341</f>
        <v>194</v>
      </c>
      <c r="J341" s="57">
        <f t="shared" ref="J341:J357" si="59">I341*C341</f>
        <v>2425000</v>
      </c>
      <c r="K341" s="58">
        <f t="shared" ref="K341:K357" si="60">+D341*I341</f>
        <v>487840.16</v>
      </c>
      <c r="L341" s="351"/>
    </row>
    <row r="342" spans="1:12" x14ac:dyDescent="0.25">
      <c r="A342" s="155">
        <v>2</v>
      </c>
      <c r="B342" s="61" t="s">
        <v>452</v>
      </c>
      <c r="C342" s="176">
        <v>10000</v>
      </c>
      <c r="D342" s="177">
        <v>2517</v>
      </c>
      <c r="E342" s="43">
        <v>95</v>
      </c>
      <c r="F342" s="61"/>
      <c r="G342" s="142">
        <f t="shared" si="57"/>
        <v>95</v>
      </c>
      <c r="H342" s="56"/>
      <c r="I342" s="57">
        <f t="shared" si="58"/>
        <v>95</v>
      </c>
      <c r="J342" s="57">
        <f t="shared" si="59"/>
        <v>950000</v>
      </c>
      <c r="K342" s="58">
        <f t="shared" si="60"/>
        <v>239115</v>
      </c>
      <c r="L342" s="351"/>
    </row>
    <row r="343" spans="1:12" x14ac:dyDescent="0.25">
      <c r="A343" s="155">
        <v>3</v>
      </c>
      <c r="B343" s="61" t="s">
        <v>453</v>
      </c>
      <c r="C343" s="176">
        <v>12500</v>
      </c>
      <c r="D343" s="34">
        <v>3279.5</v>
      </c>
      <c r="E343" s="43">
        <v>296</v>
      </c>
      <c r="F343" s="61"/>
      <c r="G343" s="142">
        <f t="shared" si="57"/>
        <v>296</v>
      </c>
      <c r="H343" s="56"/>
      <c r="I343" s="57">
        <f t="shared" si="58"/>
        <v>296</v>
      </c>
      <c r="J343" s="57">
        <f t="shared" si="59"/>
        <v>3700000</v>
      </c>
      <c r="K343" s="58">
        <f t="shared" si="60"/>
        <v>970732</v>
      </c>
      <c r="L343" s="351"/>
    </row>
    <row r="344" spans="1:12" x14ac:dyDescent="0.25">
      <c r="A344" s="155">
        <v>4</v>
      </c>
      <c r="B344" s="225" t="s">
        <v>454</v>
      </c>
      <c r="C344" s="176">
        <v>64500</v>
      </c>
      <c r="D344" s="34">
        <v>6738.71</v>
      </c>
      <c r="E344" s="43">
        <v>200</v>
      </c>
      <c r="F344" s="61"/>
      <c r="G344" s="142">
        <f t="shared" si="57"/>
        <v>200</v>
      </c>
      <c r="H344" s="56"/>
      <c r="I344" s="57">
        <f t="shared" si="58"/>
        <v>200</v>
      </c>
      <c r="J344" s="57">
        <f t="shared" si="59"/>
        <v>12900000</v>
      </c>
      <c r="K344" s="58">
        <f t="shared" si="60"/>
        <v>1347742</v>
      </c>
      <c r="L344" s="351"/>
    </row>
    <row r="345" spans="1:12" x14ac:dyDescent="0.25">
      <c r="A345" s="155">
        <v>5</v>
      </c>
      <c r="B345" s="61" t="s">
        <v>455</v>
      </c>
      <c r="C345" s="43">
        <v>25500</v>
      </c>
      <c r="D345" s="61">
        <v>2888.71</v>
      </c>
      <c r="E345" s="43">
        <v>190</v>
      </c>
      <c r="F345" s="61"/>
      <c r="G345" s="142">
        <f t="shared" si="57"/>
        <v>190</v>
      </c>
      <c r="H345" s="56"/>
      <c r="I345" s="57">
        <f t="shared" si="58"/>
        <v>190</v>
      </c>
      <c r="J345" s="57">
        <f t="shared" si="59"/>
        <v>4845000</v>
      </c>
      <c r="K345" s="58">
        <f t="shared" si="60"/>
        <v>548854.9</v>
      </c>
      <c r="L345" s="351"/>
    </row>
    <row r="346" spans="1:12" x14ac:dyDescent="0.25">
      <c r="A346" s="155">
        <v>6</v>
      </c>
      <c r="B346" s="61" t="s">
        <v>456</v>
      </c>
      <c r="C346" s="43">
        <v>12000</v>
      </c>
      <c r="D346" s="61">
        <v>2511.7399999999998</v>
      </c>
      <c r="E346" s="43">
        <v>100</v>
      </c>
      <c r="F346" s="61"/>
      <c r="G346" s="142">
        <f t="shared" si="57"/>
        <v>100</v>
      </c>
      <c r="H346" s="56"/>
      <c r="I346" s="57">
        <f t="shared" si="58"/>
        <v>100</v>
      </c>
      <c r="J346" s="57">
        <f t="shared" si="59"/>
        <v>1200000</v>
      </c>
      <c r="K346" s="58">
        <f t="shared" si="60"/>
        <v>251173.99999999997</v>
      </c>
      <c r="L346" s="351"/>
    </row>
    <row r="347" spans="1:12" x14ac:dyDescent="0.25">
      <c r="A347" s="155">
        <v>7</v>
      </c>
      <c r="B347" s="61" t="s">
        <v>318</v>
      </c>
      <c r="C347" s="43">
        <v>9000</v>
      </c>
      <c r="D347" s="61">
        <v>2462.66</v>
      </c>
      <c r="E347" s="43">
        <v>150</v>
      </c>
      <c r="F347" s="61"/>
      <c r="G347" s="142">
        <f t="shared" si="57"/>
        <v>150</v>
      </c>
      <c r="H347" s="56"/>
      <c r="I347" s="57">
        <f t="shared" si="58"/>
        <v>150</v>
      </c>
      <c r="J347" s="57">
        <f t="shared" si="59"/>
        <v>1350000</v>
      </c>
      <c r="K347" s="58">
        <f t="shared" si="60"/>
        <v>369399</v>
      </c>
      <c r="L347" s="351"/>
    </row>
    <row r="348" spans="1:12" x14ac:dyDescent="0.25">
      <c r="A348" s="155">
        <v>8</v>
      </c>
      <c r="B348" s="61" t="s">
        <v>559</v>
      </c>
      <c r="C348" s="43">
        <v>23000</v>
      </c>
      <c r="D348" s="61">
        <v>3056.32</v>
      </c>
      <c r="E348" s="43">
        <v>200</v>
      </c>
      <c r="F348" s="61"/>
      <c r="G348" s="142">
        <f t="shared" si="57"/>
        <v>200</v>
      </c>
      <c r="H348" s="56"/>
      <c r="I348" s="57">
        <f t="shared" si="58"/>
        <v>200</v>
      </c>
      <c r="J348" s="57">
        <f t="shared" si="59"/>
        <v>4600000</v>
      </c>
      <c r="K348" s="58">
        <f t="shared" si="60"/>
        <v>611264</v>
      </c>
      <c r="L348" s="351"/>
    </row>
    <row r="349" spans="1:12" x14ac:dyDescent="0.25">
      <c r="A349" s="155">
        <v>9</v>
      </c>
      <c r="B349" s="61" t="s">
        <v>574</v>
      </c>
      <c r="C349" s="43">
        <v>28000</v>
      </c>
      <c r="D349" s="61">
        <v>4947.6000000000004</v>
      </c>
      <c r="E349" s="43">
        <v>192</v>
      </c>
      <c r="F349" s="61"/>
      <c r="G349" s="142">
        <f t="shared" si="57"/>
        <v>192</v>
      </c>
      <c r="H349" s="56"/>
      <c r="I349" s="57">
        <f t="shared" si="58"/>
        <v>192</v>
      </c>
      <c r="J349" s="57">
        <f t="shared" si="59"/>
        <v>5376000</v>
      </c>
      <c r="K349" s="58">
        <f t="shared" si="60"/>
        <v>949939.20000000007</v>
      </c>
      <c r="L349" s="351"/>
    </row>
    <row r="350" spans="1:12" x14ac:dyDescent="0.25">
      <c r="A350" s="155">
        <v>10</v>
      </c>
      <c r="B350" s="61" t="s">
        <v>575</v>
      </c>
      <c r="C350" s="43">
        <v>9000</v>
      </c>
      <c r="D350" s="61">
        <v>2329.92</v>
      </c>
      <c r="E350" s="43">
        <v>130</v>
      </c>
      <c r="F350" s="61"/>
      <c r="G350" s="142">
        <f t="shared" si="57"/>
        <v>130</v>
      </c>
      <c r="H350" s="56"/>
      <c r="I350" s="57">
        <f t="shared" si="58"/>
        <v>130</v>
      </c>
      <c r="J350" s="57">
        <f t="shared" si="59"/>
        <v>1170000</v>
      </c>
      <c r="K350" s="58">
        <f t="shared" si="60"/>
        <v>302889.60000000003</v>
      </c>
      <c r="L350" s="351"/>
    </row>
    <row r="351" spans="1:12" x14ac:dyDescent="0.25">
      <c r="A351" s="155">
        <v>11</v>
      </c>
      <c r="B351" s="61" t="s">
        <v>576</v>
      </c>
      <c r="C351" s="43">
        <v>15000</v>
      </c>
      <c r="D351" s="61">
        <v>2713.12</v>
      </c>
      <c r="E351" s="43">
        <v>200</v>
      </c>
      <c r="F351" s="61"/>
      <c r="G351" s="142">
        <f t="shared" si="57"/>
        <v>200</v>
      </c>
      <c r="H351" s="56"/>
      <c r="I351" s="57">
        <f t="shared" si="58"/>
        <v>200</v>
      </c>
      <c r="J351" s="57">
        <f t="shared" si="59"/>
        <v>3000000</v>
      </c>
      <c r="K351" s="58">
        <f t="shared" si="60"/>
        <v>542624</v>
      </c>
      <c r="L351" s="351"/>
    </row>
    <row r="352" spans="1:12" x14ac:dyDescent="0.25">
      <c r="A352" s="155">
        <v>12</v>
      </c>
      <c r="B352" s="61" t="s">
        <v>577</v>
      </c>
      <c r="C352" s="43">
        <v>33000</v>
      </c>
      <c r="D352" s="61">
        <v>2399.7199999999998</v>
      </c>
      <c r="E352" s="43">
        <v>200</v>
      </c>
      <c r="F352" s="61"/>
      <c r="G352" s="142">
        <f t="shared" si="57"/>
        <v>200</v>
      </c>
      <c r="H352" s="56"/>
      <c r="I352" s="57">
        <f t="shared" si="58"/>
        <v>200</v>
      </c>
      <c r="J352" s="57">
        <f t="shared" si="59"/>
        <v>6600000</v>
      </c>
      <c r="K352" s="58">
        <f t="shared" si="60"/>
        <v>479943.99999999994</v>
      </c>
      <c r="L352" s="351"/>
    </row>
    <row r="353" spans="1:12" x14ac:dyDescent="0.25">
      <c r="A353" s="155">
        <v>13</v>
      </c>
      <c r="B353" s="61" t="s">
        <v>578</v>
      </c>
      <c r="C353" s="43">
        <v>12000</v>
      </c>
      <c r="D353" s="61">
        <v>3357.22</v>
      </c>
      <c r="E353" s="43">
        <v>200</v>
      </c>
      <c r="F353" s="61"/>
      <c r="G353" s="142">
        <f t="shared" si="57"/>
        <v>200</v>
      </c>
      <c r="H353" s="56"/>
      <c r="I353" s="57">
        <f t="shared" si="58"/>
        <v>200</v>
      </c>
      <c r="J353" s="57">
        <f t="shared" si="59"/>
        <v>2400000</v>
      </c>
      <c r="K353" s="58">
        <f t="shared" si="60"/>
        <v>671444</v>
      </c>
      <c r="L353" s="351"/>
    </row>
    <row r="354" spans="1:12" x14ac:dyDescent="0.25">
      <c r="A354" s="155">
        <v>14</v>
      </c>
      <c r="B354" s="61" t="s">
        <v>557</v>
      </c>
      <c r="C354" s="43">
        <v>9000</v>
      </c>
      <c r="D354" s="61">
        <v>2343.2600000000002</v>
      </c>
      <c r="E354" s="43">
        <v>200</v>
      </c>
      <c r="F354" s="61"/>
      <c r="G354" s="142">
        <f t="shared" si="57"/>
        <v>200</v>
      </c>
      <c r="H354" s="56"/>
      <c r="I354" s="57">
        <f t="shared" si="58"/>
        <v>200</v>
      </c>
      <c r="J354" s="57">
        <f t="shared" si="59"/>
        <v>1800000</v>
      </c>
      <c r="K354" s="58">
        <f t="shared" si="60"/>
        <v>468652.00000000006</v>
      </c>
      <c r="L354" s="351"/>
    </row>
    <row r="355" spans="1:12" x14ac:dyDescent="0.25">
      <c r="A355" s="155">
        <v>15</v>
      </c>
      <c r="B355" s="61" t="s">
        <v>579</v>
      </c>
      <c r="C355" s="43">
        <v>9000</v>
      </c>
      <c r="D355" s="61">
        <v>3584</v>
      </c>
      <c r="E355" s="43">
        <v>200</v>
      </c>
      <c r="F355" s="61"/>
      <c r="G355" s="142">
        <f t="shared" si="57"/>
        <v>200</v>
      </c>
      <c r="H355" s="56"/>
      <c r="I355" s="57">
        <f t="shared" si="58"/>
        <v>200</v>
      </c>
      <c r="J355" s="57">
        <f t="shared" si="59"/>
        <v>1800000</v>
      </c>
      <c r="K355" s="58">
        <f t="shared" si="60"/>
        <v>716800</v>
      </c>
      <c r="L355" s="351"/>
    </row>
    <row r="356" spans="1:12" x14ac:dyDescent="0.25">
      <c r="A356" s="155">
        <v>16</v>
      </c>
      <c r="B356" s="61" t="s">
        <v>580</v>
      </c>
      <c r="C356" s="43">
        <v>13000</v>
      </c>
      <c r="D356" s="61">
        <v>3076.5</v>
      </c>
      <c r="E356" s="43">
        <v>200</v>
      </c>
      <c r="F356" s="61"/>
      <c r="G356" s="142">
        <f t="shared" si="57"/>
        <v>200</v>
      </c>
      <c r="H356" s="56"/>
      <c r="I356" s="57">
        <f t="shared" si="58"/>
        <v>200</v>
      </c>
      <c r="J356" s="57">
        <f t="shared" si="59"/>
        <v>2600000</v>
      </c>
      <c r="K356" s="58">
        <f t="shared" si="60"/>
        <v>615300</v>
      </c>
      <c r="L356" s="351"/>
    </row>
    <row r="357" spans="1:12" ht="15.75" thickBot="1" x14ac:dyDescent="0.3">
      <c r="A357" s="156">
        <v>17</v>
      </c>
      <c r="B357" s="159" t="s">
        <v>581</v>
      </c>
      <c r="C357" s="157">
        <v>13000</v>
      </c>
      <c r="D357" s="159">
        <v>2343.2600000000002</v>
      </c>
      <c r="E357" s="157">
        <v>1700</v>
      </c>
      <c r="F357" s="159"/>
      <c r="G357" s="150">
        <f t="shared" si="57"/>
        <v>1700</v>
      </c>
      <c r="H357" s="59"/>
      <c r="I357" s="65">
        <f t="shared" si="58"/>
        <v>1700</v>
      </c>
      <c r="J357" s="65">
        <f t="shared" si="59"/>
        <v>22100000</v>
      </c>
      <c r="K357" s="66">
        <f t="shared" si="60"/>
        <v>3983542.0000000005</v>
      </c>
      <c r="L357" s="351"/>
    </row>
    <row r="358" spans="1:12" ht="15.75" thickBot="1" x14ac:dyDescent="0.3">
      <c r="A358" s="131"/>
      <c r="B358" s="122" t="s">
        <v>686</v>
      </c>
      <c r="C358" s="36"/>
      <c r="D358" s="36"/>
      <c r="E358" s="29">
        <f>SUM(E341:E357)</f>
        <v>4647</v>
      </c>
      <c r="F358" s="29">
        <f t="shared" ref="F358:K358" si="61">SUM(F341:F357)</f>
        <v>0</v>
      </c>
      <c r="G358" s="29">
        <f t="shared" si="61"/>
        <v>4647</v>
      </c>
      <c r="H358" s="29">
        <f t="shared" si="61"/>
        <v>0</v>
      </c>
      <c r="I358" s="29">
        <f>SUM(I341:I357)</f>
        <v>4647</v>
      </c>
      <c r="J358" s="29">
        <f t="shared" si="61"/>
        <v>78816000</v>
      </c>
      <c r="K358" s="47">
        <f t="shared" si="61"/>
        <v>13557255.859999999</v>
      </c>
      <c r="L358" s="218"/>
    </row>
    <row r="359" spans="1:12" ht="15.75" thickBot="1" x14ac:dyDescent="0.3">
      <c r="B359" s="164"/>
      <c r="C359" s="165"/>
      <c r="D359" s="166"/>
      <c r="E359" s="167"/>
      <c r="F359" s="68"/>
      <c r="G359" s="167"/>
      <c r="H359" s="167"/>
      <c r="I359" s="167"/>
      <c r="J359" s="167"/>
      <c r="K359" s="166"/>
      <c r="L359" s="166"/>
    </row>
    <row r="360" spans="1:12" ht="15.75" thickBot="1" x14ac:dyDescent="0.3">
      <c r="A360" s="365" t="s">
        <v>657</v>
      </c>
      <c r="B360" s="372" t="s">
        <v>708</v>
      </c>
      <c r="C360" s="372" t="s">
        <v>1</v>
      </c>
      <c r="D360" s="373" t="s">
        <v>649</v>
      </c>
      <c r="E360" s="374" t="s">
        <v>19</v>
      </c>
      <c r="F360" s="374"/>
      <c r="G360" s="374"/>
      <c r="H360" s="374"/>
      <c r="I360" s="374"/>
      <c r="J360" s="368" t="s">
        <v>21</v>
      </c>
      <c r="K360" s="370" t="s">
        <v>602</v>
      </c>
      <c r="L360" s="349"/>
    </row>
    <row r="361" spans="1:12" ht="30.75" thickBot="1" x14ac:dyDescent="0.3">
      <c r="A361" s="366"/>
      <c r="B361" s="372"/>
      <c r="C361" s="372"/>
      <c r="D361" s="373"/>
      <c r="E361" s="69" t="s">
        <v>22</v>
      </c>
      <c r="F361" s="69" t="s">
        <v>600</v>
      </c>
      <c r="G361" s="69" t="s">
        <v>601</v>
      </c>
      <c r="H361" s="69" t="s">
        <v>589</v>
      </c>
      <c r="I361" s="69" t="s">
        <v>601</v>
      </c>
      <c r="J361" s="369"/>
      <c r="K361" s="371"/>
      <c r="L361" s="349"/>
    </row>
    <row r="362" spans="1:12" ht="15.75" thickBot="1" x14ac:dyDescent="0.3">
      <c r="A362" s="367"/>
      <c r="B362" s="188">
        <v>1</v>
      </c>
      <c r="C362" s="188">
        <v>2</v>
      </c>
      <c r="D362" s="188">
        <v>3</v>
      </c>
      <c r="E362" s="71">
        <v>4</v>
      </c>
      <c r="F362" s="71">
        <f>+E362+1</f>
        <v>5</v>
      </c>
      <c r="G362" s="71" t="s">
        <v>652</v>
      </c>
      <c r="H362" s="71">
        <v>7</v>
      </c>
      <c r="I362" s="72" t="s">
        <v>651</v>
      </c>
      <c r="J362" s="42" t="s">
        <v>650</v>
      </c>
      <c r="K362" s="42" t="s">
        <v>653</v>
      </c>
      <c r="L362" s="350"/>
    </row>
    <row r="363" spans="1:12" x14ac:dyDescent="0.25">
      <c r="A363" s="163"/>
      <c r="B363" s="73" t="s">
        <v>715</v>
      </c>
      <c r="C363" s="55"/>
      <c r="D363" s="55"/>
      <c r="E363" s="55"/>
      <c r="F363" s="55"/>
      <c r="G363" s="55"/>
      <c r="H363" s="55"/>
      <c r="I363" s="55"/>
      <c r="J363" s="55"/>
      <c r="K363" s="55"/>
      <c r="L363" s="135"/>
    </row>
    <row r="364" spans="1:12" x14ac:dyDescent="0.25">
      <c r="A364" s="155">
        <v>1</v>
      </c>
      <c r="B364" s="61" t="s">
        <v>596</v>
      </c>
      <c r="C364" s="43">
        <v>12000</v>
      </c>
      <c r="D364" s="61">
        <v>2289.9899999999998</v>
      </c>
      <c r="E364" s="43">
        <v>200</v>
      </c>
      <c r="F364" s="61"/>
      <c r="G364" s="142">
        <f t="shared" ref="G364:G380" si="62">+E364+F364</f>
        <v>200</v>
      </c>
      <c r="H364" s="56"/>
      <c r="I364" s="57">
        <f t="shared" ref="I364:I380" si="63">+G364-H364</f>
        <v>200</v>
      </c>
      <c r="J364" s="57">
        <f t="shared" ref="J364:J380" si="64">I364*C364</f>
        <v>2400000</v>
      </c>
      <c r="K364" s="58">
        <f t="shared" ref="K364:K380" si="65">+D364*I364</f>
        <v>457997.99999999994</v>
      </c>
      <c r="L364" s="351"/>
    </row>
    <row r="365" spans="1:12" x14ac:dyDescent="0.25">
      <c r="A365" s="155">
        <v>2</v>
      </c>
      <c r="B365" s="61" t="s">
        <v>597</v>
      </c>
      <c r="C365" s="43">
        <v>13000</v>
      </c>
      <c r="D365" s="61">
        <v>3037.5</v>
      </c>
      <c r="E365" s="43">
        <v>200</v>
      </c>
      <c r="F365" s="61"/>
      <c r="G365" s="142">
        <f t="shared" si="62"/>
        <v>200</v>
      </c>
      <c r="H365" s="56"/>
      <c r="I365" s="57">
        <f t="shared" si="63"/>
        <v>200</v>
      </c>
      <c r="J365" s="57">
        <f t="shared" si="64"/>
        <v>2600000</v>
      </c>
      <c r="K365" s="58">
        <f t="shared" si="65"/>
        <v>607500</v>
      </c>
      <c r="L365" s="351"/>
    </row>
    <row r="366" spans="1:12" x14ac:dyDescent="0.25">
      <c r="A366" s="155">
        <v>3</v>
      </c>
      <c r="B366" s="61" t="s">
        <v>604</v>
      </c>
      <c r="C366" s="43">
        <v>42000</v>
      </c>
      <c r="D366" s="61">
        <v>3571.48</v>
      </c>
      <c r="E366" s="43">
        <v>170</v>
      </c>
      <c r="F366" s="61"/>
      <c r="G366" s="142">
        <f t="shared" si="62"/>
        <v>170</v>
      </c>
      <c r="H366" s="56"/>
      <c r="I366" s="57">
        <f t="shared" si="63"/>
        <v>170</v>
      </c>
      <c r="J366" s="57">
        <f t="shared" si="64"/>
        <v>7140000</v>
      </c>
      <c r="K366" s="58">
        <f t="shared" si="65"/>
        <v>607151.6</v>
      </c>
      <c r="L366" s="351"/>
    </row>
    <row r="367" spans="1:12" x14ac:dyDescent="0.25">
      <c r="A367" s="155">
        <v>4</v>
      </c>
      <c r="B367" s="224" t="s">
        <v>759</v>
      </c>
      <c r="C367" s="43">
        <v>12000</v>
      </c>
      <c r="D367" s="61">
        <v>2555.0700000000002</v>
      </c>
      <c r="E367" s="43">
        <v>200</v>
      </c>
      <c r="F367" s="61"/>
      <c r="G367" s="142">
        <f t="shared" si="62"/>
        <v>200</v>
      </c>
      <c r="H367" s="56"/>
      <c r="I367" s="57">
        <f t="shared" si="63"/>
        <v>200</v>
      </c>
      <c r="J367" s="57">
        <f t="shared" si="64"/>
        <v>2400000</v>
      </c>
      <c r="K367" s="58">
        <f t="shared" si="65"/>
        <v>511014.00000000006</v>
      </c>
      <c r="L367" s="351"/>
    </row>
    <row r="368" spans="1:12" x14ac:dyDescent="0.25">
      <c r="A368" s="155">
        <v>5</v>
      </c>
      <c r="B368" s="61" t="s">
        <v>605</v>
      </c>
      <c r="C368" s="43">
        <v>19000</v>
      </c>
      <c r="D368" s="61">
        <v>2440.58</v>
      </c>
      <c r="E368" s="43">
        <v>198</v>
      </c>
      <c r="F368" s="61"/>
      <c r="G368" s="142">
        <f t="shared" si="62"/>
        <v>198</v>
      </c>
      <c r="H368" s="56"/>
      <c r="I368" s="57">
        <f t="shared" si="63"/>
        <v>198</v>
      </c>
      <c r="J368" s="57">
        <f t="shared" si="64"/>
        <v>3762000</v>
      </c>
      <c r="K368" s="58">
        <f t="shared" si="65"/>
        <v>483234.83999999997</v>
      </c>
      <c r="L368" s="351"/>
    </row>
    <row r="369" spans="1:14" x14ac:dyDescent="0.25">
      <c r="A369" s="155">
        <v>6</v>
      </c>
      <c r="B369" s="61" t="s">
        <v>606</v>
      </c>
      <c r="C369" s="43">
        <v>30000</v>
      </c>
      <c r="D369" s="61">
        <v>2679.76</v>
      </c>
      <c r="E369" s="43">
        <v>170</v>
      </c>
      <c r="F369" s="61"/>
      <c r="G369" s="142">
        <f t="shared" si="62"/>
        <v>170</v>
      </c>
      <c r="H369" s="56"/>
      <c r="I369" s="57">
        <f t="shared" si="63"/>
        <v>170</v>
      </c>
      <c r="J369" s="57">
        <f t="shared" si="64"/>
        <v>5100000</v>
      </c>
      <c r="K369" s="58">
        <f t="shared" si="65"/>
        <v>455559.2</v>
      </c>
      <c r="L369" s="351"/>
    </row>
    <row r="370" spans="1:14" x14ac:dyDescent="0.25">
      <c r="A370" s="155">
        <v>7</v>
      </c>
      <c r="B370" s="61" t="s">
        <v>318</v>
      </c>
      <c r="C370" s="43">
        <v>6000</v>
      </c>
      <c r="D370" s="61">
        <v>2321.5</v>
      </c>
      <c r="E370" s="43">
        <v>180</v>
      </c>
      <c r="F370" s="61"/>
      <c r="G370" s="142">
        <f t="shared" si="62"/>
        <v>180</v>
      </c>
      <c r="H370" s="56"/>
      <c r="I370" s="57">
        <f t="shared" si="63"/>
        <v>180</v>
      </c>
      <c r="J370" s="57">
        <f t="shared" si="64"/>
        <v>1080000</v>
      </c>
      <c r="K370" s="58">
        <f t="shared" si="65"/>
        <v>417870</v>
      </c>
      <c r="L370" s="351"/>
    </row>
    <row r="371" spans="1:14" x14ac:dyDescent="0.25">
      <c r="A371" s="155">
        <v>8</v>
      </c>
      <c r="B371" s="61" t="s">
        <v>614</v>
      </c>
      <c r="C371" s="43">
        <v>13000</v>
      </c>
      <c r="D371" s="61">
        <v>2337.92</v>
      </c>
      <c r="E371" s="43">
        <v>200</v>
      </c>
      <c r="F371" s="43"/>
      <c r="G371" s="142">
        <f t="shared" si="62"/>
        <v>200</v>
      </c>
      <c r="H371" s="56"/>
      <c r="I371" s="57">
        <f t="shared" si="63"/>
        <v>200</v>
      </c>
      <c r="J371" s="57">
        <f t="shared" si="64"/>
        <v>2600000</v>
      </c>
      <c r="K371" s="58">
        <f t="shared" si="65"/>
        <v>467584</v>
      </c>
      <c r="L371" s="351"/>
    </row>
    <row r="372" spans="1:14" x14ac:dyDescent="0.25">
      <c r="A372" s="155">
        <v>9</v>
      </c>
      <c r="B372" s="61" t="s">
        <v>621</v>
      </c>
      <c r="C372" s="43">
        <v>8000</v>
      </c>
      <c r="D372" s="61">
        <v>3451.9</v>
      </c>
      <c r="E372" s="43">
        <v>200</v>
      </c>
      <c r="F372" s="61"/>
      <c r="G372" s="142">
        <f t="shared" si="62"/>
        <v>200</v>
      </c>
      <c r="H372" s="56"/>
      <c r="I372" s="57">
        <f t="shared" si="63"/>
        <v>200</v>
      </c>
      <c r="J372" s="57">
        <f t="shared" si="64"/>
        <v>1600000</v>
      </c>
      <c r="K372" s="58">
        <f t="shared" si="65"/>
        <v>690380</v>
      </c>
      <c r="L372" s="351"/>
    </row>
    <row r="373" spans="1:14" x14ac:dyDescent="0.25">
      <c r="A373" s="155">
        <v>10</v>
      </c>
      <c r="B373" s="61" t="s">
        <v>622</v>
      </c>
      <c r="C373" s="43">
        <v>13000</v>
      </c>
      <c r="D373" s="61">
        <v>2648.32</v>
      </c>
      <c r="E373" s="43">
        <v>200</v>
      </c>
      <c r="F373" s="184"/>
      <c r="G373" s="142">
        <f t="shared" si="62"/>
        <v>200</v>
      </c>
      <c r="H373" s="56"/>
      <c r="I373" s="57">
        <f t="shared" si="63"/>
        <v>200</v>
      </c>
      <c r="J373" s="57">
        <f t="shared" si="64"/>
        <v>2600000</v>
      </c>
      <c r="K373" s="58">
        <f t="shared" si="65"/>
        <v>529664</v>
      </c>
      <c r="L373" s="326"/>
      <c r="M373" s="274">
        <f>+I373-200</f>
        <v>0</v>
      </c>
      <c r="N373" s="258" t="s">
        <v>853</v>
      </c>
    </row>
    <row r="374" spans="1:14" x14ac:dyDescent="0.25">
      <c r="A374" s="155">
        <v>11</v>
      </c>
      <c r="B374" s="61" t="s">
        <v>623</v>
      </c>
      <c r="C374" s="43">
        <v>9000</v>
      </c>
      <c r="D374" s="43">
        <v>6896</v>
      </c>
      <c r="E374" s="43">
        <v>180</v>
      </c>
      <c r="F374" s="61"/>
      <c r="G374" s="142">
        <f t="shared" si="62"/>
        <v>180</v>
      </c>
      <c r="H374" s="169"/>
      <c r="I374" s="57">
        <f t="shared" si="63"/>
        <v>180</v>
      </c>
      <c r="J374" s="57">
        <f t="shared" si="64"/>
        <v>1620000</v>
      </c>
      <c r="K374" s="58">
        <f t="shared" si="65"/>
        <v>1241280</v>
      </c>
      <c r="L374" s="326"/>
      <c r="M374" s="274">
        <f>+I374-180</f>
        <v>0</v>
      </c>
      <c r="N374" s="258" t="s">
        <v>854</v>
      </c>
    </row>
    <row r="375" spans="1:14" x14ac:dyDescent="0.25">
      <c r="A375" s="155">
        <v>12</v>
      </c>
      <c r="B375" s="61" t="s">
        <v>631</v>
      </c>
      <c r="C375" s="43">
        <v>10000</v>
      </c>
      <c r="D375" s="61">
        <v>2494.5100000000002</v>
      </c>
      <c r="E375" s="43">
        <v>200</v>
      </c>
      <c r="F375" s="61"/>
      <c r="G375" s="142">
        <f t="shared" si="62"/>
        <v>200</v>
      </c>
      <c r="H375" s="169"/>
      <c r="I375" s="57">
        <f t="shared" si="63"/>
        <v>200</v>
      </c>
      <c r="J375" s="57">
        <f t="shared" si="64"/>
        <v>2000000</v>
      </c>
      <c r="K375" s="58">
        <f t="shared" si="65"/>
        <v>498902.00000000006</v>
      </c>
      <c r="L375" s="351"/>
      <c r="N375" s="258"/>
    </row>
    <row r="376" spans="1:14" x14ac:dyDescent="0.25">
      <c r="A376" s="155">
        <v>13</v>
      </c>
      <c r="B376" s="61" t="s">
        <v>632</v>
      </c>
      <c r="C376" s="43">
        <v>9000</v>
      </c>
      <c r="D376" s="43">
        <v>6896</v>
      </c>
      <c r="E376" s="43">
        <v>200</v>
      </c>
      <c r="F376" s="61"/>
      <c r="G376" s="142">
        <f t="shared" si="62"/>
        <v>200</v>
      </c>
      <c r="H376" s="169"/>
      <c r="I376" s="57">
        <f t="shared" si="63"/>
        <v>200</v>
      </c>
      <c r="J376" s="57">
        <f t="shared" si="64"/>
        <v>1800000</v>
      </c>
      <c r="K376" s="58">
        <f t="shared" si="65"/>
        <v>1379200</v>
      </c>
      <c r="L376" s="326"/>
      <c r="M376" s="274">
        <f>+I376-200</f>
        <v>0</v>
      </c>
      <c r="N376" s="258" t="s">
        <v>853</v>
      </c>
    </row>
    <row r="377" spans="1:14" x14ac:dyDescent="0.25">
      <c r="A377" s="155">
        <v>14</v>
      </c>
      <c r="B377" s="61" t="s">
        <v>638</v>
      </c>
      <c r="C377" s="43">
        <v>7000</v>
      </c>
      <c r="D377" s="198">
        <v>2384.1999999999998</v>
      </c>
      <c r="E377" s="43">
        <v>200</v>
      </c>
      <c r="F377" s="104"/>
      <c r="G377" s="142">
        <f t="shared" si="62"/>
        <v>200</v>
      </c>
      <c r="H377" s="169"/>
      <c r="I377" s="57">
        <f t="shared" si="63"/>
        <v>200</v>
      </c>
      <c r="J377" s="57">
        <f t="shared" si="64"/>
        <v>1400000</v>
      </c>
      <c r="K377" s="58">
        <f t="shared" si="65"/>
        <v>476839.99999999994</v>
      </c>
      <c r="L377" s="326"/>
      <c r="M377" s="274">
        <f>+I377-200</f>
        <v>0</v>
      </c>
      <c r="N377" s="258" t="s">
        <v>853</v>
      </c>
    </row>
    <row r="378" spans="1:14" x14ac:dyDescent="0.25">
      <c r="A378" s="155">
        <v>15</v>
      </c>
      <c r="B378" s="61" t="s">
        <v>639</v>
      </c>
      <c r="C378" s="43">
        <v>12000</v>
      </c>
      <c r="D378" s="198">
        <v>2862.6</v>
      </c>
      <c r="E378" s="43">
        <v>200</v>
      </c>
      <c r="F378" s="61"/>
      <c r="G378" s="142">
        <f t="shared" si="62"/>
        <v>200</v>
      </c>
      <c r="H378" s="169"/>
      <c r="I378" s="57">
        <f t="shared" si="63"/>
        <v>200</v>
      </c>
      <c r="J378" s="57">
        <f t="shared" si="64"/>
        <v>2400000</v>
      </c>
      <c r="K378" s="58">
        <f t="shared" si="65"/>
        <v>572520</v>
      </c>
      <c r="L378" s="326"/>
      <c r="M378" s="274">
        <f>+I378-200</f>
        <v>0</v>
      </c>
      <c r="N378" s="258" t="s">
        <v>853</v>
      </c>
    </row>
    <row r="379" spans="1:14" x14ac:dyDescent="0.25">
      <c r="A379" s="155">
        <v>16</v>
      </c>
      <c r="B379" s="61" t="s">
        <v>448</v>
      </c>
      <c r="C379" s="43">
        <v>9000</v>
      </c>
      <c r="D379" s="198">
        <v>4421</v>
      </c>
      <c r="E379" s="43">
        <v>180</v>
      </c>
      <c r="F379" s="61"/>
      <c r="G379" s="142">
        <f t="shared" si="62"/>
        <v>180</v>
      </c>
      <c r="H379" s="169"/>
      <c r="I379" s="57">
        <f t="shared" si="63"/>
        <v>180</v>
      </c>
      <c r="J379" s="57">
        <f t="shared" si="64"/>
        <v>1620000</v>
      </c>
      <c r="K379" s="58">
        <f t="shared" si="65"/>
        <v>795780</v>
      </c>
      <c r="L379" s="326"/>
      <c r="M379" s="274">
        <f>+I379-180</f>
        <v>0</v>
      </c>
      <c r="N379" s="258" t="s">
        <v>854</v>
      </c>
    </row>
    <row r="380" spans="1:14" ht="15.75" thickBot="1" x14ac:dyDescent="0.3">
      <c r="A380" s="156">
        <v>17</v>
      </c>
      <c r="B380" s="159" t="s">
        <v>643</v>
      </c>
      <c r="C380" s="157">
        <v>3000</v>
      </c>
      <c r="D380" s="159"/>
      <c r="E380" s="157">
        <v>0</v>
      </c>
      <c r="F380" s="199"/>
      <c r="G380" s="150">
        <f t="shared" si="62"/>
        <v>0</v>
      </c>
      <c r="H380" s="200"/>
      <c r="I380" s="65">
        <f t="shared" si="63"/>
        <v>0</v>
      </c>
      <c r="J380" s="65">
        <f t="shared" si="64"/>
        <v>0</v>
      </c>
      <c r="K380" s="66">
        <f t="shared" si="65"/>
        <v>0</v>
      </c>
      <c r="L380" s="351"/>
    </row>
    <row r="381" spans="1:14" ht="15.75" thickBot="1" x14ac:dyDescent="0.3">
      <c r="A381" s="131"/>
      <c r="B381" s="122" t="s">
        <v>688</v>
      </c>
      <c r="C381" s="36"/>
      <c r="D381" s="36"/>
      <c r="E381" s="29">
        <f t="shared" ref="E381:K381" si="66">SUM(E364:E380)</f>
        <v>3078</v>
      </c>
      <c r="F381" s="29">
        <f t="shared" si="66"/>
        <v>0</v>
      </c>
      <c r="G381" s="29">
        <f t="shared" si="66"/>
        <v>3078</v>
      </c>
      <c r="H381" s="29">
        <f t="shared" si="66"/>
        <v>0</v>
      </c>
      <c r="I381" s="29">
        <f t="shared" si="66"/>
        <v>3078</v>
      </c>
      <c r="J381" s="29">
        <f t="shared" si="66"/>
        <v>42122000</v>
      </c>
      <c r="K381" s="47">
        <f t="shared" si="66"/>
        <v>10192477.640000001</v>
      </c>
      <c r="L381" s="218"/>
    </row>
    <row r="382" spans="1:14" ht="15.75" thickBot="1" x14ac:dyDescent="0.3"/>
    <row r="383" spans="1:14" ht="15.75" thickBot="1" x14ac:dyDescent="0.3">
      <c r="A383" s="365" t="s">
        <v>657</v>
      </c>
      <c r="B383" s="372" t="s">
        <v>708</v>
      </c>
      <c r="C383" s="372" t="s">
        <v>1</v>
      </c>
      <c r="D383" s="373" t="s">
        <v>649</v>
      </c>
      <c r="E383" s="374" t="s">
        <v>19</v>
      </c>
      <c r="F383" s="374"/>
      <c r="G383" s="374"/>
      <c r="H383" s="374"/>
      <c r="I383" s="374"/>
      <c r="J383" s="368" t="s">
        <v>21</v>
      </c>
      <c r="K383" s="370" t="s">
        <v>602</v>
      </c>
      <c r="L383" s="349"/>
    </row>
    <row r="384" spans="1:14" ht="30.75" thickBot="1" x14ac:dyDescent="0.3">
      <c r="A384" s="366"/>
      <c r="B384" s="372"/>
      <c r="C384" s="372"/>
      <c r="D384" s="373"/>
      <c r="E384" s="69" t="s">
        <v>22</v>
      </c>
      <c r="F384" s="69" t="s">
        <v>600</v>
      </c>
      <c r="G384" s="69" t="s">
        <v>601</v>
      </c>
      <c r="H384" s="69" t="s">
        <v>589</v>
      </c>
      <c r="I384" s="69" t="s">
        <v>601</v>
      </c>
      <c r="J384" s="369"/>
      <c r="K384" s="371"/>
      <c r="L384" s="349"/>
    </row>
    <row r="385" spans="1:15" ht="15.75" thickBot="1" x14ac:dyDescent="0.3">
      <c r="A385" s="367"/>
      <c r="B385" s="229">
        <v>1</v>
      </c>
      <c r="C385" s="229">
        <v>2</v>
      </c>
      <c r="D385" s="229">
        <v>3</v>
      </c>
      <c r="E385" s="71">
        <v>4</v>
      </c>
      <c r="F385" s="71">
        <f>+E385+1</f>
        <v>5</v>
      </c>
      <c r="G385" s="71" t="s">
        <v>652</v>
      </c>
      <c r="H385" s="71">
        <v>7</v>
      </c>
      <c r="I385" s="72" t="s">
        <v>651</v>
      </c>
      <c r="J385" s="42" t="s">
        <v>650</v>
      </c>
      <c r="K385" s="42" t="s">
        <v>653</v>
      </c>
      <c r="L385" s="350"/>
    </row>
    <row r="386" spans="1:15" x14ac:dyDescent="0.25">
      <c r="A386" s="163"/>
      <c r="B386" s="73" t="s">
        <v>736</v>
      </c>
      <c r="C386" s="55"/>
      <c r="D386" s="55"/>
      <c r="E386" s="55"/>
      <c r="F386" s="55"/>
      <c r="G386" s="55"/>
      <c r="H386" s="55"/>
      <c r="I386" s="55"/>
      <c r="J386" s="55"/>
      <c r="K386" s="55"/>
      <c r="L386" s="135"/>
    </row>
    <row r="387" spans="1:15" x14ac:dyDescent="0.25">
      <c r="A387" s="155">
        <v>1</v>
      </c>
      <c r="B387" s="225" t="s">
        <v>786</v>
      </c>
      <c r="C387" s="43">
        <v>15000</v>
      </c>
      <c r="D387" s="241">
        <v>3609.08</v>
      </c>
      <c r="E387" s="43">
        <v>75</v>
      </c>
      <c r="F387" s="60"/>
      <c r="G387" s="142">
        <f t="shared" ref="G387:G403" si="67">+E387+F387</f>
        <v>75</v>
      </c>
      <c r="H387" s="60"/>
      <c r="I387" s="57">
        <f t="shared" ref="I387:I403" si="68">+G387-H387</f>
        <v>75</v>
      </c>
      <c r="J387" s="57">
        <f t="shared" ref="J387:J403" si="69">I387*C387</f>
        <v>1125000</v>
      </c>
      <c r="K387" s="58">
        <f t="shared" ref="K387:K403" si="70">+D387*I387</f>
        <v>270681</v>
      </c>
      <c r="L387" s="326"/>
      <c r="M387" s="287" t="s">
        <v>849</v>
      </c>
    </row>
    <row r="388" spans="1:15" x14ac:dyDescent="0.25">
      <c r="A388" s="155">
        <v>2</v>
      </c>
      <c r="B388" s="216" t="s">
        <v>791</v>
      </c>
      <c r="C388" s="43">
        <v>15000</v>
      </c>
      <c r="D388" s="241">
        <v>0</v>
      </c>
      <c r="E388" s="43">
        <v>800</v>
      </c>
      <c r="F388" s="60"/>
      <c r="G388" s="142">
        <f t="shared" si="67"/>
        <v>800</v>
      </c>
      <c r="H388" s="142">
        <f>100-100</f>
        <v>0</v>
      </c>
      <c r="I388" s="57">
        <f t="shared" si="68"/>
        <v>800</v>
      </c>
      <c r="J388" s="57">
        <f t="shared" si="69"/>
        <v>12000000</v>
      </c>
      <c r="K388" s="58">
        <f t="shared" si="70"/>
        <v>0</v>
      </c>
      <c r="L388" s="358" t="s">
        <v>1018</v>
      </c>
      <c r="M388" s="287" t="s">
        <v>856</v>
      </c>
      <c r="N388" s="267"/>
      <c r="O388" s="53">
        <v>100</v>
      </c>
    </row>
    <row r="389" spans="1:15" x14ac:dyDescent="0.25">
      <c r="A389" s="155">
        <v>3</v>
      </c>
      <c r="B389" s="216" t="s">
        <v>792</v>
      </c>
      <c r="C389" s="43">
        <v>15000</v>
      </c>
      <c r="D389" s="241">
        <v>1100</v>
      </c>
      <c r="E389" s="43">
        <v>0</v>
      </c>
      <c r="F389" s="60">
        <f>5-5</f>
        <v>0</v>
      </c>
      <c r="G389" s="142">
        <f t="shared" si="67"/>
        <v>0</v>
      </c>
      <c r="H389" s="142">
        <f>(200-200+100-100)+200-200</f>
        <v>0</v>
      </c>
      <c r="I389" s="57">
        <f t="shared" si="68"/>
        <v>0</v>
      </c>
      <c r="J389" s="57">
        <f t="shared" si="69"/>
        <v>0</v>
      </c>
      <c r="K389" s="58">
        <f t="shared" si="70"/>
        <v>0</v>
      </c>
      <c r="L389" s="351"/>
    </row>
    <row r="390" spans="1:15" x14ac:dyDescent="0.25">
      <c r="A390" s="155">
        <v>4</v>
      </c>
      <c r="B390" s="61" t="s">
        <v>793</v>
      </c>
      <c r="C390" s="43">
        <v>12000</v>
      </c>
      <c r="D390" s="241">
        <v>3564</v>
      </c>
      <c r="E390" s="43">
        <v>296</v>
      </c>
      <c r="F390" s="60"/>
      <c r="G390" s="142">
        <f t="shared" si="67"/>
        <v>296</v>
      </c>
      <c r="H390" s="142">
        <f>1-1+3-3</f>
        <v>0</v>
      </c>
      <c r="I390" s="57">
        <f t="shared" si="68"/>
        <v>296</v>
      </c>
      <c r="J390" s="57">
        <f t="shared" si="69"/>
        <v>3552000</v>
      </c>
      <c r="K390" s="58">
        <f t="shared" si="70"/>
        <v>1054944</v>
      </c>
      <c r="L390" s="351"/>
      <c r="M390" s="258" t="s">
        <v>855</v>
      </c>
      <c r="N390" s="256">
        <v>3</v>
      </c>
    </row>
    <row r="391" spans="1:15" x14ac:dyDescent="0.25">
      <c r="A391" s="155">
        <v>5</v>
      </c>
      <c r="B391" s="216" t="s">
        <v>794</v>
      </c>
      <c r="C391" s="43">
        <v>13000</v>
      </c>
      <c r="D391" s="241">
        <v>8714</v>
      </c>
      <c r="E391" s="43">
        <v>447</v>
      </c>
      <c r="F391" s="60">
        <f>2500-2500</f>
        <v>0</v>
      </c>
      <c r="G391" s="142">
        <f t="shared" si="67"/>
        <v>447</v>
      </c>
      <c r="H391" s="142">
        <f>50-50+3-3</f>
        <v>0</v>
      </c>
      <c r="I391" s="57">
        <f t="shared" si="68"/>
        <v>447</v>
      </c>
      <c r="J391" s="57">
        <f t="shared" si="69"/>
        <v>5811000</v>
      </c>
      <c r="K391" s="58">
        <f t="shared" si="70"/>
        <v>3895158</v>
      </c>
      <c r="L391" s="326"/>
      <c r="M391" s="287" t="s">
        <v>850</v>
      </c>
      <c r="N391" s="256">
        <v>3</v>
      </c>
    </row>
    <row r="392" spans="1:15" x14ac:dyDescent="0.25">
      <c r="A392" s="155">
        <v>6</v>
      </c>
      <c r="B392" s="216" t="s">
        <v>797</v>
      </c>
      <c r="C392" s="43">
        <v>12000</v>
      </c>
      <c r="D392" s="241">
        <v>3856.7</v>
      </c>
      <c r="E392" s="43">
        <v>120</v>
      </c>
      <c r="F392" s="60">
        <f>1200+500-1700+304-304</f>
        <v>0</v>
      </c>
      <c r="G392" s="142">
        <f t="shared" si="67"/>
        <v>120</v>
      </c>
      <c r="H392" s="142">
        <f>70+10+900+160-1140+304-304+20-20</f>
        <v>0</v>
      </c>
      <c r="I392" s="57">
        <f t="shared" si="68"/>
        <v>120</v>
      </c>
      <c r="J392" s="57">
        <f t="shared" si="69"/>
        <v>1440000</v>
      </c>
      <c r="K392" s="58">
        <f t="shared" si="70"/>
        <v>462804</v>
      </c>
      <c r="L392" s="358" t="s">
        <v>1045</v>
      </c>
      <c r="M392" s="275">
        <f>+I392-120</f>
        <v>0</v>
      </c>
      <c r="N392" s="53">
        <v>304</v>
      </c>
      <c r="O392" s="321" t="s">
        <v>914</v>
      </c>
    </row>
    <row r="393" spans="1:15" x14ac:dyDescent="0.25">
      <c r="A393" s="155">
        <v>7</v>
      </c>
      <c r="B393" s="216" t="s">
        <v>801</v>
      </c>
      <c r="C393" s="43">
        <v>15000</v>
      </c>
      <c r="D393" s="241">
        <v>0</v>
      </c>
      <c r="E393" s="43">
        <v>0</v>
      </c>
      <c r="F393" s="60"/>
      <c r="G393" s="142">
        <f t="shared" si="67"/>
        <v>0</v>
      </c>
      <c r="H393" s="142"/>
      <c r="I393" s="57">
        <f t="shared" si="68"/>
        <v>0</v>
      </c>
      <c r="J393" s="57">
        <f t="shared" si="69"/>
        <v>0</v>
      </c>
      <c r="K393" s="58">
        <f t="shared" si="70"/>
        <v>0</v>
      </c>
      <c r="L393" s="351"/>
    </row>
    <row r="394" spans="1:15" x14ac:dyDescent="0.25">
      <c r="A394" s="155">
        <v>8</v>
      </c>
      <c r="B394" s="216" t="s">
        <v>810</v>
      </c>
      <c r="C394" s="43">
        <v>7500</v>
      </c>
      <c r="D394" s="241">
        <v>3099.59</v>
      </c>
      <c r="E394" s="43">
        <v>0</v>
      </c>
      <c r="F394" s="44">
        <f>1000-1000</f>
        <v>0</v>
      </c>
      <c r="G394" s="142">
        <f t="shared" si="67"/>
        <v>0</v>
      </c>
      <c r="H394" s="142">
        <f>1000-1000</f>
        <v>0</v>
      </c>
      <c r="I394" s="57">
        <f t="shared" si="68"/>
        <v>0</v>
      </c>
      <c r="J394" s="57">
        <f t="shared" si="69"/>
        <v>0</v>
      </c>
      <c r="K394" s="58">
        <f t="shared" si="70"/>
        <v>0</v>
      </c>
      <c r="L394" s="351"/>
    </row>
    <row r="395" spans="1:15" x14ac:dyDescent="0.25">
      <c r="A395" s="155">
        <v>9</v>
      </c>
      <c r="B395" s="216" t="s">
        <v>811</v>
      </c>
      <c r="C395" s="43">
        <v>7500</v>
      </c>
      <c r="D395" s="241">
        <v>3099.59</v>
      </c>
      <c r="E395" s="43">
        <v>0</v>
      </c>
      <c r="F395" s="60">
        <f>1000-1000</f>
        <v>0</v>
      </c>
      <c r="G395" s="142">
        <f t="shared" si="67"/>
        <v>0</v>
      </c>
      <c r="H395" s="142">
        <f>1000-1000</f>
        <v>0</v>
      </c>
      <c r="I395" s="57">
        <f t="shared" si="68"/>
        <v>0</v>
      </c>
      <c r="J395" s="57">
        <f t="shared" si="69"/>
        <v>0</v>
      </c>
      <c r="K395" s="58">
        <f t="shared" si="70"/>
        <v>0</v>
      </c>
      <c r="L395" s="351"/>
    </row>
    <row r="396" spans="1:15" x14ac:dyDescent="0.25">
      <c r="A396" s="155">
        <v>10</v>
      </c>
      <c r="B396" s="216" t="s">
        <v>803</v>
      </c>
      <c r="C396" s="43">
        <v>24000</v>
      </c>
      <c r="D396" s="241">
        <v>5293.4</v>
      </c>
      <c r="E396" s="43">
        <v>0</v>
      </c>
      <c r="F396" s="235">
        <f>500-500</f>
        <v>0</v>
      </c>
      <c r="G396" s="142">
        <f t="shared" si="67"/>
        <v>0</v>
      </c>
      <c r="H396" s="142">
        <f>70+350-70-350</f>
        <v>0</v>
      </c>
      <c r="I396" s="57">
        <f t="shared" si="68"/>
        <v>0</v>
      </c>
      <c r="J396" s="57">
        <f t="shared" si="69"/>
        <v>0</v>
      </c>
      <c r="K396" s="58">
        <f t="shared" si="70"/>
        <v>0</v>
      </c>
      <c r="L396" s="351"/>
    </row>
    <row r="397" spans="1:15" x14ac:dyDescent="0.25">
      <c r="A397" s="155">
        <v>11</v>
      </c>
      <c r="B397" s="216" t="s">
        <v>804</v>
      </c>
      <c r="C397" s="43">
        <v>4000</v>
      </c>
      <c r="D397" s="241">
        <v>1100</v>
      </c>
      <c r="E397" s="43">
        <v>84</v>
      </c>
      <c r="F397" s="60">
        <f>1000+500-1500</f>
        <v>0</v>
      </c>
      <c r="G397" s="142">
        <f t="shared" si="67"/>
        <v>84</v>
      </c>
      <c r="H397" s="236">
        <f>376+450+100-926+546-546</f>
        <v>0</v>
      </c>
      <c r="I397" s="57">
        <f t="shared" si="68"/>
        <v>84</v>
      </c>
      <c r="J397" s="57">
        <f t="shared" si="69"/>
        <v>336000</v>
      </c>
      <c r="K397" s="58">
        <f t="shared" si="70"/>
        <v>92400</v>
      </c>
      <c r="L397" s="358" t="s">
        <v>1046</v>
      </c>
      <c r="M397" s="275">
        <f>+I397-80</f>
        <v>4</v>
      </c>
    </row>
    <row r="398" spans="1:15" x14ac:dyDescent="0.25">
      <c r="A398" s="155">
        <v>12</v>
      </c>
      <c r="B398" s="216" t="s">
        <v>805</v>
      </c>
      <c r="C398" s="43">
        <v>12000</v>
      </c>
      <c r="D398" s="241">
        <v>0</v>
      </c>
      <c r="E398" s="43">
        <v>0</v>
      </c>
      <c r="F398" s="60">
        <f>250+100+497-847+75-75</f>
        <v>0</v>
      </c>
      <c r="G398" s="142">
        <f t="shared" si="67"/>
        <v>0</v>
      </c>
      <c r="H398" s="236">
        <f>467-467</f>
        <v>0</v>
      </c>
      <c r="I398" s="57">
        <f t="shared" si="68"/>
        <v>0</v>
      </c>
      <c r="J398" s="57">
        <f t="shared" si="69"/>
        <v>0</v>
      </c>
      <c r="K398" s="58">
        <f t="shared" si="70"/>
        <v>0</v>
      </c>
      <c r="L398" s="351"/>
    </row>
    <row r="399" spans="1:15" x14ac:dyDescent="0.25">
      <c r="A399" s="155">
        <v>13</v>
      </c>
      <c r="B399" s="61" t="s">
        <v>815</v>
      </c>
      <c r="C399" s="43">
        <v>20000</v>
      </c>
      <c r="D399" s="241">
        <v>5248.36</v>
      </c>
      <c r="E399" s="43">
        <v>0</v>
      </c>
      <c r="F399" s="60">
        <f>1000-1000</f>
        <v>0</v>
      </c>
      <c r="G399" s="142">
        <f t="shared" si="67"/>
        <v>0</v>
      </c>
      <c r="H399" s="236">
        <f>1000-1000</f>
        <v>0</v>
      </c>
      <c r="I399" s="57">
        <f t="shared" si="68"/>
        <v>0</v>
      </c>
      <c r="J399" s="57">
        <f t="shared" si="69"/>
        <v>0</v>
      </c>
      <c r="K399" s="58">
        <f t="shared" si="70"/>
        <v>0</v>
      </c>
      <c r="L399" s="351"/>
    </row>
    <row r="400" spans="1:15" x14ac:dyDescent="0.25">
      <c r="A400" s="155">
        <v>14</v>
      </c>
      <c r="B400" s="61" t="s">
        <v>816</v>
      </c>
      <c r="C400" s="43">
        <v>7500</v>
      </c>
      <c r="D400" s="241">
        <v>3099.59</v>
      </c>
      <c r="E400" s="43">
        <v>0</v>
      </c>
      <c r="F400" s="60">
        <f>1000-1000</f>
        <v>0</v>
      </c>
      <c r="G400" s="142">
        <f t="shared" si="67"/>
        <v>0</v>
      </c>
      <c r="H400" s="236">
        <f>1000-1000</f>
        <v>0</v>
      </c>
      <c r="I400" s="57">
        <f t="shared" si="68"/>
        <v>0</v>
      </c>
      <c r="J400" s="57">
        <f t="shared" si="69"/>
        <v>0</v>
      </c>
      <c r="K400" s="58">
        <f t="shared" si="70"/>
        <v>0</v>
      </c>
      <c r="L400" s="351"/>
    </row>
    <row r="401" spans="1:18" x14ac:dyDescent="0.25">
      <c r="A401" s="155">
        <v>15</v>
      </c>
      <c r="B401" s="61" t="s">
        <v>817</v>
      </c>
      <c r="C401" s="43">
        <v>3000</v>
      </c>
      <c r="D401" s="241">
        <v>2750</v>
      </c>
      <c r="E401" s="43">
        <v>500</v>
      </c>
      <c r="F401" s="60">
        <f>700-700</f>
        <v>0</v>
      </c>
      <c r="G401" s="142">
        <f t="shared" si="67"/>
        <v>500</v>
      </c>
      <c r="H401" s="236">
        <f>200-200</f>
        <v>0</v>
      </c>
      <c r="I401" s="57">
        <f t="shared" si="68"/>
        <v>500</v>
      </c>
      <c r="J401" s="57">
        <f t="shared" si="69"/>
        <v>1500000</v>
      </c>
      <c r="K401" s="58">
        <f t="shared" si="70"/>
        <v>1375000</v>
      </c>
      <c r="L401" s="326">
        <v>500</v>
      </c>
      <c r="M401" s="287" t="s">
        <v>848</v>
      </c>
      <c r="R401" s="249">
        <v>42503</v>
      </c>
    </row>
    <row r="402" spans="1:18" x14ac:dyDescent="0.25">
      <c r="A402" s="155">
        <v>16</v>
      </c>
      <c r="B402" s="61" t="s">
        <v>818</v>
      </c>
      <c r="C402" s="43">
        <v>19000</v>
      </c>
      <c r="D402" s="296">
        <v>6106</v>
      </c>
      <c r="E402" s="43">
        <v>0</v>
      </c>
      <c r="F402" s="60">
        <f>2500-2500</f>
        <v>0</v>
      </c>
      <c r="G402" s="142">
        <f t="shared" si="67"/>
        <v>0</v>
      </c>
      <c r="H402" s="250">
        <f>(1000+740+560)+200-2500</f>
        <v>0</v>
      </c>
      <c r="I402" s="57">
        <f t="shared" si="68"/>
        <v>0</v>
      </c>
      <c r="J402" s="57">
        <f t="shared" si="69"/>
        <v>0</v>
      </c>
      <c r="K402" s="58">
        <f t="shared" si="70"/>
        <v>0</v>
      </c>
      <c r="L402" s="351"/>
      <c r="R402" s="251">
        <v>200</v>
      </c>
    </row>
    <row r="403" spans="1:18" x14ac:dyDescent="0.25">
      <c r="A403" s="173">
        <v>17</v>
      </c>
      <c r="B403" s="239" t="s">
        <v>823</v>
      </c>
      <c r="C403" s="125">
        <v>3000</v>
      </c>
      <c r="D403" s="296">
        <v>2750</v>
      </c>
      <c r="E403" s="125">
        <v>0</v>
      </c>
      <c r="F403" s="259">
        <f>1000-1000</f>
        <v>0</v>
      </c>
      <c r="G403" s="172">
        <f t="shared" si="67"/>
        <v>0</v>
      </c>
      <c r="H403" s="197">
        <f>700+300-1000</f>
        <v>0</v>
      </c>
      <c r="I403" s="111">
        <f t="shared" si="68"/>
        <v>0</v>
      </c>
      <c r="J403" s="111">
        <f t="shared" si="69"/>
        <v>0</v>
      </c>
      <c r="K403" s="112">
        <f t="shared" si="70"/>
        <v>0</v>
      </c>
      <c r="L403" s="351"/>
    </row>
    <row r="404" spans="1:18" x14ac:dyDescent="0.25">
      <c r="A404" s="260">
        <v>18</v>
      </c>
      <c r="B404" s="216" t="s">
        <v>828</v>
      </c>
      <c r="C404" s="44">
        <v>6000</v>
      </c>
      <c r="D404" s="241">
        <v>0</v>
      </c>
      <c r="E404" s="125">
        <v>0</v>
      </c>
      <c r="F404" s="259">
        <f>1000-1000+1000-1000</f>
        <v>0</v>
      </c>
      <c r="G404" s="172">
        <f t="shared" ref="G404:G407" si="71">+E404+F404</f>
        <v>0</v>
      </c>
      <c r="H404" s="197">
        <f>500+500-1000</f>
        <v>0</v>
      </c>
      <c r="I404" s="111">
        <f t="shared" ref="I404:I407" si="72">+G404-H404</f>
        <v>0</v>
      </c>
      <c r="J404" s="111">
        <f t="shared" ref="J404:J407" si="73">I404*C404</f>
        <v>0</v>
      </c>
      <c r="K404" s="112">
        <f t="shared" ref="K404:K407" si="74">+D404*I404</f>
        <v>0</v>
      </c>
      <c r="L404" s="351"/>
      <c r="N404" s="267"/>
      <c r="O404" s="267"/>
    </row>
    <row r="405" spans="1:18" x14ac:dyDescent="0.25">
      <c r="A405" s="173">
        <v>19</v>
      </c>
      <c r="B405" s="266" t="s">
        <v>829</v>
      </c>
      <c r="C405" s="44">
        <v>48000</v>
      </c>
      <c r="D405" s="241">
        <v>0</v>
      </c>
      <c r="E405" s="125">
        <v>0</v>
      </c>
      <c r="F405" s="259">
        <f>800-800</f>
        <v>0</v>
      </c>
      <c r="G405" s="172">
        <f t="shared" si="71"/>
        <v>0</v>
      </c>
      <c r="H405" s="197">
        <f>800-800</f>
        <v>0</v>
      </c>
      <c r="I405" s="111">
        <f t="shared" si="72"/>
        <v>0</v>
      </c>
      <c r="J405" s="111">
        <f t="shared" si="73"/>
        <v>0</v>
      </c>
      <c r="K405" s="112">
        <f t="shared" si="74"/>
        <v>0</v>
      </c>
      <c r="L405" s="351"/>
      <c r="N405" s="267"/>
    </row>
    <row r="406" spans="1:18" x14ac:dyDescent="0.25">
      <c r="A406" s="260">
        <v>20</v>
      </c>
      <c r="B406" s="282" t="s">
        <v>833</v>
      </c>
      <c r="C406" s="44">
        <v>11000</v>
      </c>
      <c r="D406" s="297">
        <v>3688.43</v>
      </c>
      <c r="E406" s="125">
        <v>0</v>
      </c>
      <c r="F406" s="259">
        <f>100-100+300-300</f>
        <v>0</v>
      </c>
      <c r="G406" s="172">
        <f t="shared" si="71"/>
        <v>0</v>
      </c>
      <c r="H406" s="197">
        <f>300-300</f>
        <v>0</v>
      </c>
      <c r="I406" s="111">
        <f t="shared" si="72"/>
        <v>0</v>
      </c>
      <c r="J406" s="111">
        <f t="shared" si="73"/>
        <v>0</v>
      </c>
      <c r="K406" s="112">
        <f t="shared" si="74"/>
        <v>0</v>
      </c>
      <c r="L406" s="351"/>
    </row>
    <row r="407" spans="1:18" x14ac:dyDescent="0.25">
      <c r="A407" s="260">
        <v>21</v>
      </c>
      <c r="B407" s="284" t="s">
        <v>838</v>
      </c>
      <c r="C407" s="44">
        <v>48000</v>
      </c>
      <c r="D407" s="296">
        <v>13674</v>
      </c>
      <c r="E407" s="125">
        <v>44</v>
      </c>
      <c r="F407" s="259">
        <f>3000-3000</f>
        <v>0</v>
      </c>
      <c r="G407" s="172">
        <f t="shared" si="71"/>
        <v>44</v>
      </c>
      <c r="H407" s="197">
        <f>200-200+6-6</f>
        <v>0</v>
      </c>
      <c r="I407" s="111">
        <f t="shared" si="72"/>
        <v>44</v>
      </c>
      <c r="J407" s="111">
        <f t="shared" si="73"/>
        <v>2112000</v>
      </c>
      <c r="K407" s="112">
        <f t="shared" si="74"/>
        <v>601656</v>
      </c>
      <c r="L407" s="351"/>
      <c r="M407" s="258" t="s">
        <v>851</v>
      </c>
      <c r="N407" s="53">
        <v>200</v>
      </c>
      <c r="O407" s="53">
        <v>6</v>
      </c>
      <c r="Q407" s="285">
        <v>100</v>
      </c>
    </row>
    <row r="408" spans="1:18" x14ac:dyDescent="0.25">
      <c r="A408" s="260">
        <v>22</v>
      </c>
      <c r="B408" s="284" t="s">
        <v>839</v>
      </c>
      <c r="C408" s="44">
        <v>30000</v>
      </c>
      <c r="D408" s="61">
        <v>15262.5</v>
      </c>
      <c r="E408" s="125">
        <v>625</v>
      </c>
      <c r="F408" s="259">
        <f>3000-3000</f>
        <v>0</v>
      </c>
      <c r="G408" s="172">
        <f t="shared" ref="G408:G410" si="75">+E408+F408</f>
        <v>625</v>
      </c>
      <c r="H408" s="197">
        <f>10+50+50+9-119+6-6</f>
        <v>0</v>
      </c>
      <c r="I408" s="111">
        <f t="shared" ref="I408:I410" si="76">+G408-H408</f>
        <v>625</v>
      </c>
      <c r="J408" s="111">
        <f t="shared" ref="J408:J410" si="77">I408*C408</f>
        <v>18750000</v>
      </c>
      <c r="K408" s="112">
        <f t="shared" ref="K408:K410" si="78">+D408*I408</f>
        <v>9539062.5</v>
      </c>
      <c r="L408" s="363" t="s">
        <v>1017</v>
      </c>
      <c r="O408" s="53">
        <v>6</v>
      </c>
      <c r="Q408" s="285">
        <v>50</v>
      </c>
      <c r="R408" s="291">
        <v>9</v>
      </c>
    </row>
    <row r="409" spans="1:18" x14ac:dyDescent="0.25">
      <c r="A409" s="260">
        <v>23</v>
      </c>
      <c r="B409" s="284" t="s">
        <v>841</v>
      </c>
      <c r="C409" s="44">
        <v>18000</v>
      </c>
      <c r="D409" s="296">
        <v>9172.8799999999992</v>
      </c>
      <c r="E409" s="125">
        <v>100</v>
      </c>
      <c r="F409" s="259">
        <f>2000-2000</f>
        <v>0</v>
      </c>
      <c r="G409" s="172">
        <f t="shared" si="75"/>
        <v>100</v>
      </c>
      <c r="H409" s="197">
        <f>600-600</f>
        <v>0</v>
      </c>
      <c r="I409" s="111">
        <f t="shared" si="76"/>
        <v>100</v>
      </c>
      <c r="J409" s="111">
        <f t="shared" si="77"/>
        <v>1800000</v>
      </c>
      <c r="K409" s="112">
        <f t="shared" si="78"/>
        <v>917287.99999999988</v>
      </c>
      <c r="L409" s="351"/>
      <c r="M409" s="258" t="s">
        <v>852</v>
      </c>
      <c r="N409" s="53">
        <v>600</v>
      </c>
      <c r="Q409" s="285">
        <v>100</v>
      </c>
    </row>
    <row r="410" spans="1:18" x14ac:dyDescent="0.25">
      <c r="A410" s="260">
        <v>24</v>
      </c>
      <c r="B410" s="284" t="s">
        <v>844</v>
      </c>
      <c r="C410" s="44">
        <v>30000</v>
      </c>
      <c r="D410" s="60"/>
      <c r="E410" s="125">
        <v>0</v>
      </c>
      <c r="F410" s="259">
        <f>2000-2000</f>
        <v>0</v>
      </c>
      <c r="G410" s="172">
        <f t="shared" si="75"/>
        <v>0</v>
      </c>
      <c r="H410" s="197">
        <f>1950-50+100-2000</f>
        <v>0</v>
      </c>
      <c r="I410" s="111">
        <f t="shared" si="76"/>
        <v>0</v>
      </c>
      <c r="J410" s="111">
        <f t="shared" si="77"/>
        <v>0</v>
      </c>
      <c r="K410" s="112">
        <f t="shared" si="78"/>
        <v>0</v>
      </c>
      <c r="L410" s="351"/>
      <c r="M410" s="53" t="s">
        <v>858</v>
      </c>
      <c r="Q410" s="285">
        <v>100</v>
      </c>
    </row>
    <row r="411" spans="1:18" x14ac:dyDescent="0.25">
      <c r="A411" s="260">
        <v>25</v>
      </c>
      <c r="B411" s="300" t="s">
        <v>864</v>
      </c>
      <c r="C411" s="301">
        <v>11000</v>
      </c>
      <c r="D411" s="121">
        <v>3688.43</v>
      </c>
      <c r="E411" s="125">
        <v>0</v>
      </c>
      <c r="F411" s="259">
        <f>10-10</f>
        <v>0</v>
      </c>
      <c r="G411" s="172">
        <f t="shared" ref="G411:G418" si="79">+E411+F411</f>
        <v>0</v>
      </c>
      <c r="H411" s="197">
        <f>10-10</f>
        <v>0</v>
      </c>
      <c r="I411" s="111">
        <f t="shared" ref="I411:I415" si="80">+G411-H411</f>
        <v>0</v>
      </c>
      <c r="J411" s="111">
        <f t="shared" ref="J411:J415" si="81">I411*C411</f>
        <v>0</v>
      </c>
      <c r="K411" s="112">
        <f t="shared" ref="K411:K415" si="82">+D411*I411</f>
        <v>0</v>
      </c>
      <c r="L411" s="351"/>
      <c r="Q411" s="285"/>
    </row>
    <row r="412" spans="1:18" x14ac:dyDescent="0.25">
      <c r="A412" s="260">
        <v>26</v>
      </c>
      <c r="B412" s="300" t="s">
        <v>865</v>
      </c>
      <c r="C412" s="301">
        <v>10000</v>
      </c>
      <c r="D412" s="121">
        <v>4238.43</v>
      </c>
      <c r="E412" s="125">
        <v>0</v>
      </c>
      <c r="F412" s="259">
        <f>110-110+50-50</f>
        <v>0</v>
      </c>
      <c r="G412" s="172">
        <f t="shared" si="79"/>
        <v>0</v>
      </c>
      <c r="H412" s="197">
        <f>110-110+50-50</f>
        <v>0</v>
      </c>
      <c r="I412" s="111">
        <f t="shared" si="80"/>
        <v>0</v>
      </c>
      <c r="J412" s="111">
        <f t="shared" si="81"/>
        <v>0</v>
      </c>
      <c r="K412" s="112">
        <f t="shared" si="82"/>
        <v>0</v>
      </c>
      <c r="L412" s="351"/>
      <c r="N412" s="53" t="s">
        <v>883</v>
      </c>
      <c r="Q412" s="285"/>
    </row>
    <row r="413" spans="1:18" x14ac:dyDescent="0.25">
      <c r="A413" s="260">
        <v>27</v>
      </c>
      <c r="B413" s="300" t="s">
        <v>866</v>
      </c>
      <c r="C413" s="301">
        <v>10000</v>
      </c>
      <c r="D413" s="121">
        <v>3088.43</v>
      </c>
      <c r="E413" s="125">
        <v>0</v>
      </c>
      <c r="F413" s="259">
        <f>60-60</f>
        <v>0</v>
      </c>
      <c r="G413" s="172">
        <f t="shared" si="79"/>
        <v>0</v>
      </c>
      <c r="H413" s="197">
        <f>60-60</f>
        <v>0</v>
      </c>
      <c r="I413" s="111">
        <f t="shared" si="80"/>
        <v>0</v>
      </c>
      <c r="J413" s="111">
        <f t="shared" si="81"/>
        <v>0</v>
      </c>
      <c r="K413" s="112">
        <f t="shared" si="82"/>
        <v>0</v>
      </c>
      <c r="L413" s="351"/>
      <c r="Q413" s="285"/>
    </row>
    <row r="414" spans="1:18" x14ac:dyDescent="0.25">
      <c r="A414" s="260">
        <v>28</v>
      </c>
      <c r="B414" s="300" t="s">
        <v>867</v>
      </c>
      <c r="C414" s="301">
        <v>9000</v>
      </c>
      <c r="D414" s="121"/>
      <c r="E414" s="125">
        <v>0</v>
      </c>
      <c r="F414" s="259">
        <f>1000-1000</f>
        <v>0</v>
      </c>
      <c r="G414" s="172">
        <f t="shared" si="79"/>
        <v>0</v>
      </c>
      <c r="H414" s="197">
        <f>1000-1000</f>
        <v>0</v>
      </c>
      <c r="I414" s="111">
        <f t="shared" si="80"/>
        <v>0</v>
      </c>
      <c r="J414" s="111">
        <f t="shared" si="81"/>
        <v>0</v>
      </c>
      <c r="K414" s="112">
        <f t="shared" si="82"/>
        <v>0</v>
      </c>
      <c r="L414" s="351"/>
      <c r="Q414" s="285"/>
    </row>
    <row r="415" spans="1:18" x14ac:dyDescent="0.25">
      <c r="A415" s="299">
        <v>29</v>
      </c>
      <c r="B415" s="300" t="s">
        <v>869</v>
      </c>
      <c r="C415" s="301">
        <v>13000</v>
      </c>
      <c r="D415" s="121">
        <v>5970.25</v>
      </c>
      <c r="E415" s="125">
        <v>0</v>
      </c>
      <c r="F415" s="259">
        <f>1000+800-1800</f>
        <v>0</v>
      </c>
      <c r="G415" s="172">
        <f t="shared" si="79"/>
        <v>0</v>
      </c>
      <c r="H415" s="197">
        <f>1000+800-1800</f>
        <v>0</v>
      </c>
      <c r="I415" s="111">
        <f t="shared" si="80"/>
        <v>0</v>
      </c>
      <c r="J415" s="111">
        <f t="shared" si="81"/>
        <v>0</v>
      </c>
      <c r="K415" s="112">
        <f t="shared" si="82"/>
        <v>0</v>
      </c>
      <c r="L415" s="351"/>
      <c r="O415" s="53">
        <v>800</v>
      </c>
      <c r="Q415" s="285"/>
    </row>
    <row r="416" spans="1:18" x14ac:dyDescent="0.25">
      <c r="A416" s="299">
        <v>30</v>
      </c>
      <c r="B416" s="300" t="s">
        <v>879</v>
      </c>
      <c r="C416" s="301">
        <v>27000</v>
      </c>
      <c r="D416" s="121"/>
      <c r="E416" s="125">
        <v>50</v>
      </c>
      <c r="F416" s="259">
        <f>3000-3000</f>
        <v>0</v>
      </c>
      <c r="G416" s="172">
        <f t="shared" si="79"/>
        <v>50</v>
      </c>
      <c r="H416" s="197">
        <f>2400+50+500-2950</f>
        <v>0</v>
      </c>
      <c r="I416" s="111">
        <f t="shared" ref="I416" si="83">+G416-H416</f>
        <v>50</v>
      </c>
      <c r="J416" s="111">
        <f t="shared" ref="J416" si="84">I416*C416</f>
        <v>1350000</v>
      </c>
      <c r="K416" s="112">
        <f t="shared" ref="K416" si="85">+D416*I416</f>
        <v>0</v>
      </c>
      <c r="L416" s="351"/>
      <c r="N416" s="53">
        <v>2400</v>
      </c>
      <c r="O416" s="53">
        <v>50</v>
      </c>
      <c r="P416" s="53">
        <v>500</v>
      </c>
      <c r="Q416" s="285"/>
    </row>
    <row r="417" spans="1:17" x14ac:dyDescent="0.25">
      <c r="A417" s="299">
        <v>31</v>
      </c>
      <c r="B417" s="300" t="s">
        <v>414</v>
      </c>
      <c r="C417" s="301">
        <v>13000</v>
      </c>
      <c r="D417" s="121">
        <v>8755.25</v>
      </c>
      <c r="E417" s="125">
        <v>0</v>
      </c>
      <c r="F417" s="259">
        <f>1000-1000</f>
        <v>0</v>
      </c>
      <c r="G417" s="172">
        <f t="shared" si="79"/>
        <v>0</v>
      </c>
      <c r="H417" s="197">
        <f>1000-1000</f>
        <v>0</v>
      </c>
      <c r="I417" s="111">
        <f t="shared" ref="I417:I418" si="86">+G417-H417</f>
        <v>0</v>
      </c>
      <c r="J417" s="111">
        <f t="shared" ref="J417:J418" si="87">I417*C417</f>
        <v>0</v>
      </c>
      <c r="K417" s="112">
        <f t="shared" ref="K417:K418" si="88">+D417*I417</f>
        <v>0</v>
      </c>
      <c r="L417" s="351"/>
      <c r="Q417" s="285"/>
    </row>
    <row r="418" spans="1:17" ht="15.75" thickBot="1" x14ac:dyDescent="0.3">
      <c r="A418" s="262">
        <v>32</v>
      </c>
      <c r="B418" s="300" t="s">
        <v>907</v>
      </c>
      <c r="C418" s="263">
        <v>3000</v>
      </c>
      <c r="D418" s="149">
        <v>2750</v>
      </c>
      <c r="E418" s="263">
        <v>0</v>
      </c>
      <c r="F418" s="259">
        <f>1000-1000</f>
        <v>0</v>
      </c>
      <c r="G418" s="172">
        <f t="shared" si="79"/>
        <v>0</v>
      </c>
      <c r="H418" s="264">
        <f>1000-1000</f>
        <v>0</v>
      </c>
      <c r="I418" s="111">
        <f t="shared" si="86"/>
        <v>0</v>
      </c>
      <c r="J418" s="111">
        <f t="shared" si="87"/>
        <v>0</v>
      </c>
      <c r="K418" s="112">
        <f t="shared" si="88"/>
        <v>0</v>
      </c>
      <c r="L418" s="351"/>
    </row>
    <row r="419" spans="1:17" ht="15.75" thickBot="1" x14ac:dyDescent="0.3">
      <c r="A419" s="131"/>
      <c r="B419" s="122" t="s">
        <v>730</v>
      </c>
      <c r="C419" s="36"/>
      <c r="D419" s="36"/>
      <c r="E419" s="29">
        <f>SUM(E387:E418)</f>
        <v>3141</v>
      </c>
      <c r="F419" s="29">
        <f>SUM(F387:F418)</f>
        <v>0</v>
      </c>
      <c r="G419" s="29">
        <f t="shared" ref="G419:J419" si="89">SUM(G387:G418)</f>
        <v>3141</v>
      </c>
      <c r="H419" s="29">
        <f t="shared" si="89"/>
        <v>0</v>
      </c>
      <c r="I419" s="29">
        <f t="shared" si="89"/>
        <v>3141</v>
      </c>
      <c r="J419" s="29">
        <f t="shared" si="89"/>
        <v>49776000</v>
      </c>
      <c r="K419" s="47">
        <f>SUM(K387:K418)</f>
        <v>18208993.5</v>
      </c>
      <c r="L419" s="218"/>
    </row>
    <row r="420" spans="1:17" ht="15.75" thickBot="1" x14ac:dyDescent="0.3"/>
    <row r="421" spans="1:17" ht="15.75" thickBot="1" x14ac:dyDescent="0.3">
      <c r="A421" s="365" t="s">
        <v>657</v>
      </c>
      <c r="B421" s="372" t="s">
        <v>708</v>
      </c>
      <c r="C421" s="372" t="s">
        <v>1</v>
      </c>
      <c r="D421" s="373" t="s">
        <v>649</v>
      </c>
      <c r="E421" s="374" t="s">
        <v>19</v>
      </c>
      <c r="F421" s="374"/>
      <c r="G421" s="374"/>
      <c r="H421" s="374"/>
      <c r="I421" s="374"/>
      <c r="J421" s="368" t="s">
        <v>21</v>
      </c>
      <c r="K421" s="370" t="s">
        <v>602</v>
      </c>
      <c r="L421" s="349"/>
    </row>
    <row r="422" spans="1:17" ht="30.75" thickBot="1" x14ac:dyDescent="0.3">
      <c r="A422" s="366"/>
      <c r="B422" s="372"/>
      <c r="C422" s="372"/>
      <c r="D422" s="373"/>
      <c r="E422" s="69" t="s">
        <v>22</v>
      </c>
      <c r="F422" s="69" t="s">
        <v>600</v>
      </c>
      <c r="G422" s="69" t="s">
        <v>601</v>
      </c>
      <c r="H422" s="69" t="s">
        <v>589</v>
      </c>
      <c r="I422" s="69" t="s">
        <v>601</v>
      </c>
      <c r="J422" s="369"/>
      <c r="K422" s="371"/>
      <c r="L422" s="349"/>
    </row>
    <row r="423" spans="1:17" ht="15.75" thickBot="1" x14ac:dyDescent="0.3">
      <c r="A423" s="367"/>
      <c r="B423" s="322">
        <v>1</v>
      </c>
      <c r="C423" s="322">
        <v>2</v>
      </c>
      <c r="D423" s="322">
        <v>3</v>
      </c>
      <c r="E423" s="71">
        <v>4</v>
      </c>
      <c r="F423" s="71">
        <f>+E423+1</f>
        <v>5</v>
      </c>
      <c r="G423" s="71" t="s">
        <v>652</v>
      </c>
      <c r="H423" s="71">
        <v>7</v>
      </c>
      <c r="I423" s="72" t="s">
        <v>651</v>
      </c>
      <c r="J423" s="42" t="s">
        <v>650</v>
      </c>
      <c r="K423" s="42" t="s">
        <v>653</v>
      </c>
      <c r="L423" s="350"/>
    </row>
    <row r="424" spans="1:17" x14ac:dyDescent="0.25">
      <c r="A424" s="163"/>
      <c r="B424" s="73" t="s">
        <v>917</v>
      </c>
      <c r="C424" s="55"/>
      <c r="D424" s="55"/>
      <c r="E424" s="55"/>
      <c r="F424" s="55"/>
      <c r="G424" s="55"/>
      <c r="H424" s="55"/>
      <c r="I424" s="55"/>
      <c r="J424" s="55"/>
      <c r="K424" s="55"/>
      <c r="L424" s="135"/>
    </row>
    <row r="425" spans="1:17" x14ac:dyDescent="0.25">
      <c r="A425" s="155">
        <v>1</v>
      </c>
      <c r="B425" s="225" t="s">
        <v>927</v>
      </c>
      <c r="C425" s="43">
        <v>14000</v>
      </c>
      <c r="D425" s="241">
        <v>0</v>
      </c>
      <c r="E425" s="43">
        <v>570</v>
      </c>
      <c r="F425" s="60">
        <f>4000-4000</f>
        <v>0</v>
      </c>
      <c r="G425" s="142">
        <f t="shared" ref="G425:G444" si="90">+E425+F425</f>
        <v>570</v>
      </c>
      <c r="H425" s="142">
        <f>2300+500+100-2900+30-30+500-500</f>
        <v>0</v>
      </c>
      <c r="I425" s="342">
        <f t="shared" ref="I425:I444" si="91">+G425-H425</f>
        <v>570</v>
      </c>
      <c r="J425" s="57">
        <f t="shared" ref="J425:J444" si="92">I425*C425</f>
        <v>7980000</v>
      </c>
      <c r="K425" s="58">
        <f t="shared" ref="K425:K444" si="93">+D425*I425</f>
        <v>0</v>
      </c>
      <c r="L425" s="363" t="s">
        <v>1010</v>
      </c>
      <c r="M425" s="287"/>
    </row>
    <row r="426" spans="1:17" x14ac:dyDescent="0.25">
      <c r="A426" s="155">
        <v>2</v>
      </c>
      <c r="B426" s="216" t="s">
        <v>928</v>
      </c>
      <c r="C426" s="43">
        <v>15000</v>
      </c>
      <c r="D426" s="241">
        <v>0</v>
      </c>
      <c r="E426" s="43">
        <v>570</v>
      </c>
      <c r="F426" s="60">
        <f>4000-4000</f>
        <v>0</v>
      </c>
      <c r="G426" s="142">
        <f t="shared" si="90"/>
        <v>570</v>
      </c>
      <c r="H426" s="142">
        <f>2300+500+100-2900+30-30+500-500</f>
        <v>0</v>
      </c>
      <c r="I426" s="342">
        <f t="shared" si="91"/>
        <v>570</v>
      </c>
      <c r="J426" s="57">
        <f t="shared" si="92"/>
        <v>8550000</v>
      </c>
      <c r="K426" s="58">
        <f t="shared" si="93"/>
        <v>0</v>
      </c>
      <c r="L426" s="363" t="s">
        <v>1010</v>
      </c>
      <c r="M426" s="338"/>
      <c r="N426" s="272" t="s">
        <v>965</v>
      </c>
      <c r="O426" s="68"/>
    </row>
    <row r="427" spans="1:17" x14ac:dyDescent="0.25">
      <c r="A427" s="155">
        <v>3</v>
      </c>
      <c r="B427" s="224" t="s">
        <v>949</v>
      </c>
      <c r="C427" s="43">
        <v>25000</v>
      </c>
      <c r="D427" s="241">
        <v>6287.48</v>
      </c>
      <c r="E427" s="43">
        <v>800</v>
      </c>
      <c r="F427" s="60">
        <f>3000-3000</f>
        <v>0</v>
      </c>
      <c r="G427" s="142">
        <f t="shared" si="90"/>
        <v>800</v>
      </c>
      <c r="H427" s="142">
        <f>2100+100-2200</f>
        <v>0</v>
      </c>
      <c r="I427" s="342">
        <f t="shared" si="91"/>
        <v>800</v>
      </c>
      <c r="J427" s="57">
        <f t="shared" si="92"/>
        <v>20000000</v>
      </c>
      <c r="K427" s="58">
        <f t="shared" si="93"/>
        <v>5029984</v>
      </c>
      <c r="L427" s="363" t="s">
        <v>1007</v>
      </c>
      <c r="N427" s="68">
        <v>100</v>
      </c>
      <c r="O427" s="68"/>
    </row>
    <row r="428" spans="1:17" x14ac:dyDescent="0.25">
      <c r="A428" s="155">
        <v>4</v>
      </c>
      <c r="B428" s="61" t="s">
        <v>975</v>
      </c>
      <c r="C428" s="43">
        <v>13000</v>
      </c>
      <c r="D428" s="241">
        <v>5613.88</v>
      </c>
      <c r="E428" s="43">
        <v>50</v>
      </c>
      <c r="F428" s="60">
        <f>2000-2000</f>
        <v>0</v>
      </c>
      <c r="G428" s="142">
        <f t="shared" si="90"/>
        <v>50</v>
      </c>
      <c r="H428" s="142">
        <f>1700+250-1950</f>
        <v>0</v>
      </c>
      <c r="I428" s="342">
        <f t="shared" si="91"/>
        <v>50</v>
      </c>
      <c r="J428" s="57">
        <f t="shared" si="92"/>
        <v>650000</v>
      </c>
      <c r="K428" s="58">
        <f t="shared" si="93"/>
        <v>280694</v>
      </c>
      <c r="L428" s="363" t="s">
        <v>1009</v>
      </c>
      <c r="M428" s="347" t="s">
        <v>986</v>
      </c>
      <c r="N428" s="68"/>
      <c r="O428" s="68"/>
    </row>
    <row r="429" spans="1:17" x14ac:dyDescent="0.25">
      <c r="A429" s="155">
        <v>5</v>
      </c>
      <c r="B429" s="216" t="s">
        <v>978</v>
      </c>
      <c r="C429" s="43">
        <v>8000</v>
      </c>
      <c r="D429" s="241">
        <v>5546.9</v>
      </c>
      <c r="E429" s="43">
        <v>290</v>
      </c>
      <c r="F429" s="60">
        <f>2000-2000</f>
        <v>0</v>
      </c>
      <c r="G429" s="142">
        <f t="shared" si="90"/>
        <v>290</v>
      </c>
      <c r="H429" s="142">
        <f>1700+10-1710</f>
        <v>0</v>
      </c>
      <c r="I429" s="57">
        <f t="shared" si="91"/>
        <v>290</v>
      </c>
      <c r="J429" s="57">
        <f t="shared" si="92"/>
        <v>2320000</v>
      </c>
      <c r="K429" s="58">
        <f t="shared" si="93"/>
        <v>1608601</v>
      </c>
      <c r="L429" s="363" t="s">
        <v>1008</v>
      </c>
      <c r="M429" s="347" t="s">
        <v>986</v>
      </c>
      <c r="N429" s="68">
        <v>10</v>
      </c>
      <c r="O429" s="68"/>
    </row>
    <row r="430" spans="1:17" x14ac:dyDescent="0.25">
      <c r="A430" s="155">
        <v>6</v>
      </c>
      <c r="B430" s="216" t="s">
        <v>981</v>
      </c>
      <c r="C430" s="43">
        <v>132000</v>
      </c>
      <c r="D430" s="241">
        <v>28738</v>
      </c>
      <c r="E430" s="43">
        <v>300</v>
      </c>
      <c r="F430" s="60">
        <f>300+200+300+200+300+400+300+500+500-3000</f>
        <v>0</v>
      </c>
      <c r="G430" s="142">
        <f t="shared" si="90"/>
        <v>300</v>
      </c>
      <c r="H430" s="142">
        <f>100+2600-2700+10</f>
        <v>10</v>
      </c>
      <c r="I430" s="57">
        <f t="shared" si="91"/>
        <v>290</v>
      </c>
      <c r="J430" s="57">
        <f t="shared" si="92"/>
        <v>38280000</v>
      </c>
      <c r="K430" s="58">
        <f t="shared" si="93"/>
        <v>8334020</v>
      </c>
      <c r="L430" s="364" t="s">
        <v>1011</v>
      </c>
      <c r="M430" s="340"/>
      <c r="N430" s="68">
        <v>100</v>
      </c>
      <c r="O430" s="346" t="s">
        <v>985</v>
      </c>
    </row>
    <row r="431" spans="1:17" x14ac:dyDescent="0.25">
      <c r="A431" s="155">
        <v>7</v>
      </c>
      <c r="B431" s="216" t="s">
        <v>995</v>
      </c>
      <c r="C431" s="43">
        <v>15000</v>
      </c>
      <c r="D431" s="241">
        <v>0</v>
      </c>
      <c r="E431" s="43">
        <v>0</v>
      </c>
      <c r="F431" s="60">
        <v>3000</v>
      </c>
      <c r="G431" s="142">
        <f t="shared" si="90"/>
        <v>3000</v>
      </c>
      <c r="H431" s="142">
        <f>1000+1550</f>
        <v>2550</v>
      </c>
      <c r="I431" s="57">
        <f t="shared" si="91"/>
        <v>450</v>
      </c>
      <c r="J431" s="57">
        <f t="shared" si="92"/>
        <v>6750000</v>
      </c>
      <c r="K431" s="58">
        <f t="shared" si="93"/>
        <v>0</v>
      </c>
      <c r="L431" s="363" t="s">
        <v>1006</v>
      </c>
      <c r="M431" s="53">
        <v>1000</v>
      </c>
      <c r="N431" s="242">
        <v>1550</v>
      </c>
    </row>
    <row r="432" spans="1:17" x14ac:dyDescent="0.25">
      <c r="A432" s="155">
        <v>8</v>
      </c>
      <c r="B432" s="216" t="s">
        <v>999</v>
      </c>
      <c r="C432" s="43">
        <v>15000</v>
      </c>
      <c r="D432" s="241">
        <v>0</v>
      </c>
      <c r="E432" s="43">
        <v>0</v>
      </c>
      <c r="F432" s="60">
        <v>3000</v>
      </c>
      <c r="G432" s="142">
        <f t="shared" si="90"/>
        <v>3000</v>
      </c>
      <c r="H432" s="142">
        <f>200+2350</f>
        <v>2550</v>
      </c>
      <c r="I432" s="57">
        <f t="shared" si="91"/>
        <v>450</v>
      </c>
      <c r="J432" s="57">
        <f t="shared" si="92"/>
        <v>6750000</v>
      </c>
      <c r="K432" s="58">
        <f t="shared" si="93"/>
        <v>0</v>
      </c>
      <c r="L432" s="363" t="s">
        <v>1006</v>
      </c>
      <c r="M432" s="53">
        <v>200</v>
      </c>
      <c r="N432" s="242">
        <v>2350</v>
      </c>
    </row>
    <row r="433" spans="1:18" x14ac:dyDescent="0.25">
      <c r="A433" s="155">
        <v>9</v>
      </c>
      <c r="B433" s="216" t="s">
        <v>1000</v>
      </c>
      <c r="C433" s="43">
        <v>13000</v>
      </c>
      <c r="D433" s="241">
        <v>0</v>
      </c>
      <c r="E433" s="43">
        <v>0</v>
      </c>
      <c r="F433" s="60">
        <v>3000</v>
      </c>
      <c r="G433" s="142">
        <f t="shared" si="90"/>
        <v>3000</v>
      </c>
      <c r="H433" s="142">
        <f>200+2350</f>
        <v>2550</v>
      </c>
      <c r="I433" s="57">
        <f t="shared" si="91"/>
        <v>450</v>
      </c>
      <c r="J433" s="57">
        <f t="shared" si="92"/>
        <v>5850000</v>
      </c>
      <c r="K433" s="58">
        <f t="shared" si="93"/>
        <v>0</v>
      </c>
      <c r="L433" s="363" t="s">
        <v>1006</v>
      </c>
      <c r="M433" s="53">
        <v>200</v>
      </c>
      <c r="N433" s="242">
        <v>2350</v>
      </c>
    </row>
    <row r="434" spans="1:18" x14ac:dyDescent="0.25">
      <c r="A434" s="155">
        <v>10</v>
      </c>
      <c r="B434" s="216"/>
      <c r="C434" s="43"/>
      <c r="D434" s="241">
        <v>0</v>
      </c>
      <c r="E434" s="43">
        <v>0</v>
      </c>
      <c r="F434" s="235"/>
      <c r="G434" s="142">
        <f t="shared" si="90"/>
        <v>0</v>
      </c>
      <c r="H434" s="142"/>
      <c r="I434" s="57">
        <f t="shared" si="91"/>
        <v>0</v>
      </c>
      <c r="J434" s="57">
        <f t="shared" si="92"/>
        <v>0</v>
      </c>
      <c r="K434" s="58">
        <f t="shared" si="93"/>
        <v>0</v>
      </c>
      <c r="L434" s="351"/>
    </row>
    <row r="435" spans="1:18" x14ac:dyDescent="0.25">
      <c r="A435" s="155">
        <v>11</v>
      </c>
      <c r="B435" s="216"/>
      <c r="C435" s="43"/>
      <c r="D435" s="241">
        <v>0</v>
      </c>
      <c r="E435" s="43">
        <v>0</v>
      </c>
      <c r="F435" s="60"/>
      <c r="G435" s="142">
        <f t="shared" si="90"/>
        <v>0</v>
      </c>
      <c r="H435" s="142"/>
      <c r="I435" s="57">
        <f t="shared" si="91"/>
        <v>0</v>
      </c>
      <c r="J435" s="57">
        <f t="shared" si="92"/>
        <v>0</v>
      </c>
      <c r="K435" s="58">
        <f t="shared" si="93"/>
        <v>0</v>
      </c>
      <c r="L435" s="326"/>
      <c r="M435" s="277"/>
    </row>
    <row r="436" spans="1:18" x14ac:dyDescent="0.25">
      <c r="A436" s="155">
        <v>12</v>
      </c>
      <c r="B436" s="216"/>
      <c r="C436" s="43"/>
      <c r="D436" s="241">
        <v>0</v>
      </c>
      <c r="E436" s="43">
        <v>0</v>
      </c>
      <c r="F436" s="60"/>
      <c r="G436" s="142">
        <f t="shared" si="90"/>
        <v>0</v>
      </c>
      <c r="H436" s="142"/>
      <c r="I436" s="57">
        <f t="shared" si="91"/>
        <v>0</v>
      </c>
      <c r="J436" s="57">
        <f t="shared" si="92"/>
        <v>0</v>
      </c>
      <c r="K436" s="58">
        <f t="shared" si="93"/>
        <v>0</v>
      </c>
      <c r="L436" s="351"/>
    </row>
    <row r="437" spans="1:18" x14ac:dyDescent="0.25">
      <c r="A437" s="155">
        <v>13</v>
      </c>
      <c r="B437" s="61"/>
      <c r="C437" s="43"/>
      <c r="D437" s="241">
        <v>0</v>
      </c>
      <c r="E437" s="43">
        <v>0</v>
      </c>
      <c r="F437" s="60"/>
      <c r="G437" s="142">
        <f t="shared" si="90"/>
        <v>0</v>
      </c>
      <c r="H437" s="142"/>
      <c r="I437" s="57">
        <f t="shared" si="91"/>
        <v>0</v>
      </c>
      <c r="J437" s="57">
        <f t="shared" si="92"/>
        <v>0</v>
      </c>
      <c r="K437" s="58">
        <f t="shared" si="93"/>
        <v>0</v>
      </c>
      <c r="L437" s="351"/>
    </row>
    <row r="438" spans="1:18" x14ac:dyDescent="0.25">
      <c r="A438" s="155">
        <v>14</v>
      </c>
      <c r="B438" s="61"/>
      <c r="C438" s="43"/>
      <c r="D438" s="241">
        <v>0</v>
      </c>
      <c r="E438" s="43">
        <v>0</v>
      </c>
      <c r="F438" s="60"/>
      <c r="G438" s="142">
        <f t="shared" si="90"/>
        <v>0</v>
      </c>
      <c r="H438" s="142"/>
      <c r="I438" s="57">
        <f t="shared" si="91"/>
        <v>0</v>
      </c>
      <c r="J438" s="57">
        <f t="shared" si="92"/>
        <v>0</v>
      </c>
      <c r="K438" s="58">
        <f t="shared" si="93"/>
        <v>0</v>
      </c>
      <c r="L438" s="351"/>
    </row>
    <row r="439" spans="1:18" x14ac:dyDescent="0.25">
      <c r="A439" s="155">
        <v>15</v>
      </c>
      <c r="B439" s="61"/>
      <c r="C439" s="43"/>
      <c r="D439" s="241">
        <v>0</v>
      </c>
      <c r="E439" s="43">
        <v>0</v>
      </c>
      <c r="F439" s="60"/>
      <c r="G439" s="142">
        <f t="shared" si="90"/>
        <v>0</v>
      </c>
      <c r="H439" s="142"/>
      <c r="I439" s="57">
        <f t="shared" si="91"/>
        <v>0</v>
      </c>
      <c r="J439" s="57">
        <f t="shared" si="92"/>
        <v>0</v>
      </c>
      <c r="K439" s="58">
        <f t="shared" si="93"/>
        <v>0</v>
      </c>
      <c r="L439" s="326"/>
      <c r="M439" s="287"/>
      <c r="R439" s="249"/>
    </row>
    <row r="440" spans="1:18" x14ac:dyDescent="0.25">
      <c r="A440" s="155">
        <v>16</v>
      </c>
      <c r="B440" s="61"/>
      <c r="C440" s="43"/>
      <c r="D440" s="241">
        <v>0</v>
      </c>
      <c r="E440" s="43">
        <v>0</v>
      </c>
      <c r="F440" s="60"/>
      <c r="G440" s="142">
        <f t="shared" si="90"/>
        <v>0</v>
      </c>
      <c r="H440" s="142"/>
      <c r="I440" s="57">
        <f t="shared" si="91"/>
        <v>0</v>
      </c>
      <c r="J440" s="57">
        <f t="shared" si="92"/>
        <v>0</v>
      </c>
      <c r="K440" s="58">
        <f t="shared" si="93"/>
        <v>0</v>
      </c>
      <c r="L440" s="351"/>
      <c r="R440" s="251"/>
    </row>
    <row r="441" spans="1:18" x14ac:dyDescent="0.25">
      <c r="A441" s="173">
        <v>17</v>
      </c>
      <c r="B441" s="239"/>
      <c r="C441" s="125"/>
      <c r="D441" s="241">
        <v>0</v>
      </c>
      <c r="E441" s="125">
        <v>0</v>
      </c>
      <c r="F441" s="259"/>
      <c r="G441" s="172">
        <f t="shared" si="90"/>
        <v>0</v>
      </c>
      <c r="H441" s="142"/>
      <c r="I441" s="111">
        <f t="shared" si="91"/>
        <v>0</v>
      </c>
      <c r="J441" s="111">
        <f t="shared" si="92"/>
        <v>0</v>
      </c>
      <c r="K441" s="112">
        <f t="shared" si="93"/>
        <v>0</v>
      </c>
      <c r="L441" s="351"/>
    </row>
    <row r="442" spans="1:18" x14ac:dyDescent="0.25">
      <c r="A442" s="260">
        <v>18</v>
      </c>
      <c r="B442" s="216"/>
      <c r="C442" s="44"/>
      <c r="D442" s="241">
        <v>0</v>
      </c>
      <c r="E442" s="125">
        <v>0</v>
      </c>
      <c r="F442" s="259"/>
      <c r="G442" s="172">
        <f t="shared" si="90"/>
        <v>0</v>
      </c>
      <c r="H442" s="142"/>
      <c r="I442" s="111">
        <f t="shared" si="91"/>
        <v>0</v>
      </c>
      <c r="J442" s="111">
        <f t="shared" si="92"/>
        <v>0</v>
      </c>
      <c r="K442" s="112">
        <f t="shared" si="93"/>
        <v>0</v>
      </c>
      <c r="L442" s="351"/>
      <c r="N442" s="267"/>
      <c r="O442" s="267"/>
    </row>
    <row r="443" spans="1:18" x14ac:dyDescent="0.25">
      <c r="A443" s="173">
        <v>19</v>
      </c>
      <c r="B443" s="266"/>
      <c r="C443" s="44"/>
      <c r="D443" s="241">
        <v>0</v>
      </c>
      <c r="E443" s="125">
        <v>0</v>
      </c>
      <c r="F443" s="259"/>
      <c r="G443" s="172">
        <f t="shared" si="90"/>
        <v>0</v>
      </c>
      <c r="H443" s="142"/>
      <c r="I443" s="111">
        <f t="shared" si="91"/>
        <v>0</v>
      </c>
      <c r="J443" s="111">
        <f t="shared" si="92"/>
        <v>0</v>
      </c>
      <c r="K443" s="112">
        <f t="shared" si="93"/>
        <v>0</v>
      </c>
      <c r="L443" s="351"/>
      <c r="N443" s="267"/>
    </row>
    <row r="444" spans="1:18" ht="15.75" thickBot="1" x14ac:dyDescent="0.3">
      <c r="A444" s="260">
        <v>20</v>
      </c>
      <c r="B444" s="282"/>
      <c r="C444" s="44"/>
      <c r="D444" s="241">
        <v>0</v>
      </c>
      <c r="E444" s="125">
        <v>0</v>
      </c>
      <c r="F444" s="259"/>
      <c r="G444" s="172">
        <f t="shared" si="90"/>
        <v>0</v>
      </c>
      <c r="H444" s="142"/>
      <c r="I444" s="111">
        <f t="shared" si="91"/>
        <v>0</v>
      </c>
      <c r="J444" s="111">
        <f t="shared" si="92"/>
        <v>0</v>
      </c>
      <c r="K444" s="112">
        <f t="shared" si="93"/>
        <v>0</v>
      </c>
      <c r="L444" s="351"/>
    </row>
    <row r="445" spans="1:18" ht="15.75" thickBot="1" x14ac:dyDescent="0.3">
      <c r="A445" s="131"/>
      <c r="B445" s="122" t="s">
        <v>916</v>
      </c>
      <c r="C445" s="36"/>
      <c r="D445" s="36"/>
      <c r="E445" s="29">
        <f>SUM(E425:E444)</f>
        <v>2580</v>
      </c>
      <c r="F445" s="29">
        <f t="shared" ref="F445:J445" si="94">SUM(F425:F444)</f>
        <v>9000</v>
      </c>
      <c r="G445" s="29">
        <f t="shared" si="94"/>
        <v>11580</v>
      </c>
      <c r="H445" s="29">
        <f t="shared" si="94"/>
        <v>7660</v>
      </c>
      <c r="I445" s="29">
        <f t="shared" si="94"/>
        <v>3920</v>
      </c>
      <c r="J445" s="29">
        <f t="shared" si="94"/>
        <v>97130000</v>
      </c>
      <c r="K445" s="47">
        <f>SUM(K425:K444)</f>
        <v>15253299</v>
      </c>
      <c r="L445" s="218"/>
    </row>
    <row r="447" spans="1:18" ht="15.75" thickBot="1" x14ac:dyDescent="0.3">
      <c r="A447" s="105" t="s">
        <v>546</v>
      </c>
    </row>
    <row r="448" spans="1:18" ht="15.75" thickBot="1" x14ac:dyDescent="0.3">
      <c r="A448" s="131"/>
      <c r="B448" s="41" t="s">
        <v>919</v>
      </c>
      <c r="C448" s="36"/>
      <c r="D448" s="36"/>
      <c r="E448" s="35">
        <f>+E26+E44+E66+E88+E121+E182+E224+E252+E291+E310+E335+E358+E381+E419+E445</f>
        <v>83081</v>
      </c>
      <c r="F448" s="35">
        <f t="shared" ref="F448:J448" si="95">+F26+F44+F66+F88+F121+F182+F224+F252+F291+F310+F335+F358+F381+F419+F445</f>
        <v>9000</v>
      </c>
      <c r="G448" s="35">
        <f t="shared" si="95"/>
        <v>92081</v>
      </c>
      <c r="H448" s="35">
        <f t="shared" si="95"/>
        <v>7660</v>
      </c>
      <c r="I448" s="35">
        <f t="shared" si="95"/>
        <v>84421</v>
      </c>
      <c r="J448" s="35">
        <f t="shared" si="95"/>
        <v>899844000</v>
      </c>
      <c r="K448" s="201">
        <f>+K26+K44+K66+K88+K121+K182+K224+K252+K291+K310+K335+K358+K381+K419+K445</f>
        <v>209543621.80000001</v>
      </c>
      <c r="L448" s="353"/>
      <c r="M448" s="53">
        <v>83081</v>
      </c>
      <c r="N448" s="53">
        <v>881814000</v>
      </c>
      <c r="O448" s="53">
        <v>194290322.80000001</v>
      </c>
    </row>
    <row r="449" spans="5:15" x14ac:dyDescent="0.25">
      <c r="M449" s="189">
        <f>+M448-I448</f>
        <v>-1340</v>
      </c>
      <c r="N449" s="189">
        <f>+N448-J448</f>
        <v>-18030000</v>
      </c>
      <c r="O449" s="189">
        <f>+O448-K448</f>
        <v>-15253299</v>
      </c>
    </row>
    <row r="450" spans="5:15" x14ac:dyDescent="0.25">
      <c r="K450" s="53">
        <v>13</v>
      </c>
    </row>
    <row r="453" spans="5:15" x14ac:dyDescent="0.25">
      <c r="E453" s="19"/>
      <c r="F453" s="19"/>
      <c r="G453" s="19"/>
      <c r="H453" s="19"/>
      <c r="I453" s="19"/>
      <c r="J453" s="19"/>
      <c r="K453" s="192"/>
      <c r="L453" s="192"/>
    </row>
    <row r="455" spans="5:15" x14ac:dyDescent="0.25">
      <c r="E455" s="189"/>
      <c r="F455" s="189"/>
      <c r="G455" s="189"/>
      <c r="H455" s="189"/>
      <c r="I455" s="189"/>
      <c r="J455" s="189"/>
      <c r="K455" s="189"/>
      <c r="L455" s="189"/>
    </row>
  </sheetData>
  <mergeCells count="105">
    <mergeCell ref="J421:J422"/>
    <mergeCell ref="K421:K422"/>
    <mergeCell ref="A421:A423"/>
    <mergeCell ref="B421:B422"/>
    <mergeCell ref="C421:C422"/>
    <mergeCell ref="D421:D422"/>
    <mergeCell ref="E421:I421"/>
    <mergeCell ref="K360:K361"/>
    <mergeCell ref="K337:K338"/>
    <mergeCell ref="A337:A339"/>
    <mergeCell ref="B337:B338"/>
    <mergeCell ref="C337:C338"/>
    <mergeCell ref="D337:D338"/>
    <mergeCell ref="J337:J338"/>
    <mergeCell ref="E337:I337"/>
    <mergeCell ref="E360:I360"/>
    <mergeCell ref="A360:A362"/>
    <mergeCell ref="B360:B361"/>
    <mergeCell ref="C360:C361"/>
    <mergeCell ref="D360:D361"/>
    <mergeCell ref="J360:J361"/>
    <mergeCell ref="K293:K294"/>
    <mergeCell ref="A312:A314"/>
    <mergeCell ref="B312:B313"/>
    <mergeCell ref="C312:C313"/>
    <mergeCell ref="D312:D313"/>
    <mergeCell ref="J312:J313"/>
    <mergeCell ref="K312:K313"/>
    <mergeCell ref="A293:A295"/>
    <mergeCell ref="B293:B294"/>
    <mergeCell ref="C293:C294"/>
    <mergeCell ref="D293:D294"/>
    <mergeCell ref="J293:J294"/>
    <mergeCell ref="E293:I293"/>
    <mergeCell ref="E312:I312"/>
    <mergeCell ref="K226:K227"/>
    <mergeCell ref="A254:A256"/>
    <mergeCell ref="B254:B255"/>
    <mergeCell ref="C254:C255"/>
    <mergeCell ref="D254:D255"/>
    <mergeCell ref="J254:J255"/>
    <mergeCell ref="K254:K255"/>
    <mergeCell ref="A226:A228"/>
    <mergeCell ref="B226:B227"/>
    <mergeCell ref="C226:C227"/>
    <mergeCell ref="D226:D227"/>
    <mergeCell ref="J226:J227"/>
    <mergeCell ref="E226:I226"/>
    <mergeCell ref="E254:I254"/>
    <mergeCell ref="K123:K124"/>
    <mergeCell ref="A184:A186"/>
    <mergeCell ref="B184:B185"/>
    <mergeCell ref="C184:C185"/>
    <mergeCell ref="D184:D185"/>
    <mergeCell ref="J184:J185"/>
    <mergeCell ref="K184:K185"/>
    <mergeCell ref="A123:A125"/>
    <mergeCell ref="B123:B124"/>
    <mergeCell ref="C123:C124"/>
    <mergeCell ref="D123:D124"/>
    <mergeCell ref="J123:J124"/>
    <mergeCell ref="E123:I123"/>
    <mergeCell ref="E184:I184"/>
    <mergeCell ref="D28:D29"/>
    <mergeCell ref="J28:J29"/>
    <mergeCell ref="E28:I28"/>
    <mergeCell ref="E46:I46"/>
    <mergeCell ref="K68:K69"/>
    <mergeCell ref="A90:A92"/>
    <mergeCell ref="B90:B91"/>
    <mergeCell ref="C90:C91"/>
    <mergeCell ref="D90:D91"/>
    <mergeCell ref="J90:J91"/>
    <mergeCell ref="K90:K91"/>
    <mergeCell ref="A68:A70"/>
    <mergeCell ref="B68:B69"/>
    <mergeCell ref="C68:C69"/>
    <mergeCell ref="D68:D69"/>
    <mergeCell ref="J68:J69"/>
    <mergeCell ref="E90:I90"/>
    <mergeCell ref="E68:I68"/>
    <mergeCell ref="K3:K4"/>
    <mergeCell ref="A3:A5"/>
    <mergeCell ref="B3:B4"/>
    <mergeCell ref="C3:C4"/>
    <mergeCell ref="D3:D4"/>
    <mergeCell ref="J3:J4"/>
    <mergeCell ref="E3:I3"/>
    <mergeCell ref="J383:J384"/>
    <mergeCell ref="K383:K384"/>
    <mergeCell ref="A383:A385"/>
    <mergeCell ref="B383:B384"/>
    <mergeCell ref="C383:C384"/>
    <mergeCell ref="D383:D384"/>
    <mergeCell ref="E383:I383"/>
    <mergeCell ref="K28:K29"/>
    <mergeCell ref="A46:A48"/>
    <mergeCell ref="B46:B47"/>
    <mergeCell ref="C46:C47"/>
    <mergeCell ref="D46:D47"/>
    <mergeCell ref="J46:J47"/>
    <mergeCell ref="K46:K47"/>
    <mergeCell ref="A28:A30"/>
    <mergeCell ref="B28:B29"/>
    <mergeCell ref="C28:C29"/>
  </mergeCells>
  <pageMargins left="0.196850393700787" right="0" top="0.196850393700787" bottom="0.196850393700787" header="0.196850393700787" footer="0.196850393700787"/>
  <pageSetup paperSize="9" orientation="landscape" horizontalDpi="120" verticalDpi="72"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P163"/>
  <sheetViews>
    <sheetView topLeftCell="A119" workbookViewId="0">
      <selection activeCell="M124" sqref="M124"/>
    </sheetView>
  </sheetViews>
  <sheetFormatPr defaultRowHeight="15" x14ac:dyDescent="0.25"/>
  <cols>
    <col min="1" max="1" width="4.7109375" style="53" customWidth="1"/>
    <col min="2" max="2" width="21.5703125" style="53" customWidth="1"/>
    <col min="3" max="3" width="11.85546875" style="53" customWidth="1"/>
    <col min="4" max="4" width="11.140625" style="53" customWidth="1"/>
    <col min="5" max="5" width="14.140625" style="53" customWidth="1"/>
    <col min="6" max="6" width="13.28515625" style="53" customWidth="1"/>
    <col min="7" max="7" width="14.85546875" style="53" customWidth="1"/>
    <col min="8" max="8" width="11.7109375" style="53" customWidth="1"/>
    <col min="9" max="9" width="11.85546875" style="53" customWidth="1"/>
    <col min="10" max="10" width="15" style="53" customWidth="1"/>
    <col min="11" max="11" width="14.7109375" style="53" customWidth="1"/>
    <col min="12" max="14" width="9.140625" style="53" customWidth="1"/>
    <col min="15" max="16384" width="9.140625" style="53"/>
  </cols>
  <sheetData>
    <row r="2" spans="1:13" ht="15.75" thickBot="1" x14ac:dyDescent="0.3">
      <c r="A2" s="105" t="s">
        <v>717</v>
      </c>
      <c r="G2" s="54" t="str">
        <f>A.Prangko!G2</f>
        <v>mei 2017</v>
      </c>
    </row>
    <row r="3" spans="1:13" ht="15.75" thickBot="1" x14ac:dyDescent="0.3">
      <c r="A3" s="365" t="s">
        <v>657</v>
      </c>
      <c r="B3" s="372" t="s">
        <v>708</v>
      </c>
      <c r="C3" s="372" t="s">
        <v>1</v>
      </c>
      <c r="D3" s="373" t="s">
        <v>649</v>
      </c>
      <c r="E3" s="374" t="s">
        <v>19</v>
      </c>
      <c r="F3" s="374"/>
      <c r="G3" s="374"/>
      <c r="H3" s="374"/>
      <c r="I3" s="374"/>
      <c r="J3" s="368" t="s">
        <v>21</v>
      </c>
      <c r="K3" s="370" t="s">
        <v>602</v>
      </c>
    </row>
    <row r="4" spans="1:13" ht="45.75" thickBot="1" x14ac:dyDescent="0.3">
      <c r="A4" s="366"/>
      <c r="B4" s="372"/>
      <c r="C4" s="372"/>
      <c r="D4" s="373"/>
      <c r="E4" s="69" t="s">
        <v>22</v>
      </c>
      <c r="F4" s="69" t="s">
        <v>600</v>
      </c>
      <c r="G4" s="69" t="s">
        <v>601</v>
      </c>
      <c r="H4" s="69" t="s">
        <v>589</v>
      </c>
      <c r="I4" s="69" t="s">
        <v>601</v>
      </c>
      <c r="J4" s="369"/>
      <c r="K4" s="371"/>
    </row>
    <row r="5" spans="1:13" ht="15.75" thickBot="1" x14ac:dyDescent="0.3">
      <c r="A5" s="367"/>
      <c r="B5" s="188">
        <v>1</v>
      </c>
      <c r="C5" s="188">
        <v>2</v>
      </c>
      <c r="D5" s="188">
        <v>3</v>
      </c>
      <c r="E5" s="71">
        <v>4</v>
      </c>
      <c r="F5" s="71">
        <f>+E5+1</f>
        <v>5</v>
      </c>
      <c r="G5" s="71" t="s">
        <v>652</v>
      </c>
      <c r="H5" s="71">
        <v>7</v>
      </c>
      <c r="I5" s="72" t="s">
        <v>651</v>
      </c>
      <c r="J5" s="42" t="s">
        <v>650</v>
      </c>
      <c r="K5" s="42" t="s">
        <v>653</v>
      </c>
    </row>
    <row r="6" spans="1:13" x14ac:dyDescent="0.25">
      <c r="A6" s="153"/>
      <c r="B6" s="55"/>
      <c r="C6" s="55"/>
      <c r="D6" s="55"/>
      <c r="E6" s="55"/>
      <c r="F6" s="55"/>
      <c r="G6" s="55"/>
      <c r="H6" s="55"/>
      <c r="I6" s="55"/>
      <c r="J6" s="55"/>
      <c r="K6" s="55"/>
    </row>
    <row r="7" spans="1:13" x14ac:dyDescent="0.25">
      <c r="A7" s="155">
        <v>1</v>
      </c>
      <c r="B7" s="80" t="s">
        <v>457</v>
      </c>
      <c r="C7" s="81">
        <v>7500</v>
      </c>
      <c r="D7" s="145">
        <v>4609.91</v>
      </c>
      <c r="E7" s="43">
        <v>199</v>
      </c>
      <c r="F7" s="61"/>
      <c r="G7" s="142">
        <f t="shared" ref="G7:G27" si="0">+E7+F7</f>
        <v>199</v>
      </c>
      <c r="H7" s="56"/>
      <c r="I7" s="57">
        <f t="shared" ref="I7:I27" si="1">+G7-H7</f>
        <v>199</v>
      </c>
      <c r="J7" s="57">
        <f t="shared" ref="J7:J27" si="2">I7*C7</f>
        <v>1492500</v>
      </c>
      <c r="K7" s="58">
        <f t="shared" ref="K7:K27" si="3">+D7*I7</f>
        <v>917372.09</v>
      </c>
      <c r="M7" s="53" t="s">
        <v>902</v>
      </c>
    </row>
    <row r="8" spans="1:13" x14ac:dyDescent="0.25">
      <c r="A8" s="155">
        <v>2</v>
      </c>
      <c r="B8" s="219" t="s">
        <v>458</v>
      </c>
      <c r="C8" s="81">
        <v>25000</v>
      </c>
      <c r="D8" s="145">
        <v>9075</v>
      </c>
      <c r="E8" s="43">
        <v>0</v>
      </c>
      <c r="F8" s="61">
        <f>100-100</f>
        <v>0</v>
      </c>
      <c r="G8" s="142">
        <f t="shared" si="0"/>
        <v>0</v>
      </c>
      <c r="H8" s="56">
        <f>170-170+100-100</f>
        <v>0</v>
      </c>
      <c r="I8" s="57">
        <f t="shared" si="1"/>
        <v>0</v>
      </c>
      <c r="J8" s="57">
        <f t="shared" si="2"/>
        <v>0</v>
      </c>
      <c r="K8" s="58">
        <f t="shared" si="3"/>
        <v>0</v>
      </c>
      <c r="M8" s="53">
        <v>100</v>
      </c>
    </row>
    <row r="9" spans="1:13" x14ac:dyDescent="0.25">
      <c r="A9" s="155">
        <v>3</v>
      </c>
      <c r="B9" s="80" t="s">
        <v>459</v>
      </c>
      <c r="C9" s="81">
        <v>250000</v>
      </c>
      <c r="D9" s="145">
        <v>80399.92</v>
      </c>
      <c r="E9" s="43">
        <v>0</v>
      </c>
      <c r="F9" s="61"/>
      <c r="G9" s="142">
        <f t="shared" si="0"/>
        <v>0</v>
      </c>
      <c r="H9" s="56">
        <f>66-66</f>
        <v>0</v>
      </c>
      <c r="I9" s="57">
        <f t="shared" si="1"/>
        <v>0</v>
      </c>
      <c r="J9" s="57">
        <f t="shared" si="2"/>
        <v>0</v>
      </c>
      <c r="K9" s="58">
        <f t="shared" si="3"/>
        <v>0</v>
      </c>
      <c r="M9" s="53">
        <v>0</v>
      </c>
    </row>
    <row r="10" spans="1:13" x14ac:dyDescent="0.25">
      <c r="A10" s="155">
        <v>4</v>
      </c>
      <c r="B10" s="80" t="s">
        <v>770</v>
      </c>
      <c r="C10" s="81">
        <v>125000</v>
      </c>
      <c r="D10" s="145">
        <v>21174.93</v>
      </c>
      <c r="E10" s="43">
        <v>0</v>
      </c>
      <c r="F10" s="61"/>
      <c r="G10" s="142">
        <f t="shared" si="0"/>
        <v>0</v>
      </c>
      <c r="H10" s="56">
        <f>79-79</f>
        <v>0</v>
      </c>
      <c r="I10" s="57">
        <f t="shared" si="1"/>
        <v>0</v>
      </c>
      <c r="J10" s="57">
        <f t="shared" si="2"/>
        <v>0</v>
      </c>
      <c r="K10" s="58">
        <f t="shared" si="3"/>
        <v>0</v>
      </c>
      <c r="M10" s="53">
        <v>0</v>
      </c>
    </row>
    <row r="11" spans="1:13" x14ac:dyDescent="0.25">
      <c r="A11" s="155">
        <v>5</v>
      </c>
      <c r="B11" s="80" t="s">
        <v>460</v>
      </c>
      <c r="C11" s="81">
        <v>135000</v>
      </c>
      <c r="D11" s="145">
        <v>9350</v>
      </c>
      <c r="E11" s="43">
        <v>4</v>
      </c>
      <c r="F11" s="61"/>
      <c r="G11" s="142">
        <f t="shared" si="0"/>
        <v>4</v>
      </c>
      <c r="H11" s="56"/>
      <c r="I11" s="57">
        <f t="shared" si="1"/>
        <v>4</v>
      </c>
      <c r="J11" s="57">
        <f t="shared" si="2"/>
        <v>540000</v>
      </c>
      <c r="K11" s="58">
        <f t="shared" si="3"/>
        <v>37400</v>
      </c>
    </row>
    <row r="12" spans="1:13" x14ac:dyDescent="0.25">
      <c r="A12" s="155">
        <v>6</v>
      </c>
      <c r="B12" s="80" t="s">
        <v>461</v>
      </c>
      <c r="C12" s="81">
        <v>20000</v>
      </c>
      <c r="D12" s="145">
        <v>3465</v>
      </c>
      <c r="E12" s="43">
        <v>0</v>
      </c>
      <c r="F12" s="61"/>
      <c r="G12" s="142">
        <f t="shared" si="0"/>
        <v>0</v>
      </c>
      <c r="H12" s="56">
        <f>26-26</f>
        <v>0</v>
      </c>
      <c r="I12" s="57">
        <f t="shared" si="1"/>
        <v>0</v>
      </c>
      <c r="J12" s="57">
        <f t="shared" si="2"/>
        <v>0</v>
      </c>
      <c r="K12" s="58">
        <f t="shared" si="3"/>
        <v>0</v>
      </c>
      <c r="M12" s="53">
        <v>0</v>
      </c>
    </row>
    <row r="13" spans="1:13" x14ac:dyDescent="0.25">
      <c r="A13" s="155">
        <v>7</v>
      </c>
      <c r="B13" s="80" t="s">
        <v>462</v>
      </c>
      <c r="C13" s="81">
        <v>10000</v>
      </c>
      <c r="D13" s="145">
        <v>1155</v>
      </c>
      <c r="E13" s="43">
        <v>0</v>
      </c>
      <c r="F13" s="61"/>
      <c r="G13" s="142">
        <f t="shared" si="0"/>
        <v>0</v>
      </c>
      <c r="H13" s="56">
        <f>64-64</f>
        <v>0</v>
      </c>
      <c r="I13" s="57">
        <f t="shared" si="1"/>
        <v>0</v>
      </c>
      <c r="J13" s="57">
        <f t="shared" si="2"/>
        <v>0</v>
      </c>
      <c r="K13" s="58">
        <f t="shared" si="3"/>
        <v>0</v>
      </c>
      <c r="M13" s="53">
        <v>0</v>
      </c>
    </row>
    <row r="14" spans="1:13" x14ac:dyDescent="0.25">
      <c r="A14" s="155">
        <v>8</v>
      </c>
      <c r="B14" s="80" t="s">
        <v>463</v>
      </c>
      <c r="C14" s="81">
        <v>10000</v>
      </c>
      <c r="D14" s="145">
        <v>1210</v>
      </c>
      <c r="E14" s="43">
        <v>0</v>
      </c>
      <c r="F14" s="61"/>
      <c r="G14" s="142">
        <f t="shared" si="0"/>
        <v>0</v>
      </c>
      <c r="H14" s="56">
        <f>22-22</f>
        <v>0</v>
      </c>
      <c r="I14" s="57">
        <f t="shared" si="1"/>
        <v>0</v>
      </c>
      <c r="J14" s="57">
        <f t="shared" si="2"/>
        <v>0</v>
      </c>
      <c r="K14" s="58">
        <f t="shared" si="3"/>
        <v>0</v>
      </c>
      <c r="M14" s="53">
        <v>0</v>
      </c>
    </row>
    <row r="15" spans="1:13" x14ac:dyDescent="0.25">
      <c r="A15" s="155">
        <v>9</v>
      </c>
      <c r="B15" s="219" t="s">
        <v>737</v>
      </c>
      <c r="C15" s="81">
        <v>17500</v>
      </c>
      <c r="D15" s="145">
        <v>3190</v>
      </c>
      <c r="E15" s="43">
        <v>0</v>
      </c>
      <c r="F15" s="61"/>
      <c r="G15" s="142">
        <f t="shared" si="0"/>
        <v>0</v>
      </c>
      <c r="H15" s="56">
        <f>9-9</f>
        <v>0</v>
      </c>
      <c r="I15" s="57">
        <f t="shared" si="1"/>
        <v>0</v>
      </c>
      <c r="J15" s="57">
        <f t="shared" si="2"/>
        <v>0</v>
      </c>
      <c r="K15" s="58">
        <f t="shared" si="3"/>
        <v>0</v>
      </c>
      <c r="M15" s="53">
        <v>0</v>
      </c>
    </row>
    <row r="16" spans="1:13" x14ac:dyDescent="0.25">
      <c r="A16" s="155">
        <v>10</v>
      </c>
      <c r="B16" s="220" t="s">
        <v>739</v>
      </c>
      <c r="C16" s="81">
        <v>30000</v>
      </c>
      <c r="D16" s="145">
        <v>6050</v>
      </c>
      <c r="E16" s="43">
        <v>0</v>
      </c>
      <c r="F16" s="61"/>
      <c r="G16" s="142">
        <f t="shared" si="0"/>
        <v>0</v>
      </c>
      <c r="H16" s="56">
        <f>4-4</f>
        <v>0</v>
      </c>
      <c r="I16" s="57">
        <f t="shared" si="1"/>
        <v>0</v>
      </c>
      <c r="J16" s="57">
        <f t="shared" si="2"/>
        <v>0</v>
      </c>
      <c r="K16" s="58">
        <f t="shared" si="3"/>
        <v>0</v>
      </c>
      <c r="M16" s="53">
        <v>0</v>
      </c>
    </row>
    <row r="17" spans="1:13" x14ac:dyDescent="0.25">
      <c r="A17" s="155">
        <v>11</v>
      </c>
      <c r="B17" s="80" t="s">
        <v>464</v>
      </c>
      <c r="C17" s="81">
        <v>50000</v>
      </c>
      <c r="D17" s="145">
        <v>15620</v>
      </c>
      <c r="E17" s="43">
        <v>6</v>
      </c>
      <c r="F17" s="61">
        <f>37-37</f>
        <v>0</v>
      </c>
      <c r="G17" s="142">
        <f t="shared" si="0"/>
        <v>6</v>
      </c>
      <c r="H17" s="56">
        <f>37-37</f>
        <v>0</v>
      </c>
      <c r="I17" s="57">
        <f t="shared" si="1"/>
        <v>6</v>
      </c>
      <c r="J17" s="57">
        <f t="shared" si="2"/>
        <v>300000</v>
      </c>
      <c r="K17" s="58">
        <f t="shared" si="3"/>
        <v>93720</v>
      </c>
      <c r="M17" s="53">
        <v>37</v>
      </c>
    </row>
    <row r="18" spans="1:13" x14ac:dyDescent="0.25">
      <c r="A18" s="155">
        <v>12</v>
      </c>
      <c r="B18" s="80" t="s">
        <v>465</v>
      </c>
      <c r="C18" s="81">
        <v>40000</v>
      </c>
      <c r="D18" s="145">
        <v>8580</v>
      </c>
      <c r="E18" s="43">
        <v>1</v>
      </c>
      <c r="F18" s="61">
        <f>14-14</f>
        <v>0</v>
      </c>
      <c r="G18" s="142">
        <f t="shared" si="0"/>
        <v>1</v>
      </c>
      <c r="H18" s="56">
        <f>14-14</f>
        <v>0</v>
      </c>
      <c r="I18" s="57">
        <f t="shared" si="1"/>
        <v>1</v>
      </c>
      <c r="J18" s="57">
        <f t="shared" si="2"/>
        <v>40000</v>
      </c>
      <c r="K18" s="58">
        <f t="shared" si="3"/>
        <v>8580</v>
      </c>
      <c r="M18" s="53">
        <v>14</v>
      </c>
    </row>
    <row r="19" spans="1:13" x14ac:dyDescent="0.25">
      <c r="A19" s="155">
        <v>13</v>
      </c>
      <c r="B19" s="219" t="s">
        <v>466</v>
      </c>
      <c r="C19" s="81">
        <v>20000</v>
      </c>
      <c r="D19" s="145">
        <v>5940</v>
      </c>
      <c r="E19" s="43">
        <v>59</v>
      </c>
      <c r="F19" s="61"/>
      <c r="G19" s="142">
        <f t="shared" si="0"/>
        <v>59</v>
      </c>
      <c r="H19" s="56"/>
      <c r="I19" s="57">
        <f t="shared" si="1"/>
        <v>59</v>
      </c>
      <c r="J19" s="57">
        <f t="shared" si="2"/>
        <v>1180000</v>
      </c>
      <c r="K19" s="58">
        <f t="shared" si="3"/>
        <v>350460</v>
      </c>
    </row>
    <row r="20" spans="1:13" x14ac:dyDescent="0.25">
      <c r="A20" s="155">
        <v>14</v>
      </c>
      <c r="B20" s="220" t="s">
        <v>738</v>
      </c>
      <c r="C20" s="81">
        <v>60000</v>
      </c>
      <c r="D20" s="145">
        <v>17459.12</v>
      </c>
      <c r="E20" s="43">
        <v>7</v>
      </c>
      <c r="F20" s="61">
        <f>44-44</f>
        <v>0</v>
      </c>
      <c r="G20" s="142">
        <f t="shared" si="0"/>
        <v>7</v>
      </c>
      <c r="H20" s="56">
        <f>44-44</f>
        <v>0</v>
      </c>
      <c r="I20" s="57">
        <f t="shared" si="1"/>
        <v>7</v>
      </c>
      <c r="J20" s="57">
        <f t="shared" si="2"/>
        <v>420000</v>
      </c>
      <c r="K20" s="58">
        <f t="shared" si="3"/>
        <v>122213.84</v>
      </c>
      <c r="M20" s="53">
        <v>44</v>
      </c>
    </row>
    <row r="21" spans="1:13" x14ac:dyDescent="0.25">
      <c r="A21" s="155">
        <v>15</v>
      </c>
      <c r="B21" s="220" t="s">
        <v>467</v>
      </c>
      <c r="C21" s="81">
        <v>70000</v>
      </c>
      <c r="D21" s="145">
        <v>31466</v>
      </c>
      <c r="E21" s="43">
        <v>3</v>
      </c>
      <c r="F21" s="61">
        <f>43-43</f>
        <v>0</v>
      </c>
      <c r="G21" s="142">
        <f t="shared" si="0"/>
        <v>3</v>
      </c>
      <c r="H21" s="56">
        <f>43-43</f>
        <v>0</v>
      </c>
      <c r="I21" s="57">
        <f t="shared" si="1"/>
        <v>3</v>
      </c>
      <c r="J21" s="57">
        <f t="shared" si="2"/>
        <v>210000</v>
      </c>
      <c r="K21" s="58">
        <f t="shared" si="3"/>
        <v>94398</v>
      </c>
      <c r="M21" s="53">
        <v>43</v>
      </c>
    </row>
    <row r="22" spans="1:13" x14ac:dyDescent="0.25">
      <c r="A22" s="155">
        <v>16</v>
      </c>
      <c r="B22" s="118" t="s">
        <v>468</v>
      </c>
      <c r="C22" s="119">
        <v>45000</v>
      </c>
      <c r="D22" s="193">
        <v>9676.75</v>
      </c>
      <c r="E22" s="125">
        <v>12</v>
      </c>
      <c r="F22" s="124"/>
      <c r="G22" s="172">
        <f t="shared" si="0"/>
        <v>12</v>
      </c>
      <c r="H22" s="110"/>
      <c r="I22" s="111">
        <f t="shared" si="1"/>
        <v>12</v>
      </c>
      <c r="J22" s="111">
        <f t="shared" si="2"/>
        <v>540000</v>
      </c>
      <c r="K22" s="112">
        <f t="shared" si="3"/>
        <v>116121</v>
      </c>
    </row>
    <row r="23" spans="1:13" x14ac:dyDescent="0.25">
      <c r="A23" s="155">
        <v>17</v>
      </c>
      <c r="B23" s="118" t="s">
        <v>892</v>
      </c>
      <c r="C23" s="119">
        <v>15000</v>
      </c>
      <c r="D23" s="193"/>
      <c r="E23" s="125">
        <v>0</v>
      </c>
      <c r="F23" s="124">
        <f>24-24</f>
        <v>0</v>
      </c>
      <c r="G23" s="172">
        <f t="shared" si="0"/>
        <v>0</v>
      </c>
      <c r="H23" s="110">
        <f>24-24</f>
        <v>0</v>
      </c>
      <c r="I23" s="111">
        <f t="shared" ref="I23:I26" si="4">+G23-H23</f>
        <v>0</v>
      </c>
      <c r="J23" s="111">
        <f t="shared" ref="J23:J26" si="5">I23*C23</f>
        <v>0</v>
      </c>
      <c r="K23" s="112">
        <f t="shared" ref="K23:K26" si="6">+D23*I23</f>
        <v>0</v>
      </c>
      <c r="M23" s="53">
        <v>24</v>
      </c>
    </row>
    <row r="24" spans="1:13" x14ac:dyDescent="0.25">
      <c r="A24" s="155">
        <v>18</v>
      </c>
      <c r="B24" s="309" t="s">
        <v>893</v>
      </c>
      <c r="C24" s="119">
        <v>45000</v>
      </c>
      <c r="D24" s="193"/>
      <c r="E24" s="125">
        <v>0</v>
      </c>
      <c r="F24" s="124">
        <f>85-85</f>
        <v>0</v>
      </c>
      <c r="G24" s="172">
        <f t="shared" si="0"/>
        <v>0</v>
      </c>
      <c r="H24" s="110">
        <f>85-85</f>
        <v>0</v>
      </c>
      <c r="I24" s="111">
        <f t="shared" si="4"/>
        <v>0</v>
      </c>
      <c r="J24" s="111">
        <f t="shared" si="5"/>
        <v>0</v>
      </c>
      <c r="K24" s="112">
        <f t="shared" si="6"/>
        <v>0</v>
      </c>
      <c r="M24" s="53">
        <v>85</v>
      </c>
    </row>
    <row r="25" spans="1:13" x14ac:dyDescent="0.25">
      <c r="A25" s="155">
        <v>19</v>
      </c>
      <c r="B25" s="80" t="s">
        <v>894</v>
      </c>
      <c r="C25" s="81">
        <v>40000</v>
      </c>
      <c r="D25" s="193"/>
      <c r="E25" s="125">
        <v>0</v>
      </c>
      <c r="F25" s="124">
        <f>29-29</f>
        <v>0</v>
      </c>
      <c r="G25" s="172">
        <f t="shared" si="0"/>
        <v>0</v>
      </c>
      <c r="H25" s="110">
        <f>29-29</f>
        <v>0</v>
      </c>
      <c r="I25" s="111">
        <f t="shared" si="4"/>
        <v>0</v>
      </c>
      <c r="J25" s="111">
        <f t="shared" si="5"/>
        <v>0</v>
      </c>
      <c r="K25" s="112">
        <f t="shared" si="6"/>
        <v>0</v>
      </c>
      <c r="M25" s="53">
        <v>29</v>
      </c>
    </row>
    <row r="26" spans="1:13" x14ac:dyDescent="0.25">
      <c r="A26" s="155">
        <v>20</v>
      </c>
      <c r="B26" s="80" t="s">
        <v>895</v>
      </c>
      <c r="C26" s="119">
        <v>35000</v>
      </c>
      <c r="D26" s="193"/>
      <c r="E26" s="125">
        <v>0</v>
      </c>
      <c r="F26" s="124">
        <f>63-53-10</f>
        <v>0</v>
      </c>
      <c r="G26" s="172">
        <f t="shared" si="0"/>
        <v>0</v>
      </c>
      <c r="H26" s="110">
        <f>63-63</f>
        <v>0</v>
      </c>
      <c r="I26" s="111">
        <f t="shared" si="4"/>
        <v>0</v>
      </c>
      <c r="J26" s="111">
        <f t="shared" si="5"/>
        <v>0</v>
      </c>
      <c r="K26" s="112">
        <f t="shared" si="6"/>
        <v>0</v>
      </c>
      <c r="M26" s="53">
        <v>63</v>
      </c>
    </row>
    <row r="27" spans="1:13" ht="15.75" thickBot="1" x14ac:dyDescent="0.3">
      <c r="A27" s="155">
        <v>21</v>
      </c>
      <c r="B27" s="221" t="s">
        <v>896</v>
      </c>
      <c r="C27" s="83">
        <v>100000</v>
      </c>
      <c r="D27" s="148"/>
      <c r="E27" s="157">
        <v>0</v>
      </c>
      <c r="F27" s="159">
        <f>12-12</f>
        <v>0</v>
      </c>
      <c r="G27" s="150">
        <f t="shared" si="0"/>
        <v>0</v>
      </c>
      <c r="H27" s="59">
        <f>12-12</f>
        <v>0</v>
      </c>
      <c r="I27" s="65">
        <f t="shared" si="1"/>
        <v>0</v>
      </c>
      <c r="J27" s="65">
        <f t="shared" si="2"/>
        <v>0</v>
      </c>
      <c r="K27" s="66">
        <f t="shared" si="3"/>
        <v>0</v>
      </c>
      <c r="M27" s="53">
        <v>12</v>
      </c>
    </row>
    <row r="28" spans="1:13" ht="15.75" thickBot="1" x14ac:dyDescent="0.3">
      <c r="A28" s="131"/>
      <c r="B28" s="122" t="s">
        <v>718</v>
      </c>
      <c r="C28" s="36"/>
      <c r="D28" s="36"/>
      <c r="E28" s="29">
        <f>SUM(E7:E27)</f>
        <v>291</v>
      </c>
      <c r="F28" s="29">
        <f>SUM(F7:F27)</f>
        <v>0</v>
      </c>
      <c r="G28" s="36">
        <f>SUM(G7:G27)</f>
        <v>291</v>
      </c>
      <c r="H28" s="29">
        <f>SUM(H7:H27)</f>
        <v>0</v>
      </c>
      <c r="I28" s="29">
        <f>SUM(I7:I27)</f>
        <v>291</v>
      </c>
      <c r="J28" s="29">
        <f t="shared" ref="J28:K28" si="7">SUM(J7:J27)</f>
        <v>4722500</v>
      </c>
      <c r="K28" s="47">
        <f t="shared" si="7"/>
        <v>1740264.93</v>
      </c>
    </row>
    <row r="29" spans="1:13" ht="15.75" thickBot="1" x14ac:dyDescent="0.3">
      <c r="B29" s="164"/>
      <c r="C29" s="165"/>
      <c r="D29" s="166"/>
      <c r="E29" s="167"/>
      <c r="F29" s="68"/>
      <c r="G29" s="167"/>
      <c r="H29" s="167"/>
      <c r="I29" s="167"/>
      <c r="J29" s="167"/>
      <c r="K29" s="166"/>
    </row>
    <row r="30" spans="1:13" ht="15.75" thickBot="1" x14ac:dyDescent="0.3">
      <c r="A30" s="365" t="s">
        <v>657</v>
      </c>
      <c r="B30" s="372" t="s">
        <v>708</v>
      </c>
      <c r="C30" s="372" t="s">
        <v>1</v>
      </c>
      <c r="D30" s="373" t="s">
        <v>649</v>
      </c>
      <c r="E30" s="374" t="s">
        <v>19</v>
      </c>
      <c r="F30" s="374"/>
      <c r="G30" s="374"/>
      <c r="H30" s="374"/>
      <c r="I30" s="374"/>
      <c r="J30" s="368" t="s">
        <v>21</v>
      </c>
      <c r="K30" s="370" t="s">
        <v>602</v>
      </c>
    </row>
    <row r="31" spans="1:13" ht="45.75" thickBot="1" x14ac:dyDescent="0.3">
      <c r="A31" s="366"/>
      <c r="B31" s="372"/>
      <c r="C31" s="372"/>
      <c r="D31" s="373"/>
      <c r="E31" s="69" t="s">
        <v>22</v>
      </c>
      <c r="F31" s="69" t="s">
        <v>600</v>
      </c>
      <c r="G31" s="69" t="s">
        <v>601</v>
      </c>
      <c r="H31" s="69" t="s">
        <v>589</v>
      </c>
      <c r="I31" s="69" t="s">
        <v>601</v>
      </c>
      <c r="J31" s="369"/>
      <c r="K31" s="371"/>
    </row>
    <row r="32" spans="1:13" ht="15.75" thickBot="1" x14ac:dyDescent="0.3">
      <c r="A32" s="367"/>
      <c r="B32" s="188">
        <v>1</v>
      </c>
      <c r="C32" s="188">
        <v>2</v>
      </c>
      <c r="D32" s="188">
        <v>3</v>
      </c>
      <c r="E32" s="71">
        <v>4</v>
      </c>
      <c r="F32" s="71">
        <f>+E32+1</f>
        <v>5</v>
      </c>
      <c r="G32" s="71" t="s">
        <v>652</v>
      </c>
      <c r="H32" s="71">
        <v>7</v>
      </c>
      <c r="I32" s="72" t="s">
        <v>651</v>
      </c>
      <c r="J32" s="42" t="s">
        <v>650</v>
      </c>
      <c r="K32" s="42" t="s">
        <v>653</v>
      </c>
    </row>
    <row r="33" spans="1:13" x14ac:dyDescent="0.25">
      <c r="A33" s="163"/>
      <c r="B33" s="55"/>
      <c r="C33" s="55"/>
      <c r="D33" s="55"/>
      <c r="E33" s="55"/>
      <c r="F33" s="55"/>
      <c r="G33" s="55"/>
      <c r="H33" s="55"/>
      <c r="I33" s="55"/>
      <c r="J33" s="55"/>
      <c r="K33" s="55"/>
      <c r="M33" s="53" t="s">
        <v>902</v>
      </c>
    </row>
    <row r="34" spans="1:13" x14ac:dyDescent="0.25">
      <c r="A34" s="155">
        <v>1</v>
      </c>
      <c r="B34" s="80" t="s">
        <v>469</v>
      </c>
      <c r="C34" s="81">
        <v>100000</v>
      </c>
      <c r="D34" s="145">
        <v>30910</v>
      </c>
      <c r="E34" s="43">
        <v>0</v>
      </c>
      <c r="F34" s="61">
        <f>98-98+99-99+30-30</f>
        <v>0</v>
      </c>
      <c r="G34" s="142">
        <f t="shared" ref="G34:G44" si="8">+E34+F34</f>
        <v>0</v>
      </c>
      <c r="H34" s="56">
        <f>98-98+99-99+30-30</f>
        <v>0</v>
      </c>
      <c r="I34" s="57">
        <f t="shared" ref="I34:I44" si="9">+G34-H34</f>
        <v>0</v>
      </c>
      <c r="J34" s="57">
        <f t="shared" ref="J34:J44" si="10">I34*C34</f>
        <v>0</v>
      </c>
      <c r="K34" s="58">
        <f t="shared" ref="K34:K44" si="11">+D34*I34</f>
        <v>0</v>
      </c>
      <c r="M34" s="267">
        <v>30</v>
      </c>
    </row>
    <row r="35" spans="1:13" x14ac:dyDescent="0.25">
      <c r="A35" s="155">
        <v>2</v>
      </c>
      <c r="B35" s="80" t="s">
        <v>470</v>
      </c>
      <c r="C35" s="81">
        <v>75000</v>
      </c>
      <c r="D35" s="145">
        <v>12773</v>
      </c>
      <c r="E35" s="43">
        <v>0</v>
      </c>
      <c r="F35" s="61">
        <f>17-17</f>
        <v>0</v>
      </c>
      <c r="G35" s="142">
        <f t="shared" si="8"/>
        <v>0</v>
      </c>
      <c r="H35" s="56">
        <f>47-47+17-17</f>
        <v>0</v>
      </c>
      <c r="I35" s="57">
        <f t="shared" si="9"/>
        <v>0</v>
      </c>
      <c r="J35" s="57">
        <f t="shared" si="10"/>
        <v>0</v>
      </c>
      <c r="K35" s="58">
        <f t="shared" si="11"/>
        <v>0</v>
      </c>
      <c r="L35" s="274">
        <f>+I35-47+47</f>
        <v>0</v>
      </c>
      <c r="M35" s="53">
        <v>17</v>
      </c>
    </row>
    <row r="36" spans="1:13" x14ac:dyDescent="0.25">
      <c r="A36" s="155">
        <v>3</v>
      </c>
      <c r="B36" s="80" t="s">
        <v>471</v>
      </c>
      <c r="C36" s="81">
        <v>2000</v>
      </c>
      <c r="D36" s="145">
        <v>613.49</v>
      </c>
      <c r="E36" s="43">
        <v>0</v>
      </c>
      <c r="F36" s="61"/>
      <c r="G36" s="142">
        <f t="shared" si="8"/>
        <v>0</v>
      </c>
      <c r="H36" s="56"/>
      <c r="I36" s="57">
        <f t="shared" si="9"/>
        <v>0</v>
      </c>
      <c r="J36" s="57">
        <f t="shared" si="10"/>
        <v>0</v>
      </c>
      <c r="K36" s="58">
        <f t="shared" si="11"/>
        <v>0</v>
      </c>
    </row>
    <row r="37" spans="1:13" x14ac:dyDescent="0.25">
      <c r="A37" s="155">
        <v>4</v>
      </c>
      <c r="B37" s="219" t="s">
        <v>472</v>
      </c>
      <c r="C37" s="81">
        <v>5000</v>
      </c>
      <c r="D37" s="145">
        <v>1002</v>
      </c>
      <c r="E37" s="43">
        <v>1200</v>
      </c>
      <c r="F37" s="61"/>
      <c r="G37" s="142">
        <f t="shared" si="8"/>
        <v>1200</v>
      </c>
      <c r="H37" s="56"/>
      <c r="I37" s="57">
        <f t="shared" si="9"/>
        <v>1200</v>
      </c>
      <c r="J37" s="57">
        <f t="shared" si="10"/>
        <v>6000000</v>
      </c>
      <c r="K37" s="58">
        <f t="shared" si="11"/>
        <v>1202400</v>
      </c>
    </row>
    <row r="38" spans="1:13" x14ac:dyDescent="0.25">
      <c r="A38" s="155">
        <v>5</v>
      </c>
      <c r="B38" s="80" t="s">
        <v>473</v>
      </c>
      <c r="C38" s="81">
        <v>50000</v>
      </c>
      <c r="D38" s="145">
        <f>1837+11000</f>
        <v>12837</v>
      </c>
      <c r="E38" s="43">
        <v>0</v>
      </c>
      <c r="F38" s="61"/>
      <c r="G38" s="142">
        <f t="shared" si="8"/>
        <v>0</v>
      </c>
      <c r="H38" s="56"/>
      <c r="I38" s="57">
        <f t="shared" si="9"/>
        <v>0</v>
      </c>
      <c r="J38" s="57">
        <f t="shared" si="10"/>
        <v>0</v>
      </c>
      <c r="K38" s="58">
        <f t="shared" si="11"/>
        <v>0</v>
      </c>
    </row>
    <row r="39" spans="1:13" x14ac:dyDescent="0.25">
      <c r="A39" s="155">
        <v>6</v>
      </c>
      <c r="B39" s="80" t="s">
        <v>474</v>
      </c>
      <c r="C39" s="81">
        <v>250000</v>
      </c>
      <c r="D39" s="145">
        <v>29835.67</v>
      </c>
      <c r="E39" s="43">
        <v>461</v>
      </c>
      <c r="F39" s="61"/>
      <c r="G39" s="142">
        <f t="shared" si="8"/>
        <v>461</v>
      </c>
      <c r="H39" s="56"/>
      <c r="I39" s="57">
        <f t="shared" si="9"/>
        <v>461</v>
      </c>
      <c r="J39" s="57">
        <f t="shared" si="10"/>
        <v>115250000</v>
      </c>
      <c r="K39" s="58">
        <f t="shared" si="11"/>
        <v>13754243.869999999</v>
      </c>
    </row>
    <row r="40" spans="1:13" x14ac:dyDescent="0.25">
      <c r="A40" s="155">
        <v>7</v>
      </c>
      <c r="B40" s="80" t="s">
        <v>475</v>
      </c>
      <c r="C40" s="81">
        <v>25000</v>
      </c>
      <c r="D40" s="145">
        <v>992.22</v>
      </c>
      <c r="E40" s="43">
        <v>40</v>
      </c>
      <c r="F40" s="61"/>
      <c r="G40" s="142">
        <f t="shared" si="8"/>
        <v>40</v>
      </c>
      <c r="H40" s="56"/>
      <c r="I40" s="57">
        <f t="shared" si="9"/>
        <v>40</v>
      </c>
      <c r="J40" s="57">
        <f t="shared" si="10"/>
        <v>1000000</v>
      </c>
      <c r="K40" s="58">
        <f t="shared" si="11"/>
        <v>39688.800000000003</v>
      </c>
    </row>
    <row r="41" spans="1:13" x14ac:dyDescent="0.25">
      <c r="A41" s="155">
        <v>8</v>
      </c>
      <c r="B41" s="80" t="s">
        <v>476</v>
      </c>
      <c r="C41" s="81">
        <v>7000</v>
      </c>
      <c r="D41" s="145">
        <v>677.89</v>
      </c>
      <c r="E41" s="43">
        <v>166</v>
      </c>
      <c r="F41" s="61"/>
      <c r="G41" s="142">
        <f t="shared" si="8"/>
        <v>166</v>
      </c>
      <c r="H41" s="56"/>
      <c r="I41" s="57">
        <f t="shared" si="9"/>
        <v>166</v>
      </c>
      <c r="J41" s="57">
        <f t="shared" si="10"/>
        <v>1162000</v>
      </c>
      <c r="K41" s="58">
        <f t="shared" si="11"/>
        <v>112529.73999999999</v>
      </c>
    </row>
    <row r="42" spans="1:13" x14ac:dyDescent="0.25">
      <c r="A42" s="155">
        <v>9</v>
      </c>
      <c r="B42" s="219" t="s">
        <v>477</v>
      </c>
      <c r="C42" s="81">
        <v>65000</v>
      </c>
      <c r="D42" s="145">
        <f>3112.12*4+9625</f>
        <v>22073.48</v>
      </c>
      <c r="E42" s="43">
        <v>0</v>
      </c>
      <c r="F42" s="61"/>
      <c r="G42" s="142">
        <f t="shared" si="8"/>
        <v>0</v>
      </c>
      <c r="H42" s="56"/>
      <c r="I42" s="57">
        <f t="shared" si="9"/>
        <v>0</v>
      </c>
      <c r="J42" s="57">
        <f t="shared" si="10"/>
        <v>0</v>
      </c>
      <c r="K42" s="58">
        <f t="shared" si="11"/>
        <v>0</v>
      </c>
    </row>
    <row r="43" spans="1:13" x14ac:dyDescent="0.25">
      <c r="A43" s="155">
        <v>10</v>
      </c>
      <c r="B43" s="219" t="s">
        <v>478</v>
      </c>
      <c r="C43" s="81">
        <v>5000</v>
      </c>
      <c r="D43" s="145">
        <v>9625</v>
      </c>
      <c r="E43" s="43">
        <v>725</v>
      </c>
      <c r="F43" s="61"/>
      <c r="G43" s="142">
        <f t="shared" si="8"/>
        <v>725</v>
      </c>
      <c r="H43" s="56"/>
      <c r="I43" s="57">
        <f t="shared" si="9"/>
        <v>725</v>
      </c>
      <c r="J43" s="57">
        <f t="shared" si="10"/>
        <v>3625000</v>
      </c>
      <c r="K43" s="58">
        <f t="shared" si="11"/>
        <v>6978125</v>
      </c>
    </row>
    <row r="44" spans="1:13" ht="15.75" thickBot="1" x14ac:dyDescent="0.3">
      <c r="A44" s="156">
        <v>11</v>
      </c>
      <c r="B44" s="147" t="s">
        <v>479</v>
      </c>
      <c r="C44" s="83">
        <v>110000</v>
      </c>
      <c r="D44" s="148">
        <v>45000</v>
      </c>
      <c r="E44" s="157">
        <v>0</v>
      </c>
      <c r="F44" s="159">
        <f>25-25</f>
        <v>0</v>
      </c>
      <c r="G44" s="150">
        <f t="shared" si="8"/>
        <v>0</v>
      </c>
      <c r="H44" s="59">
        <f>258-258+25-25</f>
        <v>0</v>
      </c>
      <c r="I44" s="65">
        <f t="shared" si="9"/>
        <v>0</v>
      </c>
      <c r="J44" s="65">
        <f t="shared" si="10"/>
        <v>0</v>
      </c>
      <c r="K44" s="66">
        <f t="shared" si="11"/>
        <v>0</v>
      </c>
      <c r="M44" s="53">
        <v>25</v>
      </c>
    </row>
    <row r="45" spans="1:13" ht="15.75" thickBot="1" x14ac:dyDescent="0.3">
      <c r="A45" s="131"/>
      <c r="B45" s="122" t="s">
        <v>666</v>
      </c>
      <c r="C45" s="36"/>
      <c r="D45" s="36"/>
      <c r="E45" s="29">
        <f>SUM(E34:E44)</f>
        <v>2592</v>
      </c>
      <c r="F45" s="29">
        <f>SUM(F34:F44)</f>
        <v>0</v>
      </c>
      <c r="G45" s="29">
        <f>SUM(G34:G44)</f>
        <v>2592</v>
      </c>
      <c r="H45" s="29">
        <f>SUM(H34:H44)</f>
        <v>0</v>
      </c>
      <c r="I45" s="29">
        <f>SUM(I34:I44)</f>
        <v>2592</v>
      </c>
      <c r="J45" s="29">
        <f t="shared" ref="J45:K45" si="12">SUM(J34:J44)</f>
        <v>127037000</v>
      </c>
      <c r="K45" s="47">
        <f t="shared" si="12"/>
        <v>22086987.41</v>
      </c>
    </row>
    <row r="46" spans="1:13" ht="15.75" thickBot="1" x14ac:dyDescent="0.3">
      <c r="B46" s="164"/>
      <c r="C46" s="165"/>
      <c r="D46" s="166"/>
      <c r="E46" s="167"/>
      <c r="F46" s="68"/>
      <c r="G46" s="167"/>
      <c r="H46" s="167"/>
      <c r="I46" s="167"/>
      <c r="J46" s="167"/>
      <c r="K46" s="166"/>
    </row>
    <row r="47" spans="1:13" ht="15.75" thickBot="1" x14ac:dyDescent="0.3">
      <c r="A47" s="365" t="s">
        <v>657</v>
      </c>
      <c r="B47" s="372" t="s">
        <v>708</v>
      </c>
      <c r="C47" s="372" t="s">
        <v>1</v>
      </c>
      <c r="D47" s="373" t="s">
        <v>649</v>
      </c>
      <c r="E47" s="374" t="s">
        <v>19</v>
      </c>
      <c r="F47" s="374"/>
      <c r="G47" s="374"/>
      <c r="H47" s="374"/>
      <c r="I47" s="374"/>
      <c r="J47" s="368" t="s">
        <v>21</v>
      </c>
      <c r="K47" s="370" t="s">
        <v>602</v>
      </c>
    </row>
    <row r="48" spans="1:13" ht="45.75" thickBot="1" x14ac:dyDescent="0.3">
      <c r="A48" s="366"/>
      <c r="B48" s="372"/>
      <c r="C48" s="372"/>
      <c r="D48" s="373"/>
      <c r="E48" s="69" t="s">
        <v>22</v>
      </c>
      <c r="F48" s="69" t="s">
        <v>600</v>
      </c>
      <c r="G48" s="69" t="s">
        <v>601</v>
      </c>
      <c r="H48" s="69" t="s">
        <v>589</v>
      </c>
      <c r="I48" s="69" t="s">
        <v>601</v>
      </c>
      <c r="J48" s="369"/>
      <c r="K48" s="371"/>
    </row>
    <row r="49" spans="1:12" ht="15.75" thickBot="1" x14ac:dyDescent="0.3">
      <c r="A49" s="367"/>
      <c r="B49" s="188">
        <v>1</v>
      </c>
      <c r="C49" s="188">
        <v>2</v>
      </c>
      <c r="D49" s="188">
        <v>3</v>
      </c>
      <c r="E49" s="71">
        <v>4</v>
      </c>
      <c r="F49" s="71">
        <f>+E49+1</f>
        <v>5</v>
      </c>
      <c r="G49" s="71" t="s">
        <v>652</v>
      </c>
      <c r="H49" s="71">
        <v>7</v>
      </c>
      <c r="I49" s="72" t="s">
        <v>651</v>
      </c>
      <c r="J49" s="42" t="s">
        <v>650</v>
      </c>
      <c r="K49" s="42" t="s">
        <v>653</v>
      </c>
    </row>
    <row r="50" spans="1:12" x14ac:dyDescent="0.25">
      <c r="A50" s="163"/>
      <c r="B50" s="55"/>
      <c r="C50" s="55"/>
      <c r="D50" s="55"/>
      <c r="E50" s="55"/>
      <c r="F50" s="55"/>
      <c r="G50" s="55"/>
      <c r="H50" s="55"/>
      <c r="I50" s="55"/>
      <c r="J50" s="55"/>
      <c r="K50" s="55"/>
    </row>
    <row r="51" spans="1:12" x14ac:dyDescent="0.25">
      <c r="A51" s="155">
        <v>1</v>
      </c>
      <c r="B51" s="80" t="s">
        <v>480</v>
      </c>
      <c r="C51" s="81">
        <v>35000</v>
      </c>
      <c r="D51" s="145">
        <f>4840+1554.67</f>
        <v>6394.67</v>
      </c>
      <c r="E51" s="43">
        <v>686</v>
      </c>
      <c r="F51" s="61"/>
      <c r="G51" s="142">
        <f t="shared" ref="G51:G54" si="13">+E51+F51</f>
        <v>686</v>
      </c>
      <c r="H51" s="56"/>
      <c r="I51" s="57">
        <f t="shared" ref="I51:I54" si="14">+G51-H51</f>
        <v>686</v>
      </c>
      <c r="J51" s="57">
        <f t="shared" ref="J51:J54" si="15">I51*C51</f>
        <v>24010000</v>
      </c>
      <c r="K51" s="58">
        <f t="shared" ref="K51:K54" si="16">+D51*I51</f>
        <v>4386743.62</v>
      </c>
    </row>
    <row r="52" spans="1:12" x14ac:dyDescent="0.25">
      <c r="A52" s="155">
        <v>2</v>
      </c>
      <c r="B52" s="80" t="s">
        <v>481</v>
      </c>
      <c r="C52" s="81">
        <v>40000</v>
      </c>
      <c r="D52" s="145">
        <f>6*145.15+920.06+1920.45+2812.06+7700</f>
        <v>14223.47</v>
      </c>
      <c r="E52" s="43">
        <v>0</v>
      </c>
      <c r="F52" s="61"/>
      <c r="G52" s="142">
        <f t="shared" si="13"/>
        <v>0</v>
      </c>
      <c r="H52" s="56">
        <f>3-3</f>
        <v>0</v>
      </c>
      <c r="I52" s="57">
        <f t="shared" si="14"/>
        <v>0</v>
      </c>
      <c r="J52" s="57">
        <f t="shared" si="15"/>
        <v>0</v>
      </c>
      <c r="K52" s="58">
        <f t="shared" si="16"/>
        <v>0</v>
      </c>
    </row>
    <row r="53" spans="1:12" x14ac:dyDescent="0.25">
      <c r="A53" s="155">
        <v>3</v>
      </c>
      <c r="B53" s="220" t="s">
        <v>482</v>
      </c>
      <c r="C53" s="81">
        <v>45000</v>
      </c>
      <c r="D53" s="145">
        <f>8*208.86+2457.94+1407.72+4950</f>
        <v>10486.54</v>
      </c>
      <c r="E53" s="43">
        <v>84</v>
      </c>
      <c r="F53" s="61"/>
      <c r="G53" s="142">
        <f t="shared" si="13"/>
        <v>84</v>
      </c>
      <c r="H53" s="56"/>
      <c r="I53" s="57">
        <f t="shared" si="14"/>
        <v>84</v>
      </c>
      <c r="J53" s="57">
        <f t="shared" si="15"/>
        <v>3780000</v>
      </c>
      <c r="K53" s="58">
        <f t="shared" si="16"/>
        <v>880869.3600000001</v>
      </c>
    </row>
    <row r="54" spans="1:12" ht="15.75" thickBot="1" x14ac:dyDescent="0.3">
      <c r="A54" s="156">
        <v>4</v>
      </c>
      <c r="B54" s="147" t="s">
        <v>483</v>
      </c>
      <c r="C54" s="83">
        <v>50000</v>
      </c>
      <c r="D54" s="148">
        <v>36801.18</v>
      </c>
      <c r="E54" s="157">
        <v>0</v>
      </c>
      <c r="F54" s="159"/>
      <c r="G54" s="150">
        <f t="shared" si="13"/>
        <v>0</v>
      </c>
      <c r="H54" s="59">
        <f>7-7</f>
        <v>0</v>
      </c>
      <c r="I54" s="65">
        <f t="shared" si="14"/>
        <v>0</v>
      </c>
      <c r="J54" s="65">
        <f t="shared" si="15"/>
        <v>0</v>
      </c>
      <c r="K54" s="66">
        <f t="shared" si="16"/>
        <v>0</v>
      </c>
    </row>
    <row r="55" spans="1:12" ht="15.75" thickBot="1" x14ac:dyDescent="0.3">
      <c r="A55" s="131"/>
      <c r="B55" s="122" t="s">
        <v>669</v>
      </c>
      <c r="C55" s="36"/>
      <c r="D55" s="36"/>
      <c r="E55" s="29">
        <f>SUM(E51:E54)</f>
        <v>770</v>
      </c>
      <c r="F55" s="36"/>
      <c r="G55" s="29">
        <f>SUM(G51:G54)</f>
        <v>770</v>
      </c>
      <c r="H55" s="29">
        <f>SUM(H51:H54)</f>
        <v>0</v>
      </c>
      <c r="I55" s="29">
        <f>SUM(I51:I54)</f>
        <v>770</v>
      </c>
      <c r="J55" s="29">
        <f t="shared" ref="J55:K55" si="17">SUM(J51:J54)</f>
        <v>27790000</v>
      </c>
      <c r="K55" s="191">
        <f t="shared" si="17"/>
        <v>5267612.9800000004</v>
      </c>
    </row>
    <row r="56" spans="1:12" ht="15.75" thickBot="1" x14ac:dyDescent="0.3">
      <c r="B56" s="164"/>
      <c r="C56" s="165"/>
      <c r="D56" s="166"/>
      <c r="E56" s="167"/>
      <c r="F56" s="68"/>
      <c r="G56" s="167"/>
      <c r="H56" s="167"/>
      <c r="I56" s="167"/>
      <c r="J56" s="167"/>
      <c r="K56" s="166"/>
    </row>
    <row r="57" spans="1:12" ht="15.75" thickBot="1" x14ac:dyDescent="0.3">
      <c r="A57" s="365" t="s">
        <v>657</v>
      </c>
      <c r="B57" s="372" t="s">
        <v>708</v>
      </c>
      <c r="C57" s="372" t="s">
        <v>1</v>
      </c>
      <c r="D57" s="373" t="s">
        <v>649</v>
      </c>
      <c r="E57" s="374" t="s">
        <v>19</v>
      </c>
      <c r="F57" s="374"/>
      <c r="G57" s="374"/>
      <c r="H57" s="374"/>
      <c r="I57" s="374"/>
      <c r="J57" s="368" t="s">
        <v>21</v>
      </c>
      <c r="K57" s="370" t="s">
        <v>602</v>
      </c>
    </row>
    <row r="58" spans="1:12" ht="45.75" thickBot="1" x14ac:dyDescent="0.3">
      <c r="A58" s="366"/>
      <c r="B58" s="372"/>
      <c r="C58" s="372"/>
      <c r="D58" s="373"/>
      <c r="E58" s="69" t="s">
        <v>22</v>
      </c>
      <c r="F58" s="69" t="s">
        <v>600</v>
      </c>
      <c r="G58" s="69" t="s">
        <v>601</v>
      </c>
      <c r="H58" s="69" t="s">
        <v>589</v>
      </c>
      <c r="I58" s="69" t="s">
        <v>601</v>
      </c>
      <c r="J58" s="369"/>
      <c r="K58" s="371"/>
    </row>
    <row r="59" spans="1:12" ht="15.75" thickBot="1" x14ac:dyDescent="0.3">
      <c r="A59" s="367"/>
      <c r="B59" s="229">
        <v>1</v>
      </c>
      <c r="C59" s="229">
        <v>2</v>
      </c>
      <c r="D59" s="229">
        <v>3</v>
      </c>
      <c r="E59" s="71">
        <v>4</v>
      </c>
      <c r="F59" s="71">
        <f>+E59+1</f>
        <v>5</v>
      </c>
      <c r="G59" s="71" t="s">
        <v>652</v>
      </c>
      <c r="H59" s="71">
        <v>7</v>
      </c>
      <c r="I59" s="72" t="s">
        <v>651</v>
      </c>
      <c r="J59" s="42" t="s">
        <v>650</v>
      </c>
      <c r="K59" s="42" t="s">
        <v>653</v>
      </c>
    </row>
    <row r="60" spans="1:12" x14ac:dyDescent="0.25">
      <c r="A60" s="163"/>
      <c r="B60" s="55"/>
      <c r="C60" s="55"/>
      <c r="D60" s="55"/>
      <c r="E60" s="55"/>
      <c r="F60" s="55"/>
      <c r="G60" s="55"/>
      <c r="H60" s="55"/>
      <c r="I60" s="55"/>
      <c r="J60" s="55"/>
      <c r="K60" s="55"/>
    </row>
    <row r="61" spans="1:12" x14ac:dyDescent="0.25">
      <c r="A61" s="155">
        <v>1</v>
      </c>
      <c r="B61" s="80" t="s">
        <v>484</v>
      </c>
      <c r="C61" s="81">
        <v>30000</v>
      </c>
      <c r="D61" s="145">
        <f>6600+1630+1732.5</f>
        <v>9962.5</v>
      </c>
      <c r="E61" s="43">
        <v>331</v>
      </c>
      <c r="F61" s="61">
        <f>97-97</f>
        <v>0</v>
      </c>
      <c r="G61" s="142">
        <f t="shared" ref="G61:G65" si="18">+E61+F61</f>
        <v>331</v>
      </c>
      <c r="H61" s="56">
        <f>97-97</f>
        <v>0</v>
      </c>
      <c r="I61" s="57">
        <f t="shared" ref="I61:I65" si="19">+G61-H61</f>
        <v>331</v>
      </c>
      <c r="J61" s="57">
        <f t="shared" ref="J61:J65" si="20">I61*C61</f>
        <v>9930000</v>
      </c>
      <c r="K61" s="58">
        <f t="shared" ref="K61:K65" si="21">+D61*I61</f>
        <v>3297587.5</v>
      </c>
      <c r="L61" s="274">
        <f>+I61-331</f>
        <v>0</v>
      </c>
    </row>
    <row r="62" spans="1:12" x14ac:dyDescent="0.25">
      <c r="A62" s="155">
        <v>2</v>
      </c>
      <c r="B62" s="80" t="s">
        <v>485</v>
      </c>
      <c r="C62" s="81">
        <v>45000</v>
      </c>
      <c r="D62" s="145">
        <v>0</v>
      </c>
      <c r="E62" s="43">
        <v>20</v>
      </c>
      <c r="F62" s="61"/>
      <c r="G62" s="142">
        <f t="shared" si="18"/>
        <v>20</v>
      </c>
      <c r="H62" s="56"/>
      <c r="I62" s="57">
        <f t="shared" si="19"/>
        <v>20</v>
      </c>
      <c r="J62" s="57">
        <f t="shared" si="20"/>
        <v>900000</v>
      </c>
      <c r="K62" s="58">
        <f t="shared" si="21"/>
        <v>0</v>
      </c>
    </row>
    <row r="63" spans="1:12" x14ac:dyDescent="0.25">
      <c r="A63" s="155">
        <v>3</v>
      </c>
      <c r="B63" s="80" t="s">
        <v>486</v>
      </c>
      <c r="C63" s="81">
        <v>80000</v>
      </c>
      <c r="D63" s="145">
        <f>8800+3761.46</f>
        <v>12561.46</v>
      </c>
      <c r="E63" s="43">
        <v>67</v>
      </c>
      <c r="F63" s="61"/>
      <c r="G63" s="142">
        <f t="shared" si="18"/>
        <v>67</v>
      </c>
      <c r="H63" s="56"/>
      <c r="I63" s="57">
        <f t="shared" si="19"/>
        <v>67</v>
      </c>
      <c r="J63" s="57">
        <f t="shared" si="20"/>
        <v>5360000</v>
      </c>
      <c r="K63" s="58">
        <f t="shared" si="21"/>
        <v>841617.82</v>
      </c>
    </row>
    <row r="64" spans="1:12" x14ac:dyDescent="0.25">
      <c r="A64" s="155">
        <v>4</v>
      </c>
      <c r="B64" s="80" t="s">
        <v>487</v>
      </c>
      <c r="C64" s="81">
        <v>45000</v>
      </c>
      <c r="D64" s="145">
        <v>14975.55</v>
      </c>
      <c r="E64" s="43">
        <v>1083</v>
      </c>
      <c r="F64" s="61"/>
      <c r="G64" s="142">
        <f t="shared" si="18"/>
        <v>1083</v>
      </c>
      <c r="H64" s="56"/>
      <c r="I64" s="57">
        <f t="shared" si="19"/>
        <v>1083</v>
      </c>
      <c r="J64" s="57">
        <f t="shared" si="20"/>
        <v>48735000</v>
      </c>
      <c r="K64" s="58">
        <f t="shared" si="21"/>
        <v>16218520.649999999</v>
      </c>
    </row>
    <row r="65" spans="1:12" ht="15.75" thickBot="1" x14ac:dyDescent="0.3">
      <c r="A65" s="156">
        <v>5</v>
      </c>
      <c r="B65" s="221" t="s">
        <v>488</v>
      </c>
      <c r="C65" s="83">
        <v>60000</v>
      </c>
      <c r="D65" s="148">
        <v>29759.75</v>
      </c>
      <c r="E65" s="157">
        <v>96</v>
      </c>
      <c r="F65" s="159"/>
      <c r="G65" s="150">
        <f t="shared" si="18"/>
        <v>96</v>
      </c>
      <c r="H65" s="59">
        <f>25-25</f>
        <v>0</v>
      </c>
      <c r="I65" s="65">
        <f t="shared" si="19"/>
        <v>96</v>
      </c>
      <c r="J65" s="65">
        <f t="shared" si="20"/>
        <v>5760000</v>
      </c>
      <c r="K65" s="66">
        <f t="shared" si="21"/>
        <v>2856936</v>
      </c>
      <c r="L65" s="274">
        <f>+I65-96</f>
        <v>0</v>
      </c>
    </row>
    <row r="66" spans="1:12" ht="15.75" thickBot="1" x14ac:dyDescent="0.3">
      <c r="A66" s="131"/>
      <c r="B66" s="122" t="s">
        <v>670</v>
      </c>
      <c r="C66" s="36"/>
      <c r="D66" s="36"/>
      <c r="E66" s="29">
        <f>SUM(E61:E65)</f>
        <v>1597</v>
      </c>
      <c r="F66" s="29">
        <f>SUM(F61:F65)</f>
        <v>0</v>
      </c>
      <c r="G66" s="29">
        <f>SUM(G61:G65)</f>
        <v>1597</v>
      </c>
      <c r="H66" s="29">
        <f>SUM(H61:H65)</f>
        <v>0</v>
      </c>
      <c r="I66" s="29">
        <f>SUM(I61:I65)</f>
        <v>1597</v>
      </c>
      <c r="J66" s="29">
        <f t="shared" ref="J66:K66" si="22">SUM(J61:J65)</f>
        <v>70685000</v>
      </c>
      <c r="K66" s="47">
        <f t="shared" si="22"/>
        <v>23214661.969999999</v>
      </c>
    </row>
    <row r="67" spans="1:12" ht="15.75" thickBot="1" x14ac:dyDescent="0.3">
      <c r="B67" s="164"/>
      <c r="C67" s="165"/>
      <c r="D67" s="166"/>
      <c r="E67" s="167"/>
      <c r="F67" s="68"/>
      <c r="G67" s="167"/>
      <c r="H67" s="167"/>
      <c r="I67" s="167"/>
      <c r="J67" s="167"/>
      <c r="K67" s="166"/>
    </row>
    <row r="68" spans="1:12" ht="15.75" thickBot="1" x14ac:dyDescent="0.3">
      <c r="A68" s="365" t="s">
        <v>657</v>
      </c>
      <c r="B68" s="372" t="s">
        <v>708</v>
      </c>
      <c r="C68" s="372" t="s">
        <v>1</v>
      </c>
      <c r="D68" s="373" t="s">
        <v>649</v>
      </c>
      <c r="E68" s="374" t="s">
        <v>19</v>
      </c>
      <c r="F68" s="374"/>
      <c r="G68" s="374"/>
      <c r="H68" s="374"/>
      <c r="I68" s="374"/>
      <c r="J68" s="368" t="s">
        <v>21</v>
      </c>
      <c r="K68" s="370" t="s">
        <v>602</v>
      </c>
    </row>
    <row r="69" spans="1:12" ht="45.75" thickBot="1" x14ac:dyDescent="0.3">
      <c r="A69" s="366"/>
      <c r="B69" s="372"/>
      <c r="C69" s="372"/>
      <c r="D69" s="373"/>
      <c r="E69" s="69" t="s">
        <v>22</v>
      </c>
      <c r="F69" s="69" t="s">
        <v>600</v>
      </c>
      <c r="G69" s="69" t="s">
        <v>601</v>
      </c>
      <c r="H69" s="69" t="s">
        <v>589</v>
      </c>
      <c r="I69" s="69" t="s">
        <v>601</v>
      </c>
      <c r="J69" s="369"/>
      <c r="K69" s="371"/>
    </row>
    <row r="70" spans="1:12" ht="15.75" thickBot="1" x14ac:dyDescent="0.3">
      <c r="A70" s="367"/>
      <c r="B70" s="188">
        <v>1</v>
      </c>
      <c r="C70" s="188">
        <v>2</v>
      </c>
      <c r="D70" s="188">
        <v>3</v>
      </c>
      <c r="E70" s="71">
        <v>4</v>
      </c>
      <c r="F70" s="71">
        <f>+E70+1</f>
        <v>5</v>
      </c>
      <c r="G70" s="71" t="s">
        <v>652</v>
      </c>
      <c r="H70" s="71">
        <v>7</v>
      </c>
      <c r="I70" s="72" t="s">
        <v>651</v>
      </c>
      <c r="J70" s="42" t="s">
        <v>650</v>
      </c>
      <c r="K70" s="42" t="s">
        <v>653</v>
      </c>
    </row>
    <row r="71" spans="1:12" x14ac:dyDescent="0.25">
      <c r="B71" s="32"/>
      <c r="C71" s="32"/>
      <c r="D71" s="32"/>
      <c r="E71" s="32"/>
      <c r="F71" s="32"/>
      <c r="G71" s="32"/>
      <c r="H71" s="32"/>
      <c r="I71" s="132"/>
      <c r="J71" s="32"/>
      <c r="K71" s="32"/>
    </row>
    <row r="72" spans="1:12" ht="15.75" thickBot="1" x14ac:dyDescent="0.3">
      <c r="A72" s="173">
        <v>1</v>
      </c>
      <c r="B72" s="230" t="s">
        <v>766</v>
      </c>
      <c r="C72" s="138">
        <v>12000</v>
      </c>
      <c r="D72" s="139">
        <f>136.57*4+5500</f>
        <v>6046.28</v>
      </c>
      <c r="E72" s="28">
        <v>26</v>
      </c>
      <c r="F72" s="28"/>
      <c r="G72" s="197">
        <f t="shared" ref="G72" si="23">+E72+F72</f>
        <v>26</v>
      </c>
      <c r="H72" s="110"/>
      <c r="I72" s="111">
        <f t="shared" ref="I72" si="24">+G72-H72</f>
        <v>26</v>
      </c>
      <c r="J72" s="111">
        <f t="shared" ref="J72" si="25">I72*C72</f>
        <v>312000</v>
      </c>
      <c r="K72" s="112">
        <f t="shared" ref="K72" si="26">+D72*I72</f>
        <v>157203.28</v>
      </c>
    </row>
    <row r="73" spans="1:12" ht="15.75" thickBot="1" x14ac:dyDescent="0.3">
      <c r="A73" s="131"/>
      <c r="B73" s="122" t="s">
        <v>673</v>
      </c>
      <c r="C73" s="36"/>
      <c r="D73" s="36"/>
      <c r="E73" s="29">
        <f>E72</f>
        <v>26</v>
      </c>
      <c r="F73" s="29"/>
      <c r="G73" s="29">
        <f>G72</f>
        <v>26</v>
      </c>
      <c r="H73" s="29">
        <f>H72</f>
        <v>0</v>
      </c>
      <c r="I73" s="29">
        <f>I72</f>
        <v>26</v>
      </c>
      <c r="J73" s="29">
        <f t="shared" ref="J73:K73" si="27">J72</f>
        <v>312000</v>
      </c>
      <c r="K73" s="47">
        <f t="shared" si="27"/>
        <v>157203.28</v>
      </c>
    </row>
    <row r="74" spans="1:12" ht="15.75" thickBot="1" x14ac:dyDescent="0.3">
      <c r="B74" s="164"/>
      <c r="C74" s="165"/>
      <c r="D74" s="166"/>
      <c r="E74" s="167"/>
      <c r="F74" s="68"/>
      <c r="G74" s="167"/>
      <c r="H74" s="167"/>
      <c r="I74" s="167"/>
      <c r="J74" s="167"/>
      <c r="K74" s="166"/>
    </row>
    <row r="75" spans="1:12" ht="15.75" thickBot="1" x14ac:dyDescent="0.3">
      <c r="A75" s="365" t="s">
        <v>657</v>
      </c>
      <c r="B75" s="372" t="s">
        <v>708</v>
      </c>
      <c r="C75" s="372" t="s">
        <v>1</v>
      </c>
      <c r="D75" s="373" t="s">
        <v>649</v>
      </c>
      <c r="E75" s="374" t="s">
        <v>19</v>
      </c>
      <c r="F75" s="374"/>
      <c r="G75" s="374"/>
      <c r="H75" s="374"/>
      <c r="I75" s="374"/>
      <c r="J75" s="368" t="s">
        <v>21</v>
      </c>
      <c r="K75" s="370" t="s">
        <v>602</v>
      </c>
    </row>
    <row r="76" spans="1:12" ht="45.75" thickBot="1" x14ac:dyDescent="0.3">
      <c r="A76" s="366"/>
      <c r="B76" s="372"/>
      <c r="C76" s="372"/>
      <c r="D76" s="373"/>
      <c r="E76" s="69" t="s">
        <v>22</v>
      </c>
      <c r="F76" s="69" t="s">
        <v>600</v>
      </c>
      <c r="G76" s="69" t="s">
        <v>601</v>
      </c>
      <c r="H76" s="69" t="s">
        <v>589</v>
      </c>
      <c r="I76" s="69" t="s">
        <v>601</v>
      </c>
      <c r="J76" s="369"/>
      <c r="K76" s="371"/>
    </row>
    <row r="77" spans="1:12" ht="15.75" thickBot="1" x14ac:dyDescent="0.3">
      <c r="A77" s="367"/>
      <c r="B77" s="188">
        <v>1</v>
      </c>
      <c r="C77" s="188">
        <v>2</v>
      </c>
      <c r="D77" s="188">
        <v>3</v>
      </c>
      <c r="E77" s="71">
        <v>4</v>
      </c>
      <c r="F77" s="71">
        <f>+E77+1</f>
        <v>5</v>
      </c>
      <c r="G77" s="71" t="s">
        <v>652</v>
      </c>
      <c r="H77" s="71">
        <v>7</v>
      </c>
      <c r="I77" s="72" t="s">
        <v>651</v>
      </c>
      <c r="J77" s="42" t="s">
        <v>650</v>
      </c>
      <c r="K77" s="42" t="s">
        <v>653</v>
      </c>
    </row>
    <row r="78" spans="1:12" x14ac:dyDescent="0.25">
      <c r="A78" s="163"/>
      <c r="B78" s="55"/>
      <c r="C78" s="55"/>
      <c r="D78" s="55"/>
      <c r="E78" s="55"/>
      <c r="F78" s="55"/>
      <c r="G78" s="55"/>
      <c r="H78" s="55"/>
      <c r="I78" s="55"/>
      <c r="J78" s="55"/>
      <c r="K78" s="55"/>
    </row>
    <row r="79" spans="1:12" x14ac:dyDescent="0.25">
      <c r="A79" s="155">
        <v>1</v>
      </c>
      <c r="B79" s="219" t="s">
        <v>767</v>
      </c>
      <c r="C79" s="81">
        <v>100000</v>
      </c>
      <c r="D79" s="145">
        <v>8693.16</v>
      </c>
      <c r="E79" s="43">
        <v>4</v>
      </c>
      <c r="F79" s="43"/>
      <c r="G79" s="169">
        <f t="shared" ref="G79:G80" si="28">+E79+F79</f>
        <v>4</v>
      </c>
      <c r="H79" s="56"/>
      <c r="I79" s="57">
        <f t="shared" ref="I79:I80" si="29">+G79-H79</f>
        <v>4</v>
      </c>
      <c r="J79" s="57">
        <f t="shared" ref="J79:J80" si="30">I79*C79</f>
        <v>400000</v>
      </c>
      <c r="K79" s="58">
        <f t="shared" ref="K79:K80" si="31">+D79*I79</f>
        <v>34772.639999999999</v>
      </c>
    </row>
    <row r="80" spans="1:12" ht="15.75" thickBot="1" x14ac:dyDescent="0.3">
      <c r="A80" s="156">
        <v>2</v>
      </c>
      <c r="B80" s="221" t="s">
        <v>771</v>
      </c>
      <c r="C80" s="83">
        <v>60000</v>
      </c>
      <c r="D80" s="148">
        <v>13622.62</v>
      </c>
      <c r="E80" s="157">
        <v>40</v>
      </c>
      <c r="F80" s="157"/>
      <c r="G80" s="200">
        <f t="shared" si="28"/>
        <v>40</v>
      </c>
      <c r="H80" s="59"/>
      <c r="I80" s="65">
        <f t="shared" si="29"/>
        <v>40</v>
      </c>
      <c r="J80" s="65">
        <f t="shared" si="30"/>
        <v>2400000</v>
      </c>
      <c r="K80" s="66">
        <f t="shared" si="31"/>
        <v>544904.80000000005</v>
      </c>
    </row>
    <row r="81" spans="1:12" ht="15.75" thickBot="1" x14ac:dyDescent="0.3">
      <c r="A81" s="131"/>
      <c r="B81" s="122" t="s">
        <v>674</v>
      </c>
      <c r="C81" s="36"/>
      <c r="D81" s="36"/>
      <c r="E81" s="29">
        <f>SUM(E79:E80)</f>
        <v>44</v>
      </c>
      <c r="F81" s="29"/>
      <c r="G81" s="29">
        <f>SUM(G79:G80)</f>
        <v>44</v>
      </c>
      <c r="H81" s="29">
        <f>SUM(H79:H80)</f>
        <v>0</v>
      </c>
      <c r="I81" s="29">
        <f>SUM(I79:I80)</f>
        <v>44</v>
      </c>
      <c r="J81" s="29">
        <f t="shared" ref="J81:K81" si="32">SUM(J79:J80)</f>
        <v>2800000</v>
      </c>
      <c r="K81" s="47">
        <f t="shared" si="32"/>
        <v>579677.44000000006</v>
      </c>
    </row>
    <row r="82" spans="1:12" ht="15.75" thickBot="1" x14ac:dyDescent="0.3">
      <c r="B82" s="164"/>
      <c r="C82" s="165"/>
      <c r="D82" s="166"/>
      <c r="E82" s="167"/>
      <c r="F82" s="68"/>
      <c r="G82" s="167"/>
      <c r="H82" s="167"/>
      <c r="I82" s="167"/>
      <c r="J82" s="167"/>
      <c r="K82" s="166"/>
    </row>
    <row r="83" spans="1:12" ht="15.75" thickBot="1" x14ac:dyDescent="0.3">
      <c r="A83" s="365" t="s">
        <v>657</v>
      </c>
      <c r="B83" s="372" t="s">
        <v>708</v>
      </c>
      <c r="C83" s="372" t="s">
        <v>1</v>
      </c>
      <c r="D83" s="373" t="s">
        <v>649</v>
      </c>
      <c r="E83" s="374" t="s">
        <v>19</v>
      </c>
      <c r="F83" s="374"/>
      <c r="G83" s="374"/>
      <c r="H83" s="374"/>
      <c r="I83" s="374"/>
      <c r="J83" s="368" t="s">
        <v>21</v>
      </c>
      <c r="K83" s="370" t="s">
        <v>602</v>
      </c>
    </row>
    <row r="84" spans="1:12" ht="45.75" thickBot="1" x14ac:dyDescent="0.3">
      <c r="A84" s="366"/>
      <c r="B84" s="372"/>
      <c r="C84" s="372"/>
      <c r="D84" s="373"/>
      <c r="E84" s="69" t="s">
        <v>22</v>
      </c>
      <c r="F84" s="69" t="s">
        <v>600</v>
      </c>
      <c r="G84" s="69" t="s">
        <v>601</v>
      </c>
      <c r="H84" s="69" t="s">
        <v>589</v>
      </c>
      <c r="I84" s="69" t="s">
        <v>601</v>
      </c>
      <c r="J84" s="369"/>
      <c r="K84" s="371"/>
    </row>
    <row r="85" spans="1:12" ht="15.75" thickBot="1" x14ac:dyDescent="0.3">
      <c r="A85" s="367"/>
      <c r="B85" s="188">
        <v>1</v>
      </c>
      <c r="C85" s="188">
        <v>2</v>
      </c>
      <c r="D85" s="188">
        <v>3</v>
      </c>
      <c r="E85" s="71">
        <v>4</v>
      </c>
      <c r="F85" s="71">
        <f>+E85+1</f>
        <v>5</v>
      </c>
      <c r="G85" s="71" t="s">
        <v>652</v>
      </c>
      <c r="H85" s="71">
        <v>7</v>
      </c>
      <c r="I85" s="72" t="s">
        <v>651</v>
      </c>
      <c r="J85" s="42" t="s">
        <v>650</v>
      </c>
      <c r="K85" s="42" t="s">
        <v>653</v>
      </c>
    </row>
    <row r="86" spans="1:12" x14ac:dyDescent="0.25">
      <c r="A86" s="163"/>
      <c r="B86" s="55"/>
      <c r="C86" s="55"/>
      <c r="D86" s="55"/>
      <c r="E86" s="55"/>
      <c r="F86" s="55"/>
      <c r="G86" s="55"/>
      <c r="H86" s="55"/>
      <c r="I86" s="55"/>
      <c r="J86" s="55"/>
      <c r="K86" s="55"/>
    </row>
    <row r="87" spans="1:12" x14ac:dyDescent="0.25">
      <c r="A87" s="155">
        <v>1</v>
      </c>
      <c r="B87" s="219" t="s">
        <v>489</v>
      </c>
      <c r="C87" s="81">
        <v>30000</v>
      </c>
      <c r="D87" s="145">
        <v>7897</v>
      </c>
      <c r="E87" s="61">
        <v>0</v>
      </c>
      <c r="F87" s="61"/>
      <c r="G87" s="169">
        <f t="shared" ref="G87:G90" si="33">+E87+F87</f>
        <v>0</v>
      </c>
      <c r="H87" s="56">
        <f>39-39</f>
        <v>0</v>
      </c>
      <c r="I87" s="57">
        <f t="shared" ref="I87:I90" si="34">+G87-H87</f>
        <v>0</v>
      </c>
      <c r="J87" s="57">
        <f t="shared" ref="J87:J90" si="35">I87*C87</f>
        <v>0</v>
      </c>
      <c r="K87" s="58">
        <f t="shared" ref="K87:K90" si="36">+D87*I87</f>
        <v>0</v>
      </c>
      <c r="L87" s="274">
        <f>+I87-39+39</f>
        <v>0</v>
      </c>
    </row>
    <row r="88" spans="1:12" x14ac:dyDescent="0.25">
      <c r="A88" s="155">
        <v>2</v>
      </c>
      <c r="B88" s="219" t="s">
        <v>740</v>
      </c>
      <c r="C88" s="81">
        <v>100000</v>
      </c>
      <c r="D88" s="145">
        <v>16171</v>
      </c>
      <c r="E88" s="61">
        <v>0</v>
      </c>
      <c r="F88" s="61"/>
      <c r="G88" s="169">
        <f t="shared" si="33"/>
        <v>0</v>
      </c>
      <c r="H88" s="56">
        <f>9-9</f>
        <v>0</v>
      </c>
      <c r="I88" s="57">
        <f t="shared" si="34"/>
        <v>0</v>
      </c>
      <c r="J88" s="57">
        <f t="shared" si="35"/>
        <v>0</v>
      </c>
      <c r="K88" s="58">
        <f t="shared" si="36"/>
        <v>0</v>
      </c>
    </row>
    <row r="89" spans="1:12" x14ac:dyDescent="0.25">
      <c r="A89" s="155">
        <v>3</v>
      </c>
      <c r="B89" s="219" t="s">
        <v>741</v>
      </c>
      <c r="C89" s="81">
        <v>60000</v>
      </c>
      <c r="D89" s="145">
        <v>16171</v>
      </c>
      <c r="E89" s="61">
        <v>0</v>
      </c>
      <c r="F89" s="61"/>
      <c r="G89" s="169">
        <f t="shared" si="33"/>
        <v>0</v>
      </c>
      <c r="H89" s="56"/>
      <c r="I89" s="57">
        <f t="shared" si="34"/>
        <v>0</v>
      </c>
      <c r="J89" s="57">
        <f t="shared" si="35"/>
        <v>0</v>
      </c>
      <c r="K89" s="58">
        <f t="shared" si="36"/>
        <v>0</v>
      </c>
    </row>
    <row r="90" spans="1:12" ht="15.75" thickBot="1" x14ac:dyDescent="0.3">
      <c r="A90" s="156">
        <v>4</v>
      </c>
      <c r="B90" s="221" t="s">
        <v>742</v>
      </c>
      <c r="C90" s="83">
        <v>350000</v>
      </c>
      <c r="D90" s="148"/>
      <c r="E90" s="159">
        <v>260</v>
      </c>
      <c r="F90" s="159"/>
      <c r="G90" s="200">
        <f t="shared" si="33"/>
        <v>260</v>
      </c>
      <c r="H90" s="59"/>
      <c r="I90" s="65">
        <f t="shared" si="34"/>
        <v>260</v>
      </c>
      <c r="J90" s="65">
        <f t="shared" si="35"/>
        <v>91000000</v>
      </c>
      <c r="K90" s="66">
        <f t="shared" si="36"/>
        <v>0</v>
      </c>
      <c r="L90" s="274">
        <f>+I90-260</f>
        <v>0</v>
      </c>
    </row>
    <row r="91" spans="1:12" ht="15.75" thickBot="1" x14ac:dyDescent="0.3">
      <c r="A91" s="131"/>
      <c r="B91" s="122" t="s">
        <v>676</v>
      </c>
      <c r="C91" s="36"/>
      <c r="D91" s="36"/>
      <c r="E91" s="36">
        <f>SUM(E87:E90)</f>
        <v>260</v>
      </c>
      <c r="F91" s="36"/>
      <c r="G91" s="36">
        <f>SUM(G87:G90)</f>
        <v>260</v>
      </c>
      <c r="H91" s="29">
        <f>SUM(H87:H90)</f>
        <v>0</v>
      </c>
      <c r="I91" s="36">
        <f>SUM(I87:I90)</f>
        <v>260</v>
      </c>
      <c r="J91" s="29">
        <f>SUM(J87:J90)</f>
        <v>91000000</v>
      </c>
      <c r="K91" s="47">
        <f>SUM(K87:K90)</f>
        <v>0</v>
      </c>
    </row>
    <row r="92" spans="1:12" ht="15.75" thickBot="1" x14ac:dyDescent="0.3">
      <c r="B92" s="164"/>
      <c r="C92" s="165"/>
      <c r="D92" s="166"/>
      <c r="E92" s="167"/>
      <c r="F92" s="68"/>
      <c r="G92" s="167"/>
      <c r="H92" s="167"/>
      <c r="I92" s="167"/>
      <c r="J92" s="167"/>
      <c r="K92" s="166"/>
    </row>
    <row r="93" spans="1:12" ht="15.75" thickBot="1" x14ac:dyDescent="0.3">
      <c r="A93" s="365" t="s">
        <v>657</v>
      </c>
      <c r="B93" s="372" t="s">
        <v>708</v>
      </c>
      <c r="C93" s="372" t="s">
        <v>1</v>
      </c>
      <c r="D93" s="373" t="s">
        <v>649</v>
      </c>
      <c r="E93" s="374" t="s">
        <v>19</v>
      </c>
      <c r="F93" s="374"/>
      <c r="G93" s="374"/>
      <c r="H93" s="374"/>
      <c r="I93" s="374"/>
      <c r="J93" s="368" t="s">
        <v>21</v>
      </c>
      <c r="K93" s="370" t="s">
        <v>602</v>
      </c>
    </row>
    <row r="94" spans="1:12" ht="45.75" thickBot="1" x14ac:dyDescent="0.3">
      <c r="A94" s="366"/>
      <c r="B94" s="372"/>
      <c r="C94" s="372"/>
      <c r="D94" s="373"/>
      <c r="E94" s="69" t="s">
        <v>22</v>
      </c>
      <c r="F94" s="69" t="s">
        <v>600</v>
      </c>
      <c r="G94" s="69" t="s">
        <v>601</v>
      </c>
      <c r="H94" s="69" t="s">
        <v>589</v>
      </c>
      <c r="I94" s="69" t="s">
        <v>601</v>
      </c>
      <c r="J94" s="369"/>
      <c r="K94" s="371"/>
    </row>
    <row r="95" spans="1:12" ht="15.75" thickBot="1" x14ac:dyDescent="0.3">
      <c r="A95" s="367"/>
      <c r="B95" s="188">
        <v>1</v>
      </c>
      <c r="C95" s="188">
        <v>2</v>
      </c>
      <c r="D95" s="188">
        <v>3</v>
      </c>
      <c r="E95" s="71">
        <v>4</v>
      </c>
      <c r="F95" s="71">
        <f>+E95+1</f>
        <v>5</v>
      </c>
      <c r="G95" s="71" t="s">
        <v>652</v>
      </c>
      <c r="H95" s="71">
        <v>7</v>
      </c>
      <c r="I95" s="72" t="s">
        <v>651</v>
      </c>
      <c r="J95" s="42" t="s">
        <v>650</v>
      </c>
      <c r="K95" s="42" t="s">
        <v>653</v>
      </c>
    </row>
    <row r="96" spans="1:12" x14ac:dyDescent="0.25">
      <c r="A96" s="163"/>
      <c r="B96" s="55"/>
      <c r="C96" s="55"/>
      <c r="D96" s="55"/>
      <c r="E96" s="55"/>
      <c r="F96" s="55"/>
      <c r="G96" s="55"/>
      <c r="H96" s="55"/>
      <c r="I96" s="55"/>
      <c r="J96" s="55"/>
      <c r="K96" s="55"/>
    </row>
    <row r="97" spans="1:12" x14ac:dyDescent="0.25">
      <c r="A97" s="155">
        <v>1</v>
      </c>
      <c r="B97" s="202" t="s">
        <v>490</v>
      </c>
      <c r="C97" s="176">
        <v>20000</v>
      </c>
      <c r="D97" s="194">
        <v>3753.24</v>
      </c>
      <c r="E97" s="61"/>
      <c r="F97" s="61"/>
      <c r="G97" s="169">
        <f t="shared" ref="G97:G98" si="37">+E97+F97</f>
        <v>0</v>
      </c>
      <c r="H97" s="56"/>
      <c r="I97" s="57">
        <f t="shared" ref="I97:I98" si="38">+G97-H97</f>
        <v>0</v>
      </c>
      <c r="J97" s="57">
        <f t="shared" ref="J97:J98" si="39">I97*C97</f>
        <v>0</v>
      </c>
      <c r="K97" s="58">
        <f t="shared" ref="K97:K98" si="40">+D97*I97</f>
        <v>0</v>
      </c>
    </row>
    <row r="98" spans="1:12" ht="15.75" thickBot="1" x14ac:dyDescent="0.3">
      <c r="A98" s="156">
        <v>2</v>
      </c>
      <c r="B98" s="231" t="s">
        <v>491</v>
      </c>
      <c r="C98" s="203">
        <v>30000</v>
      </c>
      <c r="D98" s="174">
        <v>9732.9599999999991</v>
      </c>
      <c r="E98" s="159"/>
      <c r="F98" s="159"/>
      <c r="G98" s="200">
        <f t="shared" si="37"/>
        <v>0</v>
      </c>
      <c r="H98" s="59"/>
      <c r="I98" s="65">
        <f t="shared" si="38"/>
        <v>0</v>
      </c>
      <c r="J98" s="65">
        <f t="shared" si="39"/>
        <v>0</v>
      </c>
      <c r="K98" s="66">
        <f t="shared" si="40"/>
        <v>0</v>
      </c>
    </row>
    <row r="99" spans="1:12" ht="15.75" thickBot="1" x14ac:dyDescent="0.3">
      <c r="A99" s="131"/>
      <c r="B99" s="122" t="s">
        <v>684</v>
      </c>
      <c r="C99" s="36"/>
      <c r="D99" s="36"/>
      <c r="E99" s="29">
        <f>SUM(E97:E98)</f>
        <v>0</v>
      </c>
      <c r="F99" s="29"/>
      <c r="G99" s="29">
        <f>SUM(G97:G98)</f>
        <v>0</v>
      </c>
      <c r="H99" s="29">
        <f>SUM(H97:H98)</f>
        <v>0</v>
      </c>
      <c r="I99" s="29">
        <f>SUM(I97:I98)</f>
        <v>0</v>
      </c>
      <c r="J99" s="29">
        <f t="shared" ref="J99:K99" si="41">SUM(J97:J98)</f>
        <v>0</v>
      </c>
      <c r="K99" s="29">
        <f t="shared" si="41"/>
        <v>0</v>
      </c>
    </row>
    <row r="100" spans="1:12" ht="15.75" thickBot="1" x14ac:dyDescent="0.3">
      <c r="B100" s="164"/>
      <c r="C100" s="165"/>
      <c r="D100" s="166"/>
      <c r="E100" s="167"/>
      <c r="F100" s="68"/>
      <c r="G100" s="167"/>
      <c r="H100" s="167"/>
      <c r="I100" s="167"/>
      <c r="J100" s="167"/>
      <c r="K100" s="166"/>
    </row>
    <row r="101" spans="1:12" ht="15.75" thickBot="1" x14ac:dyDescent="0.3">
      <c r="A101" s="365" t="s">
        <v>657</v>
      </c>
      <c r="B101" s="372" t="s">
        <v>708</v>
      </c>
      <c r="C101" s="372" t="s">
        <v>1</v>
      </c>
      <c r="D101" s="373" t="s">
        <v>649</v>
      </c>
      <c r="E101" s="374" t="s">
        <v>19</v>
      </c>
      <c r="F101" s="374"/>
      <c r="G101" s="374"/>
      <c r="H101" s="374"/>
      <c r="I101" s="374"/>
      <c r="J101" s="368" t="s">
        <v>21</v>
      </c>
      <c r="K101" s="370" t="s">
        <v>602</v>
      </c>
    </row>
    <row r="102" spans="1:12" ht="45.75" thickBot="1" x14ac:dyDescent="0.3">
      <c r="A102" s="366"/>
      <c r="B102" s="372"/>
      <c r="C102" s="372"/>
      <c r="D102" s="373"/>
      <c r="E102" s="69" t="s">
        <v>22</v>
      </c>
      <c r="F102" s="69" t="s">
        <v>600</v>
      </c>
      <c r="G102" s="69" t="s">
        <v>601</v>
      </c>
      <c r="H102" s="69" t="s">
        <v>589</v>
      </c>
      <c r="I102" s="69" t="s">
        <v>601</v>
      </c>
      <c r="J102" s="369"/>
      <c r="K102" s="371"/>
    </row>
    <row r="103" spans="1:12" ht="15.75" thickBot="1" x14ac:dyDescent="0.3">
      <c r="A103" s="367"/>
      <c r="B103" s="188">
        <v>1</v>
      </c>
      <c r="C103" s="188">
        <v>2</v>
      </c>
      <c r="D103" s="188">
        <v>3</v>
      </c>
      <c r="E103" s="71">
        <v>4</v>
      </c>
      <c r="F103" s="71">
        <f>+E103+1</f>
        <v>5</v>
      </c>
      <c r="G103" s="71" t="s">
        <v>652</v>
      </c>
      <c r="H103" s="71">
        <v>7</v>
      </c>
      <c r="I103" s="72" t="s">
        <v>651</v>
      </c>
      <c r="J103" s="42" t="s">
        <v>650</v>
      </c>
      <c r="K103" s="42" t="s">
        <v>653</v>
      </c>
    </row>
    <row r="104" spans="1:12" x14ac:dyDescent="0.25">
      <c r="A104" s="163"/>
      <c r="B104" s="55"/>
      <c r="C104" s="55"/>
      <c r="D104" s="55"/>
      <c r="E104" s="55"/>
      <c r="F104" s="55"/>
      <c r="G104" s="55"/>
      <c r="H104" s="55"/>
      <c r="I104" s="55"/>
      <c r="J104" s="55"/>
      <c r="K104" s="55"/>
    </row>
    <row r="105" spans="1:12" x14ac:dyDescent="0.25">
      <c r="A105" s="155">
        <v>1</v>
      </c>
      <c r="B105" s="202" t="s">
        <v>492</v>
      </c>
      <c r="C105" s="176">
        <v>35000</v>
      </c>
      <c r="D105" s="194">
        <v>8071</v>
      </c>
      <c r="E105" s="43">
        <v>0</v>
      </c>
      <c r="F105" s="61"/>
      <c r="G105" s="169">
        <f t="shared" ref="G105:G107" si="42">+E105+F105</f>
        <v>0</v>
      </c>
      <c r="H105" s="56">
        <f>450-450</f>
        <v>0</v>
      </c>
      <c r="I105" s="57">
        <f t="shared" ref="I105:I107" si="43">+G105-H105</f>
        <v>0</v>
      </c>
      <c r="J105" s="57">
        <f t="shared" ref="J105:J107" si="44">I105*C105</f>
        <v>0</v>
      </c>
      <c r="K105" s="58">
        <f t="shared" ref="K105:K107" si="45">+D105*I105</f>
        <v>0</v>
      </c>
      <c r="L105" s="274">
        <f>+I105-450+450</f>
        <v>0</v>
      </c>
    </row>
    <row r="106" spans="1:12" x14ac:dyDescent="0.25">
      <c r="A106" s="155">
        <v>2</v>
      </c>
      <c r="B106" s="61" t="s">
        <v>493</v>
      </c>
      <c r="C106" s="43">
        <v>100000</v>
      </c>
      <c r="D106" s="178">
        <v>1925</v>
      </c>
      <c r="E106" s="43">
        <v>505</v>
      </c>
      <c r="F106" s="61"/>
      <c r="G106" s="169">
        <f t="shared" si="42"/>
        <v>505</v>
      </c>
      <c r="H106" s="56"/>
      <c r="I106" s="57">
        <f t="shared" si="43"/>
        <v>505</v>
      </c>
      <c r="J106" s="57">
        <f t="shared" si="44"/>
        <v>50500000</v>
      </c>
      <c r="K106" s="58">
        <f t="shared" si="45"/>
        <v>972125</v>
      </c>
    </row>
    <row r="107" spans="1:12" x14ac:dyDescent="0.25">
      <c r="A107" s="155">
        <v>3</v>
      </c>
      <c r="B107" s="124" t="s">
        <v>560</v>
      </c>
      <c r="C107" s="125">
        <v>50000</v>
      </c>
      <c r="D107" s="204">
        <v>10857.7</v>
      </c>
      <c r="E107" s="125">
        <v>0</v>
      </c>
      <c r="F107" s="61"/>
      <c r="G107" s="169">
        <f t="shared" si="42"/>
        <v>0</v>
      </c>
      <c r="H107" s="56">
        <f>330-330</f>
        <v>0</v>
      </c>
      <c r="I107" s="57">
        <f t="shared" si="43"/>
        <v>0</v>
      </c>
      <c r="J107" s="57">
        <f t="shared" si="44"/>
        <v>0</v>
      </c>
      <c r="K107" s="58">
        <f t="shared" si="45"/>
        <v>0</v>
      </c>
    </row>
    <row r="108" spans="1:12" x14ac:dyDescent="0.25">
      <c r="A108" s="155">
        <v>4</v>
      </c>
      <c r="B108" s="61" t="s">
        <v>635</v>
      </c>
      <c r="C108" s="43">
        <v>7500</v>
      </c>
      <c r="D108" s="61"/>
      <c r="E108" s="43">
        <v>100</v>
      </c>
      <c r="F108" s="61"/>
      <c r="G108" s="169">
        <f t="shared" ref="G108:G109" si="46">+E108+F108</f>
        <v>100</v>
      </c>
      <c r="H108" s="56"/>
      <c r="I108" s="57">
        <f t="shared" ref="I108:I109" si="47">+G108-H108</f>
        <v>100</v>
      </c>
      <c r="J108" s="57">
        <f t="shared" ref="J108:J109" si="48">I108*C108</f>
        <v>750000</v>
      </c>
      <c r="K108" s="58">
        <f t="shared" ref="K108:K109" si="49">+D108*I108</f>
        <v>0</v>
      </c>
    </row>
    <row r="109" spans="1:12" ht="15.75" thickBot="1" x14ac:dyDescent="0.3">
      <c r="A109" s="155">
        <v>5</v>
      </c>
      <c r="B109" s="217" t="s">
        <v>872</v>
      </c>
      <c r="C109" s="157">
        <v>130000</v>
      </c>
      <c r="D109" s="186">
        <v>17485</v>
      </c>
      <c r="E109" s="157">
        <v>50</v>
      </c>
      <c r="F109" s="159"/>
      <c r="G109" s="169">
        <f t="shared" si="46"/>
        <v>50</v>
      </c>
      <c r="H109" s="56"/>
      <c r="I109" s="57">
        <f t="shared" si="47"/>
        <v>50</v>
      </c>
      <c r="J109" s="57">
        <f t="shared" si="48"/>
        <v>6500000</v>
      </c>
      <c r="K109" s="58">
        <f t="shared" si="49"/>
        <v>874250</v>
      </c>
    </row>
    <row r="110" spans="1:12" ht="15.75" thickBot="1" x14ac:dyDescent="0.3">
      <c r="A110" s="131"/>
      <c r="B110" s="122" t="s">
        <v>719</v>
      </c>
      <c r="C110" s="36"/>
      <c r="D110" s="36"/>
      <c r="E110" s="29">
        <f>SUM(E105:E109)</f>
        <v>655</v>
      </c>
      <c r="F110" s="29">
        <f t="shared" ref="F110:K110" si="50">SUM(F105:F109)</f>
        <v>0</v>
      </c>
      <c r="G110" s="29">
        <f t="shared" si="50"/>
        <v>655</v>
      </c>
      <c r="H110" s="29">
        <f t="shared" si="50"/>
        <v>0</v>
      </c>
      <c r="I110" s="29">
        <f t="shared" si="50"/>
        <v>655</v>
      </c>
      <c r="J110" s="29">
        <f t="shared" si="50"/>
        <v>57750000</v>
      </c>
      <c r="K110" s="175">
        <f t="shared" si="50"/>
        <v>1846375</v>
      </c>
    </row>
    <row r="111" spans="1:12" ht="15.75" thickBot="1" x14ac:dyDescent="0.3">
      <c r="B111" s="164"/>
      <c r="C111" s="165"/>
      <c r="D111" s="166"/>
      <c r="E111" s="167"/>
      <c r="F111" s="68"/>
      <c r="G111" s="167"/>
      <c r="H111" s="167"/>
      <c r="I111" s="167"/>
      <c r="J111" s="167"/>
      <c r="K111" s="166"/>
    </row>
    <row r="112" spans="1:12" ht="15.75" thickBot="1" x14ac:dyDescent="0.3">
      <c r="A112" s="365" t="s">
        <v>657</v>
      </c>
      <c r="B112" s="372" t="s">
        <v>708</v>
      </c>
      <c r="C112" s="372" t="s">
        <v>1</v>
      </c>
      <c r="D112" s="373" t="s">
        <v>649</v>
      </c>
      <c r="E112" s="374" t="s">
        <v>19</v>
      </c>
      <c r="F112" s="374"/>
      <c r="G112" s="374"/>
      <c r="H112" s="374"/>
      <c r="I112" s="374"/>
      <c r="J112" s="368" t="s">
        <v>21</v>
      </c>
      <c r="K112" s="370" t="s">
        <v>602</v>
      </c>
    </row>
    <row r="113" spans="1:11" ht="45.75" thickBot="1" x14ac:dyDescent="0.3">
      <c r="A113" s="366"/>
      <c r="B113" s="372"/>
      <c r="C113" s="372"/>
      <c r="D113" s="373"/>
      <c r="E113" s="69" t="s">
        <v>22</v>
      </c>
      <c r="F113" s="69" t="s">
        <v>600</v>
      </c>
      <c r="G113" s="69" t="s">
        <v>601</v>
      </c>
      <c r="H113" s="69" t="s">
        <v>589</v>
      </c>
      <c r="I113" s="69" t="s">
        <v>601</v>
      </c>
      <c r="J113" s="369"/>
      <c r="K113" s="371"/>
    </row>
    <row r="114" spans="1:11" ht="15.75" thickBot="1" x14ac:dyDescent="0.3">
      <c r="A114" s="367"/>
      <c r="B114" s="188">
        <v>1</v>
      </c>
      <c r="C114" s="188">
        <v>2</v>
      </c>
      <c r="D114" s="188">
        <v>3</v>
      </c>
      <c r="E114" s="71">
        <v>4</v>
      </c>
      <c r="F114" s="71">
        <f>+E114+1</f>
        <v>5</v>
      </c>
      <c r="G114" s="71" t="s">
        <v>652</v>
      </c>
      <c r="H114" s="71">
        <v>7</v>
      </c>
      <c r="I114" s="72" t="s">
        <v>651</v>
      </c>
      <c r="J114" s="42" t="s">
        <v>650</v>
      </c>
      <c r="K114" s="42" t="s">
        <v>653</v>
      </c>
    </row>
    <row r="115" spans="1:11" x14ac:dyDescent="0.25">
      <c r="A115" s="163"/>
      <c r="B115" s="55"/>
      <c r="C115" s="55"/>
      <c r="D115" s="55"/>
      <c r="E115" s="55"/>
      <c r="F115" s="55"/>
      <c r="G115" s="55"/>
      <c r="H115" s="55"/>
      <c r="I115" s="55"/>
      <c r="J115" s="55"/>
      <c r="K115" s="55"/>
    </row>
    <row r="116" spans="1:11" x14ac:dyDescent="0.25">
      <c r="A116" s="155">
        <v>1</v>
      </c>
      <c r="B116" s="61" t="s">
        <v>598</v>
      </c>
      <c r="C116" s="43">
        <v>60000</v>
      </c>
      <c r="D116" s="178">
        <v>7150</v>
      </c>
      <c r="E116" s="43">
        <v>0</v>
      </c>
      <c r="F116" s="60"/>
      <c r="G116" s="169">
        <f t="shared" ref="G116:G117" si="51">+E116+F116</f>
        <v>0</v>
      </c>
      <c r="H116" s="142">
        <f>1000-1000</f>
        <v>0</v>
      </c>
      <c r="I116" s="57">
        <f t="shared" ref="I116:I117" si="52">+G116-H116</f>
        <v>0</v>
      </c>
      <c r="J116" s="57">
        <f t="shared" ref="J116:J117" si="53">I116*C116</f>
        <v>0</v>
      </c>
      <c r="K116" s="58">
        <f t="shared" ref="K116:K117" si="54">+D116*I116</f>
        <v>0</v>
      </c>
    </row>
    <row r="117" spans="1:11" ht="15.75" thickBot="1" x14ac:dyDescent="0.3">
      <c r="A117" s="156">
        <v>2</v>
      </c>
      <c r="B117" s="159" t="s">
        <v>624</v>
      </c>
      <c r="C117" s="157">
        <v>8000</v>
      </c>
      <c r="D117" s="195">
        <v>4989.0200000000004</v>
      </c>
      <c r="E117" s="157">
        <v>174</v>
      </c>
      <c r="F117" s="159"/>
      <c r="G117" s="200">
        <f t="shared" si="51"/>
        <v>174</v>
      </c>
      <c r="H117" s="59"/>
      <c r="I117" s="65">
        <f t="shared" si="52"/>
        <v>174</v>
      </c>
      <c r="J117" s="65">
        <f t="shared" si="53"/>
        <v>1392000</v>
      </c>
      <c r="K117" s="66">
        <f t="shared" si="54"/>
        <v>868089.4800000001</v>
      </c>
    </row>
    <row r="118" spans="1:11" ht="15.75" thickBot="1" x14ac:dyDescent="0.3">
      <c r="A118" s="131"/>
      <c r="B118" s="122" t="s">
        <v>688</v>
      </c>
      <c r="C118" s="36"/>
      <c r="D118" s="36"/>
      <c r="E118" s="29">
        <f>SUM(E116:E117)</f>
        <v>174</v>
      </c>
      <c r="F118" s="29">
        <f t="shared" ref="F118:K118" si="55">SUM(F116:F117)</f>
        <v>0</v>
      </c>
      <c r="G118" s="29">
        <f t="shared" si="55"/>
        <v>174</v>
      </c>
      <c r="H118" s="29">
        <f t="shared" si="55"/>
        <v>0</v>
      </c>
      <c r="I118" s="29">
        <f t="shared" si="55"/>
        <v>174</v>
      </c>
      <c r="J118" s="29">
        <f t="shared" si="55"/>
        <v>1392000</v>
      </c>
      <c r="K118" s="47">
        <f t="shared" si="55"/>
        <v>868089.4800000001</v>
      </c>
    </row>
    <row r="119" spans="1:11" ht="15.75" thickBot="1" x14ac:dyDescent="0.3"/>
    <row r="120" spans="1:11" ht="15.75" thickBot="1" x14ac:dyDescent="0.3">
      <c r="A120" s="365" t="s">
        <v>657</v>
      </c>
      <c r="B120" s="372" t="s">
        <v>708</v>
      </c>
      <c r="C120" s="372" t="s">
        <v>1</v>
      </c>
      <c r="D120" s="373" t="s">
        <v>649</v>
      </c>
      <c r="E120" s="374" t="s">
        <v>19</v>
      </c>
      <c r="F120" s="374"/>
      <c r="G120" s="374"/>
      <c r="H120" s="374"/>
      <c r="I120" s="374"/>
      <c r="J120" s="368" t="s">
        <v>21</v>
      </c>
      <c r="K120" s="370" t="s">
        <v>602</v>
      </c>
    </row>
    <row r="121" spans="1:11" ht="45.75" thickBot="1" x14ac:dyDescent="0.3">
      <c r="A121" s="366"/>
      <c r="B121" s="372"/>
      <c r="C121" s="372"/>
      <c r="D121" s="373"/>
      <c r="E121" s="69" t="s">
        <v>22</v>
      </c>
      <c r="F121" s="69" t="s">
        <v>600</v>
      </c>
      <c r="G121" s="69" t="s">
        <v>601</v>
      </c>
      <c r="H121" s="69" t="s">
        <v>589</v>
      </c>
      <c r="I121" s="69" t="s">
        <v>601</v>
      </c>
      <c r="J121" s="369"/>
      <c r="K121" s="371"/>
    </row>
    <row r="122" spans="1:11" ht="15.75" thickBot="1" x14ac:dyDescent="0.3">
      <c r="A122" s="367"/>
      <c r="B122" s="214">
        <v>1</v>
      </c>
      <c r="C122" s="214">
        <v>2</v>
      </c>
      <c r="D122" s="214">
        <v>3</v>
      </c>
      <c r="E122" s="71">
        <v>4</v>
      </c>
      <c r="F122" s="71">
        <f>+E122+1</f>
        <v>5</v>
      </c>
      <c r="G122" s="71" t="s">
        <v>652</v>
      </c>
      <c r="H122" s="71">
        <v>7</v>
      </c>
      <c r="I122" s="72" t="s">
        <v>651</v>
      </c>
      <c r="J122" s="42" t="s">
        <v>650</v>
      </c>
      <c r="K122" s="42" t="s">
        <v>653</v>
      </c>
    </row>
    <row r="123" spans="1:11" x14ac:dyDescent="0.25">
      <c r="A123" s="163"/>
      <c r="B123" s="55"/>
      <c r="C123" s="55"/>
      <c r="D123" s="55"/>
      <c r="E123" s="55"/>
      <c r="F123" s="55"/>
      <c r="G123" s="55"/>
      <c r="H123" s="55"/>
      <c r="I123" s="55"/>
      <c r="J123" s="55"/>
      <c r="K123" s="55"/>
    </row>
    <row r="124" spans="1:11" x14ac:dyDescent="0.25">
      <c r="A124" s="155">
        <v>1</v>
      </c>
      <c r="B124" s="216" t="s">
        <v>799</v>
      </c>
      <c r="C124" s="43">
        <v>7500</v>
      </c>
      <c r="D124" s="178">
        <v>6764.25</v>
      </c>
      <c r="E124" s="43">
        <v>0</v>
      </c>
      <c r="F124" s="61"/>
      <c r="G124" s="169">
        <f t="shared" ref="G124:G127" si="56">+E124+F124</f>
        <v>0</v>
      </c>
      <c r="H124" s="56"/>
      <c r="I124" s="57">
        <f t="shared" ref="I124:I127" si="57">+G124-H124</f>
        <v>0</v>
      </c>
      <c r="J124" s="57">
        <f t="shared" ref="J124:J127" si="58">I124*C124</f>
        <v>0</v>
      </c>
      <c r="K124" s="58">
        <f t="shared" ref="K124:K127" si="59">+D124*I124</f>
        <v>0</v>
      </c>
    </row>
    <row r="125" spans="1:11" x14ac:dyDescent="0.25">
      <c r="A125" s="173">
        <v>2</v>
      </c>
      <c r="B125" s="216" t="s">
        <v>798</v>
      </c>
      <c r="C125" s="43">
        <v>100000</v>
      </c>
      <c r="D125" s="204"/>
      <c r="E125" s="125">
        <v>0</v>
      </c>
      <c r="F125" s="124"/>
      <c r="G125" s="169">
        <f t="shared" ref="G125:G126" si="60">+E125+F125</f>
        <v>0</v>
      </c>
      <c r="H125" s="56"/>
      <c r="I125" s="57">
        <f t="shared" ref="I125:I126" si="61">+G125-H125</f>
        <v>0</v>
      </c>
      <c r="J125" s="57">
        <f t="shared" ref="J125:J126" si="62">I125*C125</f>
        <v>0</v>
      </c>
      <c r="K125" s="58">
        <f t="shared" ref="K125:K126" si="63">+D125*I125</f>
        <v>0</v>
      </c>
    </row>
    <row r="126" spans="1:11" x14ac:dyDescent="0.25">
      <c r="A126" s="155">
        <v>3</v>
      </c>
      <c r="B126" s="239" t="s">
        <v>800</v>
      </c>
      <c r="C126" s="125">
        <v>40000</v>
      </c>
      <c r="D126" s="204"/>
      <c r="E126" s="125">
        <v>0</v>
      </c>
      <c r="F126" s="124"/>
      <c r="G126" s="169">
        <f t="shared" si="60"/>
        <v>0</v>
      </c>
      <c r="H126" s="56"/>
      <c r="I126" s="57">
        <f t="shared" si="61"/>
        <v>0</v>
      </c>
      <c r="J126" s="57">
        <f t="shared" si="62"/>
        <v>0</v>
      </c>
      <c r="K126" s="58">
        <f t="shared" si="63"/>
        <v>0</v>
      </c>
    </row>
    <row r="127" spans="1:11" x14ac:dyDescent="0.25">
      <c r="A127" s="173">
        <v>4</v>
      </c>
      <c r="B127" s="239" t="s">
        <v>802</v>
      </c>
      <c r="C127" s="125">
        <v>80000</v>
      </c>
      <c r="D127" s="204">
        <v>0</v>
      </c>
      <c r="E127" s="125">
        <v>0</v>
      </c>
      <c r="F127" s="124"/>
      <c r="G127" s="197">
        <f t="shared" si="56"/>
        <v>0</v>
      </c>
      <c r="H127" s="110"/>
      <c r="I127" s="111">
        <f t="shared" si="57"/>
        <v>0</v>
      </c>
      <c r="J127" s="111">
        <f t="shared" si="58"/>
        <v>0</v>
      </c>
      <c r="K127" s="112">
        <f t="shared" si="59"/>
        <v>0</v>
      </c>
    </row>
    <row r="128" spans="1:11" x14ac:dyDescent="0.25">
      <c r="A128" s="155">
        <v>5</v>
      </c>
      <c r="B128" s="216" t="s">
        <v>806</v>
      </c>
      <c r="C128" s="43">
        <v>100000</v>
      </c>
      <c r="D128" s="178"/>
      <c r="E128" s="43"/>
      <c r="F128" s="61"/>
      <c r="G128" s="169"/>
      <c r="H128" s="56"/>
      <c r="I128" s="57"/>
      <c r="J128" s="57"/>
      <c r="K128" s="58"/>
    </row>
    <row r="129" spans="1:15" x14ac:dyDescent="0.25">
      <c r="A129" s="173">
        <v>6</v>
      </c>
      <c r="B129" s="216" t="s">
        <v>819</v>
      </c>
      <c r="C129" s="43">
        <v>20000</v>
      </c>
      <c r="D129" s="178">
        <v>1629</v>
      </c>
      <c r="E129" s="43">
        <v>0</v>
      </c>
      <c r="F129" s="60">
        <f>2000-2000</f>
        <v>0</v>
      </c>
      <c r="G129" s="269">
        <f t="shared" ref="G129:G136" si="64">+E129+F129</f>
        <v>0</v>
      </c>
      <c r="H129" s="270">
        <f>1000+100-1100+50-50</f>
        <v>0</v>
      </c>
      <c r="I129" s="111">
        <f t="shared" ref="I129:I131" si="65">+G129-H129</f>
        <v>0</v>
      </c>
      <c r="J129" s="111">
        <f t="shared" ref="J129:J131" si="66">I129*C129</f>
        <v>0</v>
      </c>
      <c r="K129" s="112">
        <f t="shared" ref="K129:K131" si="67">+D129*I129</f>
        <v>0</v>
      </c>
      <c r="L129" s="287"/>
      <c r="N129" s="267">
        <v>1000</v>
      </c>
      <c r="O129" s="267">
        <v>100</v>
      </c>
    </row>
    <row r="130" spans="1:15" x14ac:dyDescent="0.25">
      <c r="A130" s="155">
        <v>7</v>
      </c>
      <c r="B130" s="216" t="s">
        <v>820</v>
      </c>
      <c r="C130" s="43">
        <v>64000</v>
      </c>
      <c r="D130" s="178">
        <v>27632</v>
      </c>
      <c r="E130" s="43">
        <v>0</v>
      </c>
      <c r="F130" s="60">
        <f>2000-2000</f>
        <v>0</v>
      </c>
      <c r="G130" s="269">
        <f t="shared" si="64"/>
        <v>0</v>
      </c>
      <c r="H130" s="172">
        <f>2000-2000</f>
        <v>0</v>
      </c>
      <c r="I130" s="111">
        <f t="shared" si="65"/>
        <v>0</v>
      </c>
      <c r="J130" s="111">
        <f t="shared" si="66"/>
        <v>0</v>
      </c>
      <c r="K130" s="112">
        <f t="shared" si="67"/>
        <v>0</v>
      </c>
    </row>
    <row r="131" spans="1:15" x14ac:dyDescent="0.25">
      <c r="A131" s="173">
        <v>8</v>
      </c>
      <c r="B131" s="216" t="s">
        <v>821</v>
      </c>
      <c r="C131" s="43">
        <v>35000</v>
      </c>
      <c r="D131" s="178">
        <v>1474</v>
      </c>
      <c r="E131" s="43">
        <v>0</v>
      </c>
      <c r="F131" s="60">
        <f>500-500</f>
        <v>0</v>
      </c>
      <c r="G131" s="269">
        <f t="shared" si="64"/>
        <v>0</v>
      </c>
      <c r="H131" s="172">
        <f>500-500</f>
        <v>0</v>
      </c>
      <c r="I131" s="111">
        <f t="shared" si="65"/>
        <v>0</v>
      </c>
      <c r="J131" s="111">
        <f t="shared" si="66"/>
        <v>0</v>
      </c>
      <c r="K131" s="112">
        <f t="shared" si="67"/>
        <v>0</v>
      </c>
      <c r="N131" s="68"/>
    </row>
    <row r="132" spans="1:15" x14ac:dyDescent="0.25">
      <c r="A132" s="173">
        <v>9</v>
      </c>
      <c r="B132" s="239" t="s">
        <v>824</v>
      </c>
      <c r="C132" s="125">
        <v>64000</v>
      </c>
      <c r="D132" s="178">
        <v>23782</v>
      </c>
      <c r="E132" s="125">
        <v>750</v>
      </c>
      <c r="F132" s="271">
        <f>2000-2000+3000-3000</f>
        <v>0</v>
      </c>
      <c r="G132" s="269">
        <f t="shared" si="64"/>
        <v>750</v>
      </c>
      <c r="H132" s="172">
        <f>199+2150+100-2449+50</f>
        <v>50</v>
      </c>
      <c r="I132" s="111">
        <f t="shared" ref="I132" si="68">+G132-H132</f>
        <v>700</v>
      </c>
      <c r="J132" s="111">
        <f t="shared" ref="J132" si="69">I132*C132</f>
        <v>44800000</v>
      </c>
      <c r="K132" s="112">
        <f t="shared" ref="K132" si="70">+D132*I132</f>
        <v>16647400</v>
      </c>
      <c r="L132" s="287" t="s">
        <v>847</v>
      </c>
      <c r="M132" s="267">
        <v>199</v>
      </c>
      <c r="N132" s="272">
        <v>2150</v>
      </c>
      <c r="O132" s="267">
        <v>100</v>
      </c>
    </row>
    <row r="133" spans="1:15" x14ac:dyDescent="0.25">
      <c r="A133" s="155">
        <v>10</v>
      </c>
      <c r="B133" s="216" t="s">
        <v>827</v>
      </c>
      <c r="C133" s="43">
        <v>100000</v>
      </c>
      <c r="D133" s="298">
        <v>40400</v>
      </c>
      <c r="E133" s="43">
        <v>0</v>
      </c>
      <c r="F133" s="261">
        <f>450-450</f>
        <v>0</v>
      </c>
      <c r="G133" s="269">
        <f t="shared" si="64"/>
        <v>0</v>
      </c>
      <c r="H133" s="142">
        <f>200+250-450</f>
        <v>0</v>
      </c>
      <c r="I133" s="111">
        <f t="shared" ref="I133:I136" si="71">+G133-H133</f>
        <v>0</v>
      </c>
      <c r="J133" s="111">
        <f t="shared" ref="J133:J136" si="72">I133*C133</f>
        <v>0</v>
      </c>
      <c r="K133" s="112">
        <f t="shared" ref="K133:K136" si="73">+D133*I133</f>
        <v>0</v>
      </c>
      <c r="L133" s="258"/>
      <c r="M133" s="267">
        <v>200</v>
      </c>
      <c r="N133" s="272">
        <v>250</v>
      </c>
    </row>
    <row r="134" spans="1:15" x14ac:dyDescent="0.25">
      <c r="A134" s="155">
        <v>11</v>
      </c>
      <c r="B134" s="216" t="s">
        <v>834</v>
      </c>
      <c r="C134" s="43">
        <v>70000</v>
      </c>
      <c r="D134" s="298">
        <v>24007.5</v>
      </c>
      <c r="E134" s="43">
        <v>0</v>
      </c>
      <c r="F134" s="261">
        <f>100-100</f>
        <v>0</v>
      </c>
      <c r="G134" s="269">
        <f t="shared" si="64"/>
        <v>0</v>
      </c>
      <c r="H134" s="142">
        <f>100-100</f>
        <v>0</v>
      </c>
      <c r="I134" s="111">
        <f t="shared" si="71"/>
        <v>0</v>
      </c>
      <c r="J134" s="111">
        <f t="shared" si="72"/>
        <v>0</v>
      </c>
      <c r="K134" s="112">
        <f t="shared" si="73"/>
        <v>0</v>
      </c>
      <c r="L134" s="258"/>
      <c r="N134" s="265"/>
    </row>
    <row r="135" spans="1:15" x14ac:dyDescent="0.25">
      <c r="A135" s="155">
        <v>12</v>
      </c>
      <c r="B135" s="216" t="s">
        <v>863</v>
      </c>
      <c r="C135" s="43">
        <v>100000</v>
      </c>
      <c r="D135" s="178"/>
      <c r="E135" s="43">
        <v>0</v>
      </c>
      <c r="F135" s="216">
        <f>861-861</f>
        <v>0</v>
      </c>
      <c r="G135" s="197">
        <f t="shared" si="64"/>
        <v>0</v>
      </c>
      <c r="H135" s="56">
        <f>861-861</f>
        <v>0</v>
      </c>
      <c r="I135" s="111">
        <f t="shared" si="71"/>
        <v>0</v>
      </c>
      <c r="J135" s="111">
        <f t="shared" si="72"/>
        <v>0</v>
      </c>
      <c r="K135" s="112">
        <f t="shared" si="73"/>
        <v>0</v>
      </c>
      <c r="L135" s="258"/>
      <c r="N135" s="265"/>
    </row>
    <row r="136" spans="1:15" x14ac:dyDescent="0.25">
      <c r="A136" s="155">
        <v>13</v>
      </c>
      <c r="B136" s="216" t="s">
        <v>891</v>
      </c>
      <c r="C136" s="43">
        <v>50000</v>
      </c>
      <c r="D136" s="178">
        <v>13007.5</v>
      </c>
      <c r="E136" s="43">
        <v>0</v>
      </c>
      <c r="F136" s="216">
        <f>1500-1500</f>
        <v>0</v>
      </c>
      <c r="G136" s="197">
        <f t="shared" si="64"/>
        <v>0</v>
      </c>
      <c r="H136" s="56">
        <f>1500-1500</f>
        <v>0</v>
      </c>
      <c r="I136" s="111">
        <f t="shared" si="71"/>
        <v>0</v>
      </c>
      <c r="J136" s="111">
        <f t="shared" si="72"/>
        <v>0</v>
      </c>
      <c r="K136" s="112">
        <f t="shared" si="73"/>
        <v>0</v>
      </c>
      <c r="L136" s="258"/>
      <c r="N136" s="265"/>
    </row>
    <row r="137" spans="1:15" ht="15.75" thickBot="1" x14ac:dyDescent="0.3">
      <c r="A137" s="156"/>
      <c r="B137" s="217"/>
      <c r="C137" s="157"/>
      <c r="D137" s="195"/>
      <c r="E137" s="157"/>
      <c r="F137" s="217"/>
      <c r="G137" s="200"/>
      <c r="H137" s="59"/>
      <c r="I137" s="65"/>
      <c r="J137" s="65"/>
      <c r="K137" s="66"/>
      <c r="L137" s="258"/>
      <c r="N137" s="265"/>
    </row>
    <row r="138" spans="1:15" ht="15.75" thickBot="1" x14ac:dyDescent="0.3">
      <c r="A138" s="131"/>
      <c r="B138" s="122" t="s">
        <v>730</v>
      </c>
      <c r="C138" s="36"/>
      <c r="D138" s="36"/>
      <c r="E138" s="29">
        <f t="shared" ref="E138:K138" si="74">SUM(E124:E137)</f>
        <v>750</v>
      </c>
      <c r="F138" s="29">
        <f t="shared" si="74"/>
        <v>0</v>
      </c>
      <c r="G138" s="29">
        <f t="shared" si="74"/>
        <v>750</v>
      </c>
      <c r="H138" s="29">
        <f t="shared" si="74"/>
        <v>50</v>
      </c>
      <c r="I138" s="29">
        <f t="shared" si="74"/>
        <v>700</v>
      </c>
      <c r="J138" s="29">
        <f t="shared" si="74"/>
        <v>44800000</v>
      </c>
      <c r="K138" s="47">
        <f t="shared" si="74"/>
        <v>16647400</v>
      </c>
    </row>
    <row r="139" spans="1:15" ht="15.75" thickBot="1" x14ac:dyDescent="0.3"/>
    <row r="140" spans="1:15" ht="15.75" thickBot="1" x14ac:dyDescent="0.3">
      <c r="A140" s="365" t="s">
        <v>657</v>
      </c>
      <c r="B140" s="372" t="s">
        <v>708</v>
      </c>
      <c r="C140" s="372" t="s">
        <v>1</v>
      </c>
      <c r="D140" s="373" t="s">
        <v>649</v>
      </c>
      <c r="E140" s="374" t="s">
        <v>19</v>
      </c>
      <c r="F140" s="374"/>
      <c r="G140" s="374"/>
      <c r="H140" s="374"/>
      <c r="I140" s="374"/>
      <c r="J140" s="368" t="s">
        <v>21</v>
      </c>
      <c r="K140" s="370" t="s">
        <v>602</v>
      </c>
    </row>
    <row r="141" spans="1:15" ht="45.75" thickBot="1" x14ac:dyDescent="0.3">
      <c r="A141" s="366"/>
      <c r="B141" s="372"/>
      <c r="C141" s="372"/>
      <c r="D141" s="373"/>
      <c r="E141" s="69" t="s">
        <v>22</v>
      </c>
      <c r="F141" s="69" t="s">
        <v>600</v>
      </c>
      <c r="G141" s="69" t="s">
        <v>601</v>
      </c>
      <c r="H141" s="69" t="s">
        <v>589</v>
      </c>
      <c r="I141" s="69" t="s">
        <v>601</v>
      </c>
      <c r="J141" s="369"/>
      <c r="K141" s="371"/>
    </row>
    <row r="142" spans="1:15" ht="15.75" thickBot="1" x14ac:dyDescent="0.3">
      <c r="A142" s="367"/>
      <c r="B142" s="323">
        <v>1</v>
      </c>
      <c r="C142" s="323">
        <v>2</v>
      </c>
      <c r="D142" s="323">
        <v>3</v>
      </c>
      <c r="E142" s="71">
        <v>4</v>
      </c>
      <c r="F142" s="71">
        <f>+E142+1</f>
        <v>5</v>
      </c>
      <c r="G142" s="71" t="s">
        <v>652</v>
      </c>
      <c r="H142" s="71">
        <v>7</v>
      </c>
      <c r="I142" s="72" t="s">
        <v>651</v>
      </c>
      <c r="J142" s="42" t="s">
        <v>650</v>
      </c>
      <c r="K142" s="42" t="s">
        <v>653</v>
      </c>
    </row>
    <row r="143" spans="1:15" x14ac:dyDescent="0.25">
      <c r="A143" s="163"/>
      <c r="B143" s="55"/>
      <c r="C143" s="55"/>
      <c r="D143" s="55"/>
      <c r="E143" s="55"/>
      <c r="F143" s="55"/>
      <c r="G143" s="55"/>
      <c r="H143" s="55"/>
      <c r="I143" s="55"/>
      <c r="J143" s="55"/>
      <c r="K143" s="55"/>
    </row>
    <row r="144" spans="1:15" x14ac:dyDescent="0.25">
      <c r="A144" s="155">
        <v>1</v>
      </c>
      <c r="B144" s="216" t="s">
        <v>971</v>
      </c>
      <c r="C144" s="43">
        <v>100000</v>
      </c>
      <c r="D144" s="241">
        <v>0</v>
      </c>
      <c r="E144" s="43">
        <v>0</v>
      </c>
      <c r="F144" s="61">
        <f>4000-4000</f>
        <v>0</v>
      </c>
      <c r="G144" s="169">
        <f t="shared" ref="G144:G147" si="75">+E144+F144</f>
        <v>0</v>
      </c>
      <c r="H144" s="56">
        <f>4000-4000</f>
        <v>0</v>
      </c>
      <c r="I144" s="57">
        <f t="shared" ref="I144:I147" si="76">+G144-H144</f>
        <v>0</v>
      </c>
      <c r="J144" s="57">
        <f t="shared" ref="J144:J147" si="77">I144*C144</f>
        <v>0</v>
      </c>
      <c r="K144" s="58">
        <f t="shared" ref="K144:K147" si="78">+D144*I144</f>
        <v>0</v>
      </c>
    </row>
    <row r="145" spans="1:15" x14ac:dyDescent="0.25">
      <c r="A145" s="173">
        <v>2</v>
      </c>
      <c r="B145" s="216"/>
      <c r="C145" s="43"/>
      <c r="D145" s="241">
        <v>0</v>
      </c>
      <c r="E145" s="43">
        <v>0</v>
      </c>
      <c r="F145" s="124"/>
      <c r="G145" s="169">
        <f t="shared" si="75"/>
        <v>0</v>
      </c>
      <c r="H145" s="56"/>
      <c r="I145" s="57">
        <f t="shared" si="76"/>
        <v>0</v>
      </c>
      <c r="J145" s="57">
        <f t="shared" si="77"/>
        <v>0</v>
      </c>
      <c r="K145" s="58">
        <f t="shared" si="78"/>
        <v>0</v>
      </c>
    </row>
    <row r="146" spans="1:15" x14ac:dyDescent="0.25">
      <c r="A146" s="155">
        <v>3</v>
      </c>
      <c r="B146" s="239"/>
      <c r="C146" s="125"/>
      <c r="D146" s="241">
        <v>0</v>
      </c>
      <c r="E146" s="43">
        <v>0</v>
      </c>
      <c r="F146" s="124"/>
      <c r="G146" s="169">
        <f t="shared" si="75"/>
        <v>0</v>
      </c>
      <c r="H146" s="56"/>
      <c r="I146" s="57">
        <f t="shared" si="76"/>
        <v>0</v>
      </c>
      <c r="J146" s="57">
        <f t="shared" si="77"/>
        <v>0</v>
      </c>
      <c r="K146" s="58">
        <f t="shared" si="78"/>
        <v>0</v>
      </c>
    </row>
    <row r="147" spans="1:15" x14ac:dyDescent="0.25">
      <c r="A147" s="173">
        <v>4</v>
      </c>
      <c r="B147" s="239"/>
      <c r="C147" s="125"/>
      <c r="D147" s="241">
        <v>0</v>
      </c>
      <c r="E147" s="43">
        <v>0</v>
      </c>
      <c r="F147" s="124"/>
      <c r="G147" s="197">
        <f t="shared" si="75"/>
        <v>0</v>
      </c>
      <c r="H147" s="110"/>
      <c r="I147" s="111">
        <f t="shared" si="76"/>
        <v>0</v>
      </c>
      <c r="J147" s="111">
        <f t="shared" si="77"/>
        <v>0</v>
      </c>
      <c r="K147" s="112">
        <f t="shared" si="78"/>
        <v>0</v>
      </c>
    </row>
    <row r="148" spans="1:15" x14ac:dyDescent="0.25">
      <c r="A148" s="155">
        <v>5</v>
      </c>
      <c r="B148" s="216"/>
      <c r="C148" s="43"/>
      <c r="D148" s="241">
        <v>0</v>
      </c>
      <c r="E148" s="43">
        <v>0</v>
      </c>
      <c r="F148" s="61"/>
      <c r="G148" s="169"/>
      <c r="H148" s="56"/>
      <c r="I148" s="57"/>
      <c r="J148" s="57"/>
      <c r="K148" s="58"/>
    </row>
    <row r="149" spans="1:15" x14ac:dyDescent="0.25">
      <c r="A149" s="173">
        <v>6</v>
      </c>
      <c r="B149" s="216"/>
      <c r="C149" s="43"/>
      <c r="D149" s="241">
        <v>0</v>
      </c>
      <c r="E149" s="43">
        <v>0</v>
      </c>
      <c r="F149" s="60">
        <f>2000-2000</f>
        <v>0</v>
      </c>
      <c r="G149" s="269">
        <f t="shared" ref="G149:G156" si="79">+E149+F149</f>
        <v>0</v>
      </c>
      <c r="H149" s="270">
        <f>1000+100-1100</f>
        <v>0</v>
      </c>
      <c r="I149" s="111">
        <f t="shared" ref="I149:I156" si="80">+G149-H149</f>
        <v>0</v>
      </c>
      <c r="J149" s="111">
        <f t="shared" ref="J149:J156" si="81">I149*C149</f>
        <v>0</v>
      </c>
      <c r="K149" s="112">
        <f t="shared" ref="K149:K156" si="82">+D149*I149</f>
        <v>0</v>
      </c>
      <c r="L149" s="287"/>
      <c r="N149" s="267"/>
      <c r="O149" s="267"/>
    </row>
    <row r="150" spans="1:15" x14ac:dyDescent="0.25">
      <c r="A150" s="155">
        <v>7</v>
      </c>
      <c r="B150" s="216"/>
      <c r="C150" s="43"/>
      <c r="D150" s="241">
        <v>0</v>
      </c>
      <c r="E150" s="43">
        <v>0</v>
      </c>
      <c r="F150" s="60">
        <f>2000-2000</f>
        <v>0</v>
      </c>
      <c r="G150" s="269">
        <f t="shared" si="79"/>
        <v>0</v>
      </c>
      <c r="H150" s="172">
        <f>2000-2000</f>
        <v>0</v>
      </c>
      <c r="I150" s="111">
        <f t="shared" si="80"/>
        <v>0</v>
      </c>
      <c r="J150" s="111">
        <f t="shared" si="81"/>
        <v>0</v>
      </c>
      <c r="K150" s="112">
        <f t="shared" si="82"/>
        <v>0</v>
      </c>
    </row>
    <row r="151" spans="1:15" x14ac:dyDescent="0.25">
      <c r="A151" s="173">
        <v>8</v>
      </c>
      <c r="B151" s="216"/>
      <c r="C151" s="43"/>
      <c r="D151" s="241">
        <v>0</v>
      </c>
      <c r="E151" s="43">
        <v>0</v>
      </c>
      <c r="F151" s="60">
        <f>500-500</f>
        <v>0</v>
      </c>
      <c r="G151" s="269">
        <f t="shared" si="79"/>
        <v>0</v>
      </c>
      <c r="H151" s="172">
        <f>500-500</f>
        <v>0</v>
      </c>
      <c r="I151" s="111">
        <f t="shared" si="80"/>
        <v>0</v>
      </c>
      <c r="J151" s="111">
        <f t="shared" si="81"/>
        <v>0</v>
      </c>
      <c r="K151" s="112">
        <f t="shared" si="82"/>
        <v>0</v>
      </c>
      <c r="N151" s="68"/>
    </row>
    <row r="152" spans="1:15" x14ac:dyDescent="0.25">
      <c r="A152" s="173">
        <v>9</v>
      </c>
      <c r="B152" s="239"/>
      <c r="C152" s="125"/>
      <c r="D152" s="241">
        <v>0</v>
      </c>
      <c r="E152" s="43">
        <v>0</v>
      </c>
      <c r="F152" s="271">
        <f>2000-2000+3000-3000</f>
        <v>0</v>
      </c>
      <c r="G152" s="269">
        <f t="shared" si="79"/>
        <v>0</v>
      </c>
      <c r="H152" s="172">
        <f>199+2150+100-2449</f>
        <v>0</v>
      </c>
      <c r="I152" s="111">
        <f t="shared" si="80"/>
        <v>0</v>
      </c>
      <c r="J152" s="111">
        <f t="shared" si="81"/>
        <v>0</v>
      </c>
      <c r="K152" s="112">
        <f t="shared" si="82"/>
        <v>0</v>
      </c>
      <c r="L152" s="287"/>
      <c r="M152" s="267"/>
      <c r="N152" s="272"/>
      <c r="O152" s="267"/>
    </row>
    <row r="153" spans="1:15" x14ac:dyDescent="0.25">
      <c r="A153" s="155">
        <v>10</v>
      </c>
      <c r="B153" s="216"/>
      <c r="C153" s="43"/>
      <c r="D153" s="241">
        <v>0</v>
      </c>
      <c r="E153" s="43">
        <v>0</v>
      </c>
      <c r="F153" s="261">
        <f>450-450</f>
        <v>0</v>
      </c>
      <c r="G153" s="269">
        <f t="shared" si="79"/>
        <v>0</v>
      </c>
      <c r="H153" s="142">
        <f>200+250-450</f>
        <v>0</v>
      </c>
      <c r="I153" s="111">
        <f t="shared" si="80"/>
        <v>0</v>
      </c>
      <c r="J153" s="111">
        <f t="shared" si="81"/>
        <v>0</v>
      </c>
      <c r="K153" s="112">
        <f t="shared" si="82"/>
        <v>0</v>
      </c>
      <c r="L153" s="258"/>
      <c r="M153" s="267"/>
      <c r="N153" s="272"/>
    </row>
    <row r="154" spans="1:15" x14ac:dyDescent="0.25">
      <c r="A154" s="155">
        <v>11</v>
      </c>
      <c r="B154" s="216"/>
      <c r="C154" s="43"/>
      <c r="D154" s="241">
        <v>0</v>
      </c>
      <c r="E154" s="43">
        <v>0</v>
      </c>
      <c r="F154" s="261">
        <f>100-100</f>
        <v>0</v>
      </c>
      <c r="G154" s="269">
        <f t="shared" si="79"/>
        <v>0</v>
      </c>
      <c r="H154" s="142">
        <f>100-100</f>
        <v>0</v>
      </c>
      <c r="I154" s="111">
        <f t="shared" si="80"/>
        <v>0</v>
      </c>
      <c r="J154" s="111">
        <f t="shared" si="81"/>
        <v>0</v>
      </c>
      <c r="K154" s="112">
        <f t="shared" si="82"/>
        <v>0</v>
      </c>
      <c r="L154" s="258"/>
      <c r="N154" s="265"/>
    </row>
    <row r="155" spans="1:15" x14ac:dyDescent="0.25">
      <c r="A155" s="155">
        <v>12</v>
      </c>
      <c r="B155" s="216"/>
      <c r="C155" s="43"/>
      <c r="D155" s="241">
        <v>0</v>
      </c>
      <c r="E155" s="43">
        <v>0</v>
      </c>
      <c r="F155" s="216">
        <f>861-861</f>
        <v>0</v>
      </c>
      <c r="G155" s="197">
        <f t="shared" si="79"/>
        <v>0</v>
      </c>
      <c r="H155" s="56">
        <f>861-861</f>
        <v>0</v>
      </c>
      <c r="I155" s="111">
        <f t="shared" si="80"/>
        <v>0</v>
      </c>
      <c r="J155" s="111">
        <f t="shared" si="81"/>
        <v>0</v>
      </c>
      <c r="K155" s="112">
        <f t="shared" si="82"/>
        <v>0</v>
      </c>
      <c r="L155" s="258"/>
      <c r="N155" s="265"/>
    </row>
    <row r="156" spans="1:15" x14ac:dyDescent="0.25">
      <c r="A156" s="155">
        <v>13</v>
      </c>
      <c r="B156" s="216"/>
      <c r="C156" s="43"/>
      <c r="D156" s="241">
        <v>0</v>
      </c>
      <c r="E156" s="43">
        <v>0</v>
      </c>
      <c r="F156" s="216">
        <f>1500-1500</f>
        <v>0</v>
      </c>
      <c r="G156" s="197">
        <f t="shared" si="79"/>
        <v>0</v>
      </c>
      <c r="H156" s="56">
        <f>1500-1500</f>
        <v>0</v>
      </c>
      <c r="I156" s="111">
        <f t="shared" si="80"/>
        <v>0</v>
      </c>
      <c r="J156" s="111">
        <f t="shared" si="81"/>
        <v>0</v>
      </c>
      <c r="K156" s="112">
        <f t="shared" si="82"/>
        <v>0</v>
      </c>
      <c r="L156" s="258"/>
      <c r="N156" s="265"/>
    </row>
    <row r="157" spans="1:15" ht="15.75" thickBot="1" x14ac:dyDescent="0.3">
      <c r="A157" s="156"/>
      <c r="B157" s="217"/>
      <c r="C157" s="157"/>
      <c r="D157" s="195"/>
      <c r="E157" s="157"/>
      <c r="F157" s="217"/>
      <c r="G157" s="200"/>
      <c r="H157" s="59"/>
      <c r="I157" s="65"/>
      <c r="J157" s="65"/>
      <c r="K157" s="66"/>
      <c r="L157" s="258"/>
      <c r="N157" s="265"/>
    </row>
    <row r="158" spans="1:15" ht="15.75" thickBot="1" x14ac:dyDescent="0.3">
      <c r="A158" s="131"/>
      <c r="B158" s="122" t="s">
        <v>916</v>
      </c>
      <c r="C158" s="36"/>
      <c r="D158" s="36"/>
      <c r="E158" s="29">
        <f t="shared" ref="E158:K158" si="83">SUM(E144:E157)</f>
        <v>0</v>
      </c>
      <c r="F158" s="29">
        <f t="shared" si="83"/>
        <v>0</v>
      </c>
      <c r="G158" s="29">
        <f t="shared" si="83"/>
        <v>0</v>
      </c>
      <c r="H158" s="29">
        <f t="shared" si="83"/>
        <v>0</v>
      </c>
      <c r="I158" s="29">
        <f t="shared" si="83"/>
        <v>0</v>
      </c>
      <c r="J158" s="29">
        <f t="shared" si="83"/>
        <v>0</v>
      </c>
      <c r="K158" s="47">
        <f t="shared" si="83"/>
        <v>0</v>
      </c>
    </row>
    <row r="160" spans="1:15" ht="15.75" thickBot="1" x14ac:dyDescent="0.3">
      <c r="A160" s="105" t="s">
        <v>717</v>
      </c>
    </row>
    <row r="161" spans="1:16" ht="15.75" thickBot="1" x14ac:dyDescent="0.3">
      <c r="A161" s="131"/>
      <c r="B161" s="41" t="s">
        <v>918</v>
      </c>
      <c r="C161" s="41"/>
      <c r="D161" s="41"/>
      <c r="E161" s="38">
        <f>+E28+E45+E55+E66+E73+E81+E91+E99+E110+E118+E138+E158</f>
        <v>7159</v>
      </c>
      <c r="F161" s="38">
        <f t="shared" ref="F161:J161" si="84">+F28+F45+F55+F66+F73+F81+F91+F99+F110+F118+F138+F158</f>
        <v>0</v>
      </c>
      <c r="G161" s="38">
        <f t="shared" si="84"/>
        <v>7159</v>
      </c>
      <c r="H161" s="38">
        <f t="shared" si="84"/>
        <v>50</v>
      </c>
      <c r="I161" s="38">
        <f t="shared" si="84"/>
        <v>7109</v>
      </c>
      <c r="J161" s="38">
        <f t="shared" si="84"/>
        <v>428288500</v>
      </c>
      <c r="K161" s="280">
        <f>+K28+K45+K55+K66+K73+K81+K91+K99+K110+K118+K138+K158</f>
        <v>72408272.489999995</v>
      </c>
      <c r="L161" s="53">
        <v>7159</v>
      </c>
      <c r="M161" s="53">
        <v>431488500</v>
      </c>
      <c r="N161" s="53">
        <v>73597372.489999995</v>
      </c>
      <c r="P161" s="53" t="s">
        <v>831</v>
      </c>
    </row>
    <row r="162" spans="1:16" x14ac:dyDescent="0.25">
      <c r="L162" s="189">
        <f>+L161-I161</f>
        <v>50</v>
      </c>
      <c r="M162" s="189">
        <f t="shared" ref="M162:N162" si="85">+M161-J161</f>
        <v>3200000</v>
      </c>
      <c r="N162" s="189">
        <f t="shared" si="85"/>
        <v>1189100</v>
      </c>
    </row>
    <row r="163" spans="1:16" x14ac:dyDescent="0.25">
      <c r="L163" s="53">
        <v>5</v>
      </c>
    </row>
  </sheetData>
  <mergeCells count="84">
    <mergeCell ref="J120:J121"/>
    <mergeCell ref="K120:K121"/>
    <mergeCell ref="A120:A122"/>
    <mergeCell ref="B120:B121"/>
    <mergeCell ref="C120:C121"/>
    <mergeCell ref="D120:D121"/>
    <mergeCell ref="E120:I120"/>
    <mergeCell ref="K101:K102"/>
    <mergeCell ref="A112:A114"/>
    <mergeCell ref="B112:B113"/>
    <mergeCell ref="C112:C113"/>
    <mergeCell ref="D112:D113"/>
    <mergeCell ref="J112:J113"/>
    <mergeCell ref="K112:K113"/>
    <mergeCell ref="A101:A103"/>
    <mergeCell ref="B101:B102"/>
    <mergeCell ref="C101:C102"/>
    <mergeCell ref="D101:D102"/>
    <mergeCell ref="J101:J102"/>
    <mergeCell ref="E101:I101"/>
    <mergeCell ref="E112:I112"/>
    <mergeCell ref="K83:K84"/>
    <mergeCell ref="A93:A95"/>
    <mergeCell ref="B93:B94"/>
    <mergeCell ref="C93:C94"/>
    <mergeCell ref="D93:D94"/>
    <mergeCell ref="J93:J94"/>
    <mergeCell ref="K93:K94"/>
    <mergeCell ref="A83:A85"/>
    <mergeCell ref="B83:B84"/>
    <mergeCell ref="C83:C84"/>
    <mergeCell ref="D83:D84"/>
    <mergeCell ref="J83:J84"/>
    <mergeCell ref="E83:I83"/>
    <mergeCell ref="E93:I93"/>
    <mergeCell ref="K68:K69"/>
    <mergeCell ref="A75:A77"/>
    <mergeCell ref="B75:B76"/>
    <mergeCell ref="C75:C76"/>
    <mergeCell ref="D75:D76"/>
    <mergeCell ref="J75:J76"/>
    <mergeCell ref="K75:K76"/>
    <mergeCell ref="A68:A70"/>
    <mergeCell ref="B68:B69"/>
    <mergeCell ref="C68:C69"/>
    <mergeCell ref="D68:D69"/>
    <mergeCell ref="J68:J69"/>
    <mergeCell ref="E75:I75"/>
    <mergeCell ref="E68:I68"/>
    <mergeCell ref="K47:K48"/>
    <mergeCell ref="A57:A59"/>
    <mergeCell ref="B57:B58"/>
    <mergeCell ref="C57:C58"/>
    <mergeCell ref="D57:D58"/>
    <mergeCell ref="J57:J58"/>
    <mergeCell ref="K57:K58"/>
    <mergeCell ref="A47:A49"/>
    <mergeCell ref="B47:B48"/>
    <mergeCell ref="C47:C48"/>
    <mergeCell ref="D47:D48"/>
    <mergeCell ref="J47:J48"/>
    <mergeCell ref="E47:I47"/>
    <mergeCell ref="E57:I57"/>
    <mergeCell ref="K3:K4"/>
    <mergeCell ref="A30:A32"/>
    <mergeCell ref="B30:B31"/>
    <mergeCell ref="C30:C31"/>
    <mergeCell ref="D30:D31"/>
    <mergeCell ref="J30:J31"/>
    <mergeCell ref="K30:K31"/>
    <mergeCell ref="A3:A5"/>
    <mergeCell ref="B3:B4"/>
    <mergeCell ref="C3:C4"/>
    <mergeCell ref="D3:D4"/>
    <mergeCell ref="J3:J4"/>
    <mergeCell ref="E3:I3"/>
    <mergeCell ref="E30:I30"/>
    <mergeCell ref="J140:J141"/>
    <mergeCell ref="K140:K141"/>
    <mergeCell ref="A140:A142"/>
    <mergeCell ref="B140:B141"/>
    <mergeCell ref="C140:C141"/>
    <mergeCell ref="D140:D141"/>
    <mergeCell ref="E140:I140"/>
  </mergeCells>
  <pageMargins left="0.19685039370078741" right="0.19685039370078741" top="0.19685039370078741" bottom="0" header="0.19685039370078741" footer="0"/>
  <pageSetup paperSize="9" scale="95"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7"/>
  <sheetViews>
    <sheetView topLeftCell="A20" workbookViewId="0">
      <selection activeCell="D26" sqref="D26"/>
    </sheetView>
  </sheetViews>
  <sheetFormatPr defaultRowHeight="15" x14ac:dyDescent="0.25"/>
  <cols>
    <col min="1" max="1" width="4.7109375" style="53" customWidth="1"/>
    <col min="2" max="2" width="20.5703125" style="53" customWidth="1"/>
    <col min="3" max="3" width="13.7109375" style="53" customWidth="1"/>
    <col min="4" max="4" width="12.42578125" style="53" customWidth="1"/>
    <col min="5" max="5" width="15.28515625" style="53" customWidth="1"/>
    <col min="6" max="6" width="13.28515625" style="53" customWidth="1"/>
    <col min="7" max="7" width="12.28515625" style="53" customWidth="1"/>
    <col min="8" max="8" width="11.5703125" style="53" customWidth="1"/>
    <col min="9" max="9" width="14.140625" style="53" customWidth="1"/>
    <col min="10" max="10" width="13.28515625" style="53" customWidth="1"/>
    <col min="11" max="11" width="15.42578125" style="53" customWidth="1"/>
    <col min="12" max="16384" width="9.140625" style="53"/>
  </cols>
  <sheetData>
    <row r="1" spans="1:16" x14ac:dyDescent="0.25">
      <c r="B1" s="190"/>
      <c r="C1" s="190"/>
      <c r="D1" s="190"/>
      <c r="E1" s="190"/>
      <c r="F1" s="190"/>
      <c r="G1" s="190"/>
      <c r="H1" s="190"/>
      <c r="I1" s="190"/>
      <c r="J1" s="190"/>
      <c r="K1" s="190"/>
    </row>
    <row r="2" spans="1:16" ht="15.75" thickBot="1" x14ac:dyDescent="0.3">
      <c r="A2" s="105" t="s">
        <v>720</v>
      </c>
      <c r="B2" s="190"/>
      <c r="C2" s="190"/>
      <c r="D2" s="190"/>
      <c r="E2" s="190"/>
      <c r="F2" s="190"/>
      <c r="G2" s="54" t="str">
        <f>A.Prangko!G2</f>
        <v>mei 2017</v>
      </c>
      <c r="H2" s="190"/>
      <c r="I2" s="190"/>
      <c r="J2" s="190"/>
      <c r="K2" s="190"/>
    </row>
    <row r="3" spans="1:16" ht="15.75" thickBot="1" x14ac:dyDescent="0.3">
      <c r="A3" s="365" t="s">
        <v>657</v>
      </c>
      <c r="B3" s="372" t="s">
        <v>708</v>
      </c>
      <c r="C3" s="372" t="s">
        <v>1</v>
      </c>
      <c r="D3" s="373" t="s">
        <v>649</v>
      </c>
      <c r="E3" s="374" t="s">
        <v>19</v>
      </c>
      <c r="F3" s="374"/>
      <c r="G3" s="374"/>
      <c r="H3" s="374"/>
      <c r="I3" s="374"/>
      <c r="J3" s="368" t="s">
        <v>21</v>
      </c>
      <c r="K3" s="370" t="s">
        <v>602</v>
      </c>
    </row>
    <row r="4" spans="1:16" ht="45.75" thickBot="1" x14ac:dyDescent="0.3">
      <c r="A4" s="366"/>
      <c r="B4" s="372"/>
      <c r="C4" s="372"/>
      <c r="D4" s="373"/>
      <c r="E4" s="69" t="s">
        <v>22</v>
      </c>
      <c r="F4" s="69" t="s">
        <v>600</v>
      </c>
      <c r="G4" s="69" t="s">
        <v>601</v>
      </c>
      <c r="H4" s="69" t="s">
        <v>589</v>
      </c>
      <c r="I4" s="69" t="s">
        <v>601</v>
      </c>
      <c r="J4" s="369"/>
      <c r="K4" s="371"/>
    </row>
    <row r="5" spans="1:16" ht="15.75" thickBot="1" x14ac:dyDescent="0.3">
      <c r="A5" s="367"/>
      <c r="B5" s="188">
        <v>1</v>
      </c>
      <c r="C5" s="188">
        <v>2</v>
      </c>
      <c r="D5" s="188">
        <v>3</v>
      </c>
      <c r="E5" s="71">
        <v>4</v>
      </c>
      <c r="F5" s="71">
        <f>+E5+1</f>
        <v>5</v>
      </c>
      <c r="G5" s="71" t="s">
        <v>652</v>
      </c>
      <c r="H5" s="71">
        <v>7</v>
      </c>
      <c r="I5" s="72" t="s">
        <v>651</v>
      </c>
      <c r="J5" s="42" t="s">
        <v>650</v>
      </c>
      <c r="K5" s="42" t="s">
        <v>653</v>
      </c>
    </row>
    <row r="6" spans="1:16" x14ac:dyDescent="0.25">
      <c r="A6" s="163"/>
      <c r="B6" s="55"/>
      <c r="C6" s="55"/>
      <c r="D6" s="55"/>
      <c r="E6" s="55"/>
      <c r="F6" s="55"/>
      <c r="G6" s="55"/>
      <c r="H6" s="55"/>
      <c r="I6" s="55"/>
      <c r="J6" s="55"/>
      <c r="K6" s="55"/>
      <c r="P6" s="53" t="s">
        <v>902</v>
      </c>
    </row>
    <row r="7" spans="1:16" x14ac:dyDescent="0.25">
      <c r="A7" s="155">
        <v>1</v>
      </c>
      <c r="B7" s="219" t="s">
        <v>494</v>
      </c>
      <c r="C7" s="81">
        <v>5000</v>
      </c>
      <c r="D7" s="145">
        <v>5500</v>
      </c>
      <c r="E7" s="43">
        <v>106</v>
      </c>
      <c r="F7" s="61">
        <f>16-16</f>
        <v>0</v>
      </c>
      <c r="G7" s="169">
        <f t="shared" ref="G7:G34" si="0">+E7+F7</f>
        <v>106</v>
      </c>
      <c r="H7" s="56">
        <f>16-16</f>
        <v>0</v>
      </c>
      <c r="I7" s="57">
        <f t="shared" ref="I7:I12" si="1">+G7-H7</f>
        <v>106</v>
      </c>
      <c r="J7" s="57">
        <f t="shared" ref="J7:J12" si="2">I7*C7</f>
        <v>530000</v>
      </c>
      <c r="K7" s="58">
        <f t="shared" ref="K7:K12" si="3">+D7*I7</f>
        <v>583000</v>
      </c>
      <c r="P7" s="53">
        <v>16</v>
      </c>
    </row>
    <row r="8" spans="1:16" x14ac:dyDescent="0.25">
      <c r="A8" s="155">
        <v>2</v>
      </c>
      <c r="B8" s="80" t="s">
        <v>495</v>
      </c>
      <c r="C8" s="81">
        <v>50000</v>
      </c>
      <c r="D8" s="145">
        <v>38170</v>
      </c>
      <c r="E8" s="43">
        <v>221</v>
      </c>
      <c r="F8" s="61"/>
      <c r="G8" s="169">
        <f t="shared" si="0"/>
        <v>221</v>
      </c>
      <c r="H8" s="56"/>
      <c r="I8" s="57">
        <f t="shared" si="1"/>
        <v>221</v>
      </c>
      <c r="J8" s="57">
        <f t="shared" si="2"/>
        <v>11050000</v>
      </c>
      <c r="K8" s="58">
        <f t="shared" si="3"/>
        <v>8435570</v>
      </c>
    </row>
    <row r="9" spans="1:16" x14ac:dyDescent="0.25">
      <c r="A9" s="155">
        <v>3</v>
      </c>
      <c r="B9" s="80" t="s">
        <v>496</v>
      </c>
      <c r="C9" s="81">
        <v>400000</v>
      </c>
      <c r="D9" s="145">
        <v>375000</v>
      </c>
      <c r="E9" s="43">
        <v>7</v>
      </c>
      <c r="F9" s="61"/>
      <c r="G9" s="169">
        <f t="shared" si="0"/>
        <v>7</v>
      </c>
      <c r="H9" s="56"/>
      <c r="I9" s="57">
        <f t="shared" si="1"/>
        <v>7</v>
      </c>
      <c r="J9" s="57">
        <f t="shared" si="2"/>
        <v>2800000</v>
      </c>
      <c r="K9" s="58">
        <f t="shared" si="3"/>
        <v>2625000</v>
      </c>
    </row>
    <row r="10" spans="1:16" x14ac:dyDescent="0.25">
      <c r="A10" s="155">
        <v>4</v>
      </c>
      <c r="B10" s="80" t="s">
        <v>497</v>
      </c>
      <c r="C10" s="81">
        <v>750</v>
      </c>
      <c r="D10" s="145">
        <v>250</v>
      </c>
      <c r="E10" s="43">
        <v>69</v>
      </c>
      <c r="F10" s="60"/>
      <c r="G10" s="169">
        <f t="shared" si="0"/>
        <v>69</v>
      </c>
      <c r="H10" s="142"/>
      <c r="I10" s="57">
        <f t="shared" si="1"/>
        <v>69</v>
      </c>
      <c r="J10" s="57">
        <f t="shared" si="2"/>
        <v>51750</v>
      </c>
      <c r="K10" s="58">
        <f t="shared" si="3"/>
        <v>17250</v>
      </c>
    </row>
    <row r="11" spans="1:16" x14ac:dyDescent="0.25">
      <c r="A11" s="155">
        <v>5</v>
      </c>
      <c r="B11" s="80" t="s">
        <v>498</v>
      </c>
      <c r="C11" s="81">
        <v>125000</v>
      </c>
      <c r="D11" s="145">
        <v>134200</v>
      </c>
      <c r="E11" s="43">
        <v>179</v>
      </c>
      <c r="F11" s="60"/>
      <c r="G11" s="169">
        <f t="shared" si="0"/>
        <v>179</v>
      </c>
      <c r="H11" s="142"/>
      <c r="I11" s="57">
        <f t="shared" si="1"/>
        <v>179</v>
      </c>
      <c r="J11" s="57">
        <f t="shared" si="2"/>
        <v>22375000</v>
      </c>
      <c r="K11" s="58">
        <f t="shared" si="3"/>
        <v>24021800</v>
      </c>
    </row>
    <row r="12" spans="1:16" x14ac:dyDescent="0.25">
      <c r="A12" s="155">
        <v>6</v>
      </c>
      <c r="B12" s="80" t="s">
        <v>499</v>
      </c>
      <c r="C12" s="81">
        <v>75000</v>
      </c>
      <c r="D12" s="145">
        <f>45000+45000*10%</f>
        <v>49500</v>
      </c>
      <c r="E12" s="43">
        <v>0</v>
      </c>
      <c r="F12" s="60"/>
      <c r="G12" s="169">
        <f t="shared" si="0"/>
        <v>0</v>
      </c>
      <c r="H12" s="142"/>
      <c r="I12" s="57">
        <f t="shared" si="1"/>
        <v>0</v>
      </c>
      <c r="J12" s="57">
        <f t="shared" si="2"/>
        <v>0</v>
      </c>
      <c r="K12" s="58">
        <f t="shared" si="3"/>
        <v>0</v>
      </c>
    </row>
    <row r="13" spans="1:16" x14ac:dyDescent="0.25">
      <c r="A13" s="155">
        <v>7</v>
      </c>
      <c r="B13" s="80" t="s">
        <v>842</v>
      </c>
      <c r="C13" s="81">
        <v>8000</v>
      </c>
      <c r="D13" s="145">
        <v>7260</v>
      </c>
      <c r="E13" s="43">
        <v>600</v>
      </c>
      <c r="F13" s="60">
        <f>2000-2000</f>
        <v>0</v>
      </c>
      <c r="G13" s="169">
        <f t="shared" si="0"/>
        <v>600</v>
      </c>
      <c r="H13" s="142">
        <f>1200+100-1300+100-100</f>
        <v>0</v>
      </c>
      <c r="I13" s="57">
        <f t="shared" ref="I13:I15" si="4">+G13-H13</f>
        <v>600</v>
      </c>
      <c r="J13" s="57">
        <f t="shared" ref="J13:J15" si="5">I13*C13</f>
        <v>4800000</v>
      </c>
      <c r="K13" s="58">
        <f t="shared" ref="K13:K15" si="6">+D13*I13</f>
        <v>4356000</v>
      </c>
      <c r="L13" s="258" t="s">
        <v>1016</v>
      </c>
      <c r="N13" s="285"/>
      <c r="P13" s="53">
        <v>0</v>
      </c>
    </row>
    <row r="14" spans="1:16" x14ac:dyDescent="0.25">
      <c r="A14" s="155">
        <v>8</v>
      </c>
      <c r="B14" s="80" t="s">
        <v>880</v>
      </c>
      <c r="C14" s="81">
        <v>18000</v>
      </c>
      <c r="D14" s="145">
        <v>9240</v>
      </c>
      <c r="E14" s="43">
        <v>620</v>
      </c>
      <c r="F14" s="60">
        <f>2000-2000</f>
        <v>0</v>
      </c>
      <c r="G14" s="169">
        <f t="shared" si="0"/>
        <v>620</v>
      </c>
      <c r="H14" s="142">
        <f>1200+100+80-1380</f>
        <v>0</v>
      </c>
      <c r="I14" s="57">
        <f t="shared" si="4"/>
        <v>620</v>
      </c>
      <c r="J14" s="57">
        <f t="shared" si="5"/>
        <v>11160000</v>
      </c>
      <c r="K14" s="58">
        <f t="shared" si="6"/>
        <v>5728800</v>
      </c>
      <c r="L14" t="s">
        <v>1015</v>
      </c>
      <c r="M14" s="53">
        <v>1200</v>
      </c>
      <c r="N14" s="53">
        <v>100</v>
      </c>
      <c r="O14" s="53">
        <v>80</v>
      </c>
      <c r="P14" s="53">
        <v>1380</v>
      </c>
    </row>
    <row r="15" spans="1:16" x14ac:dyDescent="0.25">
      <c r="A15" s="155">
        <v>9</v>
      </c>
      <c r="B15" s="80" t="s">
        <v>888</v>
      </c>
      <c r="C15" s="81">
        <v>2500</v>
      </c>
      <c r="D15" s="145">
        <v>2090</v>
      </c>
      <c r="E15" s="43">
        <v>0</v>
      </c>
      <c r="F15" s="60">
        <f>500-500</f>
        <v>0</v>
      </c>
      <c r="G15" s="169">
        <f t="shared" si="0"/>
        <v>0</v>
      </c>
      <c r="H15" s="142">
        <f>500-500</f>
        <v>0</v>
      </c>
      <c r="I15" s="57">
        <f t="shared" si="4"/>
        <v>0</v>
      </c>
      <c r="J15" s="57">
        <f t="shared" si="5"/>
        <v>0</v>
      </c>
      <c r="K15" s="58">
        <f t="shared" si="6"/>
        <v>0</v>
      </c>
      <c r="P15" s="53">
        <v>500</v>
      </c>
    </row>
    <row r="16" spans="1:16" x14ac:dyDescent="0.25">
      <c r="A16" s="155">
        <v>10</v>
      </c>
      <c r="B16" s="118" t="s">
        <v>897</v>
      </c>
      <c r="C16" s="119">
        <v>12000</v>
      </c>
      <c r="D16" s="193"/>
      <c r="E16" s="125">
        <v>0</v>
      </c>
      <c r="F16" s="121">
        <f>100-100</f>
        <v>0</v>
      </c>
      <c r="G16" s="169">
        <f t="shared" si="0"/>
        <v>0</v>
      </c>
      <c r="H16" s="172">
        <f>100-100</f>
        <v>0</v>
      </c>
      <c r="I16" s="57">
        <f t="shared" ref="I16:I35" si="7">+G16-H16</f>
        <v>0</v>
      </c>
      <c r="J16" s="57">
        <f t="shared" ref="J16:J35" si="8">I16*C16</f>
        <v>0</v>
      </c>
      <c r="K16" s="58">
        <f t="shared" ref="K16:K35" si="9">+D16*I16</f>
        <v>0</v>
      </c>
      <c r="P16" s="53">
        <v>100</v>
      </c>
    </row>
    <row r="17" spans="1:16" x14ac:dyDescent="0.25">
      <c r="A17" s="155">
        <v>11</v>
      </c>
      <c r="B17" s="118" t="s">
        <v>898</v>
      </c>
      <c r="C17" s="119">
        <v>12000</v>
      </c>
      <c r="D17" s="193"/>
      <c r="E17" s="125">
        <v>0</v>
      </c>
      <c r="F17" s="121">
        <f>25-25</f>
        <v>0</v>
      </c>
      <c r="G17" s="169">
        <f t="shared" si="0"/>
        <v>0</v>
      </c>
      <c r="H17" s="172">
        <f>25-25</f>
        <v>0</v>
      </c>
      <c r="I17" s="57">
        <f t="shared" si="7"/>
        <v>0</v>
      </c>
      <c r="J17" s="57">
        <f t="shared" si="8"/>
        <v>0</v>
      </c>
      <c r="K17" s="58">
        <f t="shared" si="9"/>
        <v>0</v>
      </c>
      <c r="P17" s="53">
        <v>25</v>
      </c>
    </row>
    <row r="18" spans="1:16" x14ac:dyDescent="0.25">
      <c r="A18" s="155">
        <v>12</v>
      </c>
      <c r="B18" s="308" t="s">
        <v>899</v>
      </c>
      <c r="C18" s="119">
        <v>15000</v>
      </c>
      <c r="D18" s="193"/>
      <c r="E18" s="125">
        <v>0</v>
      </c>
      <c r="F18" s="121">
        <f>25-25</f>
        <v>0</v>
      </c>
      <c r="G18" s="169">
        <f t="shared" si="0"/>
        <v>0</v>
      </c>
      <c r="H18" s="172">
        <f>25-25</f>
        <v>0</v>
      </c>
      <c r="I18" s="57">
        <f t="shared" si="7"/>
        <v>0</v>
      </c>
      <c r="J18" s="57">
        <f t="shared" si="8"/>
        <v>0</v>
      </c>
      <c r="K18" s="58">
        <f t="shared" si="9"/>
        <v>0</v>
      </c>
      <c r="P18" s="53">
        <v>25</v>
      </c>
    </row>
    <row r="19" spans="1:16" x14ac:dyDescent="0.25">
      <c r="A19" s="155">
        <v>13</v>
      </c>
      <c r="B19" s="118" t="s">
        <v>900</v>
      </c>
      <c r="C19" s="119">
        <v>120000</v>
      </c>
      <c r="D19" s="193">
        <v>115500</v>
      </c>
      <c r="E19" s="125">
        <v>0</v>
      </c>
      <c r="F19" s="121">
        <f>10-10</f>
        <v>0</v>
      </c>
      <c r="G19" s="169">
        <f t="shared" si="0"/>
        <v>0</v>
      </c>
      <c r="H19" s="172">
        <f>10-10</f>
        <v>0</v>
      </c>
      <c r="I19" s="57">
        <f t="shared" si="7"/>
        <v>0</v>
      </c>
      <c r="J19" s="57">
        <f t="shared" si="8"/>
        <v>0</v>
      </c>
      <c r="K19" s="58">
        <f t="shared" si="9"/>
        <v>0</v>
      </c>
      <c r="P19" s="53">
        <v>10</v>
      </c>
    </row>
    <row r="20" spans="1:16" x14ac:dyDescent="0.25">
      <c r="A20" s="155">
        <v>14</v>
      </c>
      <c r="B20" s="118" t="s">
        <v>901</v>
      </c>
      <c r="C20" s="119">
        <v>120000</v>
      </c>
      <c r="D20" s="193">
        <v>60500</v>
      </c>
      <c r="E20" s="125">
        <v>0</v>
      </c>
      <c r="F20" s="121">
        <f>25-25</f>
        <v>0</v>
      </c>
      <c r="G20" s="169">
        <f t="shared" si="0"/>
        <v>0</v>
      </c>
      <c r="H20" s="172">
        <f>25-25</f>
        <v>0</v>
      </c>
      <c r="I20" s="57">
        <f t="shared" si="7"/>
        <v>0</v>
      </c>
      <c r="J20" s="57">
        <f t="shared" si="8"/>
        <v>0</v>
      </c>
      <c r="K20" s="58">
        <f t="shared" si="9"/>
        <v>0</v>
      </c>
      <c r="P20" s="53">
        <v>25</v>
      </c>
    </row>
    <row r="21" spans="1:16" x14ac:dyDescent="0.25">
      <c r="A21" s="155">
        <v>15</v>
      </c>
      <c r="B21" s="80" t="s">
        <v>909</v>
      </c>
      <c r="C21" s="81">
        <v>80000</v>
      </c>
      <c r="D21" s="145"/>
      <c r="E21" s="43">
        <v>0</v>
      </c>
      <c r="F21" s="121">
        <f>50-50</f>
        <v>0</v>
      </c>
      <c r="G21" s="169">
        <f t="shared" si="0"/>
        <v>0</v>
      </c>
      <c r="H21" s="172">
        <f>50-50</f>
        <v>0</v>
      </c>
      <c r="I21" s="57">
        <f t="shared" si="7"/>
        <v>0</v>
      </c>
      <c r="J21" s="57">
        <f t="shared" si="8"/>
        <v>0</v>
      </c>
      <c r="K21" s="58">
        <f t="shared" si="9"/>
        <v>0</v>
      </c>
      <c r="P21" s="53">
        <v>50</v>
      </c>
    </row>
    <row r="22" spans="1:16" x14ac:dyDescent="0.25">
      <c r="A22" s="155">
        <v>16</v>
      </c>
      <c r="B22" s="316" t="s">
        <v>904</v>
      </c>
      <c r="C22" s="317">
        <v>800000</v>
      </c>
      <c r="D22" s="318">
        <v>357000</v>
      </c>
      <c r="E22" s="319">
        <v>678</v>
      </c>
      <c r="F22" s="60">
        <f>680-680</f>
        <v>0</v>
      </c>
      <c r="G22" s="169">
        <f t="shared" ref="G22:G27" si="10">+E22+F22</f>
        <v>678</v>
      </c>
      <c r="H22" s="172">
        <f>2-2</f>
        <v>0</v>
      </c>
      <c r="I22" s="57">
        <f t="shared" ref="I22:I27" si="11">+G22-H22</f>
        <v>678</v>
      </c>
      <c r="J22" s="57">
        <f t="shared" ref="J22:J27" si="12">I22*C22</f>
        <v>542400000</v>
      </c>
      <c r="K22" s="58">
        <f t="shared" ref="K22:K27" si="13">+D22*I22</f>
        <v>242046000</v>
      </c>
      <c r="L22" s="53" t="s">
        <v>905</v>
      </c>
      <c r="P22" s="53">
        <v>50</v>
      </c>
    </row>
    <row r="23" spans="1:16" x14ac:dyDescent="0.25">
      <c r="A23" s="155">
        <v>17</v>
      </c>
      <c r="B23" s="316" t="s">
        <v>929</v>
      </c>
      <c r="C23" s="317">
        <v>12000</v>
      </c>
      <c r="D23" s="318">
        <v>6160</v>
      </c>
      <c r="E23" s="125">
        <v>0</v>
      </c>
      <c r="F23" s="271">
        <f>2000-2000</f>
        <v>0</v>
      </c>
      <c r="G23" s="169">
        <f t="shared" si="10"/>
        <v>0</v>
      </c>
      <c r="H23" s="172">
        <f>1640+260+100-2000</f>
        <v>0</v>
      </c>
      <c r="I23" s="57">
        <f t="shared" si="11"/>
        <v>0</v>
      </c>
      <c r="J23" s="57">
        <f t="shared" si="12"/>
        <v>0</v>
      </c>
      <c r="K23" s="58">
        <f t="shared" si="13"/>
        <v>0</v>
      </c>
      <c r="O23" s="53" t="s">
        <v>966</v>
      </c>
    </row>
    <row r="24" spans="1:16" x14ac:dyDescent="0.25">
      <c r="A24" s="155">
        <v>18</v>
      </c>
      <c r="B24" s="316" t="s">
        <v>932</v>
      </c>
      <c r="C24" s="317">
        <v>12000</v>
      </c>
      <c r="D24" s="318">
        <v>6160</v>
      </c>
      <c r="E24" s="125">
        <v>90</v>
      </c>
      <c r="F24" s="121">
        <f>2000-2000</f>
        <v>0</v>
      </c>
      <c r="G24" s="169">
        <f t="shared" si="10"/>
        <v>90</v>
      </c>
      <c r="H24" s="172">
        <f>1140+100+100-1340+20+50+500-570</f>
        <v>0</v>
      </c>
      <c r="I24" s="57">
        <f t="shared" si="11"/>
        <v>90</v>
      </c>
      <c r="J24" s="57">
        <f t="shared" si="12"/>
        <v>1080000</v>
      </c>
      <c r="K24" s="58">
        <f t="shared" si="13"/>
        <v>554400</v>
      </c>
      <c r="L24" t="s">
        <v>1019</v>
      </c>
      <c r="M24" s="53">
        <v>1140</v>
      </c>
      <c r="N24" s="53">
        <v>100</v>
      </c>
      <c r="O24" s="53">
        <v>100</v>
      </c>
      <c r="P24" s="341">
        <f>100-100+50+500</f>
        <v>550</v>
      </c>
    </row>
    <row r="25" spans="1:16" x14ac:dyDescent="0.25">
      <c r="A25" s="155">
        <v>19</v>
      </c>
      <c r="B25" s="316" t="s">
        <v>969</v>
      </c>
      <c r="C25" s="317">
        <v>5000</v>
      </c>
      <c r="D25" s="318">
        <v>1155</v>
      </c>
      <c r="E25" s="43">
        <v>0</v>
      </c>
      <c r="F25" s="121">
        <f>20000-20000</f>
        <v>0</v>
      </c>
      <c r="G25" s="169">
        <f t="shared" si="10"/>
        <v>0</v>
      </c>
      <c r="H25" s="172">
        <f>20000-20000</f>
        <v>0</v>
      </c>
      <c r="I25" s="57">
        <f t="shared" si="11"/>
        <v>0</v>
      </c>
      <c r="J25" s="57">
        <f t="shared" si="12"/>
        <v>0</v>
      </c>
      <c r="K25" s="58">
        <f t="shared" si="13"/>
        <v>0</v>
      </c>
    </row>
    <row r="26" spans="1:16" x14ac:dyDescent="0.25">
      <c r="A26" s="155">
        <v>20</v>
      </c>
      <c r="B26" s="316" t="s">
        <v>996</v>
      </c>
      <c r="C26" s="317">
        <v>102000</v>
      </c>
      <c r="D26" s="318">
        <v>52360</v>
      </c>
      <c r="E26" s="318">
        <v>0</v>
      </c>
      <c r="F26" s="121">
        <v>453</v>
      </c>
      <c r="G26" s="169">
        <f t="shared" si="10"/>
        <v>453</v>
      </c>
      <c r="H26" s="172">
        <v>453</v>
      </c>
      <c r="I26" s="57">
        <f t="shared" si="11"/>
        <v>0</v>
      </c>
      <c r="J26" s="57">
        <f t="shared" si="12"/>
        <v>0</v>
      </c>
      <c r="K26" s="58">
        <f t="shared" si="13"/>
        <v>0</v>
      </c>
      <c r="L26" t="s">
        <v>1020</v>
      </c>
    </row>
    <row r="27" spans="1:16" x14ac:dyDescent="0.25">
      <c r="A27" s="155"/>
      <c r="B27" s="316"/>
      <c r="C27" s="317"/>
      <c r="D27" s="318"/>
      <c r="E27" s="318">
        <v>0</v>
      </c>
      <c r="F27" s="121">
        <v>0</v>
      </c>
      <c r="G27" s="169">
        <f t="shared" si="10"/>
        <v>0</v>
      </c>
      <c r="H27" s="172">
        <v>0</v>
      </c>
      <c r="I27" s="57">
        <f t="shared" si="11"/>
        <v>0</v>
      </c>
      <c r="J27" s="57">
        <f t="shared" si="12"/>
        <v>0</v>
      </c>
      <c r="K27" s="58">
        <f t="shared" si="13"/>
        <v>0</v>
      </c>
    </row>
    <row r="28" spans="1:16" x14ac:dyDescent="0.25">
      <c r="A28" s="155"/>
      <c r="B28" s="316"/>
      <c r="C28" s="317"/>
      <c r="D28" s="318"/>
      <c r="E28" s="319"/>
      <c r="F28" s="60"/>
      <c r="G28" s="169"/>
      <c r="H28" s="172">
        <v>0</v>
      </c>
      <c r="I28" s="57"/>
      <c r="J28" s="57"/>
      <c r="K28" s="58"/>
    </row>
    <row r="29" spans="1:16" x14ac:dyDescent="0.25">
      <c r="A29" s="155"/>
      <c r="B29" s="316"/>
      <c r="C29" s="317"/>
      <c r="D29" s="318"/>
      <c r="E29" s="319"/>
      <c r="F29" s="60"/>
      <c r="G29" s="169"/>
      <c r="H29" s="172"/>
      <c r="I29" s="57"/>
      <c r="J29" s="57"/>
      <c r="K29" s="58"/>
    </row>
    <row r="30" spans="1:16" x14ac:dyDescent="0.25">
      <c r="A30" s="155"/>
      <c r="B30" s="316"/>
      <c r="C30" s="317"/>
      <c r="D30" s="318"/>
      <c r="E30" s="319"/>
      <c r="F30" s="60"/>
      <c r="G30" s="169"/>
      <c r="H30" s="172"/>
      <c r="I30" s="57"/>
      <c r="J30" s="57"/>
      <c r="K30" s="58"/>
    </row>
    <row r="31" spans="1:16" x14ac:dyDescent="0.25">
      <c r="A31" s="155"/>
      <c r="B31" s="316"/>
      <c r="C31" s="317"/>
      <c r="D31" s="318"/>
      <c r="E31" s="319"/>
      <c r="F31" s="60"/>
      <c r="G31" s="169"/>
      <c r="H31" s="172"/>
      <c r="I31" s="57"/>
      <c r="J31" s="57"/>
      <c r="K31" s="58"/>
    </row>
    <row r="32" spans="1:16" x14ac:dyDescent="0.25">
      <c r="A32" s="155"/>
      <c r="B32" s="316"/>
      <c r="C32" s="317"/>
      <c r="D32" s="318"/>
      <c r="E32" s="319"/>
      <c r="F32" s="60"/>
      <c r="G32" s="169"/>
      <c r="H32" s="172"/>
      <c r="I32" s="57"/>
      <c r="J32" s="57"/>
      <c r="K32" s="58"/>
    </row>
    <row r="33" spans="1:16" x14ac:dyDescent="0.25">
      <c r="A33" s="155"/>
      <c r="B33" s="316"/>
      <c r="C33" s="317"/>
      <c r="D33" s="318"/>
      <c r="E33" s="319"/>
      <c r="F33" s="60"/>
      <c r="G33" s="169"/>
      <c r="H33" s="172"/>
      <c r="I33" s="57"/>
      <c r="J33" s="57"/>
      <c r="K33" s="58"/>
    </row>
    <row r="34" spans="1:16" x14ac:dyDescent="0.25">
      <c r="A34" s="155"/>
      <c r="B34" s="80"/>
      <c r="C34" s="81"/>
      <c r="D34" s="145"/>
      <c r="E34" s="43">
        <v>0</v>
      </c>
      <c r="F34" s="60">
        <f>50-50</f>
        <v>0</v>
      </c>
      <c r="G34" s="169">
        <f t="shared" si="0"/>
        <v>0</v>
      </c>
      <c r="H34" s="172">
        <f>50-50</f>
        <v>0</v>
      </c>
      <c r="I34" s="57">
        <f t="shared" ref="I34" si="14">+G34-H34</f>
        <v>0</v>
      </c>
      <c r="J34" s="57">
        <f t="shared" ref="J34" si="15">I34*C34</f>
        <v>0</v>
      </c>
      <c r="K34" s="58">
        <f t="shared" ref="K34" si="16">+D34*I34</f>
        <v>0</v>
      </c>
      <c r="P34" s="53">
        <v>50</v>
      </c>
    </row>
    <row r="35" spans="1:16" ht="15.75" thickBot="1" x14ac:dyDescent="0.3">
      <c r="A35" s="310"/>
      <c r="B35" s="311"/>
      <c r="C35" s="312"/>
      <c r="D35" s="313"/>
      <c r="E35" s="314">
        <v>0</v>
      </c>
      <c r="F35" s="121">
        <f>50-50</f>
        <v>0</v>
      </c>
      <c r="G35" s="169">
        <f t="shared" ref="G35" si="17">+E35+F35</f>
        <v>0</v>
      </c>
      <c r="H35" s="172">
        <f>50-50</f>
        <v>0</v>
      </c>
      <c r="I35" s="57">
        <f t="shared" si="7"/>
        <v>0</v>
      </c>
      <c r="J35" s="57">
        <f t="shared" si="8"/>
        <v>0</v>
      </c>
      <c r="K35" s="58">
        <f t="shared" si="9"/>
        <v>0</v>
      </c>
      <c r="P35" s="53">
        <v>50</v>
      </c>
    </row>
    <row r="36" spans="1:16" ht="15.75" thickBot="1" x14ac:dyDescent="0.3">
      <c r="A36" s="131"/>
      <c r="B36" s="122" t="s">
        <v>721</v>
      </c>
      <c r="C36" s="36"/>
      <c r="D36" s="36"/>
      <c r="E36" s="29">
        <f>SUM(E7:E35)</f>
        <v>2570</v>
      </c>
      <c r="F36" s="29">
        <f t="shared" ref="F36:K36" si="18">SUM(F7:F35)</f>
        <v>453</v>
      </c>
      <c r="G36" s="29">
        <f t="shared" si="18"/>
        <v>3023</v>
      </c>
      <c r="H36" s="29">
        <f t="shared" si="18"/>
        <v>453</v>
      </c>
      <c r="I36" s="29">
        <f t="shared" si="18"/>
        <v>2570</v>
      </c>
      <c r="J36" s="29">
        <f t="shared" si="18"/>
        <v>596246750</v>
      </c>
      <c r="K36" s="175">
        <f t="shared" si="18"/>
        <v>288367820</v>
      </c>
      <c r="L36" s="53">
        <v>2570</v>
      </c>
      <c r="M36" s="53">
        <v>596246750</v>
      </c>
      <c r="N36" s="53">
        <v>287813420</v>
      </c>
    </row>
    <row r="37" spans="1:16" x14ac:dyDescent="0.25">
      <c r="L37" s="189">
        <f>+L36-I36</f>
        <v>0</v>
      </c>
      <c r="M37" s="189">
        <f t="shared" ref="M37:N37" si="19">+M36-J36</f>
        <v>0</v>
      </c>
      <c r="N37" s="189">
        <f t="shared" si="19"/>
        <v>-554400</v>
      </c>
    </row>
  </sheetData>
  <mergeCells count="7">
    <mergeCell ref="J3:J4"/>
    <mergeCell ref="K3:K4"/>
    <mergeCell ref="E3:I3"/>
    <mergeCell ref="A3:A5"/>
    <mergeCell ref="B3:B4"/>
    <mergeCell ref="C3:C4"/>
    <mergeCell ref="D3:D4"/>
  </mergeCells>
  <pageMargins left="0.19685039370078741" right="0.19685039370078741" top="0.19685039370078741" bottom="0.19685039370078741" header="0.19685039370078741" footer="0.19685039370078741"/>
  <pageSetup paperSize="9" scale="98" orientation="landscape" horizontalDpi="120" verticalDpi="72"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K80"/>
  <sheetViews>
    <sheetView topLeftCell="A56" zoomScale="90" zoomScaleNormal="90" workbookViewId="0">
      <selection activeCell="D63" sqref="D63:D64"/>
    </sheetView>
  </sheetViews>
  <sheetFormatPr defaultRowHeight="15" x14ac:dyDescent="0.25"/>
  <cols>
    <col min="1" max="1" width="4.7109375" style="53" customWidth="1"/>
    <col min="2" max="2" width="32" style="53" customWidth="1"/>
    <col min="3" max="3" width="14.7109375" style="53" customWidth="1"/>
    <col min="4" max="4" width="14.5703125" style="53" customWidth="1"/>
    <col min="5" max="5" width="11.85546875" style="53" customWidth="1"/>
    <col min="6" max="6" width="12.85546875" style="53" customWidth="1"/>
    <col min="7" max="7" width="13.85546875" style="53" customWidth="1"/>
    <col min="8" max="8" width="11.85546875" style="53" customWidth="1"/>
    <col min="9" max="9" width="12.85546875" style="53" customWidth="1"/>
    <col min="10" max="10" width="16.140625" style="53" customWidth="1"/>
    <col min="11" max="11" width="16.85546875" style="53" customWidth="1"/>
    <col min="12" max="16384" width="9.140625" style="53"/>
  </cols>
  <sheetData>
    <row r="2" spans="1:15" ht="15.75" thickBot="1" x14ac:dyDescent="0.3">
      <c r="A2" s="105" t="s">
        <v>722</v>
      </c>
      <c r="F2" s="54" t="str">
        <f>A.Prangko!G2</f>
        <v>mei 2017</v>
      </c>
    </row>
    <row r="3" spans="1:15" ht="15.75" thickBot="1" x14ac:dyDescent="0.3">
      <c r="A3" s="365" t="s">
        <v>657</v>
      </c>
      <c r="B3" s="372" t="s">
        <v>708</v>
      </c>
      <c r="C3" s="372" t="s">
        <v>1</v>
      </c>
      <c r="D3" s="373" t="s">
        <v>649</v>
      </c>
      <c r="E3" s="374" t="s">
        <v>19</v>
      </c>
      <c r="F3" s="374"/>
      <c r="G3" s="374"/>
      <c r="H3" s="374"/>
      <c r="I3" s="374"/>
      <c r="J3" s="368" t="s">
        <v>21</v>
      </c>
      <c r="K3" s="370" t="s">
        <v>602</v>
      </c>
    </row>
    <row r="4" spans="1:15" ht="45.75" thickBot="1" x14ac:dyDescent="0.3">
      <c r="A4" s="366"/>
      <c r="B4" s="372"/>
      <c r="C4" s="372"/>
      <c r="D4" s="373"/>
      <c r="E4" s="69" t="s">
        <v>22</v>
      </c>
      <c r="F4" s="69" t="s">
        <v>600</v>
      </c>
      <c r="G4" s="69" t="s">
        <v>601</v>
      </c>
      <c r="H4" s="69" t="s">
        <v>589</v>
      </c>
      <c r="I4" s="69" t="s">
        <v>601</v>
      </c>
      <c r="J4" s="369"/>
      <c r="K4" s="371"/>
    </row>
    <row r="5" spans="1:15" ht="15.75" thickBot="1" x14ac:dyDescent="0.3">
      <c r="A5" s="367"/>
      <c r="B5" s="188">
        <v>1</v>
      </c>
      <c r="C5" s="188">
        <v>2</v>
      </c>
      <c r="D5" s="188">
        <v>3</v>
      </c>
      <c r="E5" s="71">
        <v>4</v>
      </c>
      <c r="F5" s="71">
        <f>+E5+1</f>
        <v>5</v>
      </c>
      <c r="G5" s="71" t="s">
        <v>652</v>
      </c>
      <c r="H5" s="71">
        <v>7</v>
      </c>
      <c r="I5" s="72" t="s">
        <v>651</v>
      </c>
      <c r="J5" s="42" t="s">
        <v>650</v>
      </c>
      <c r="K5" s="42" t="s">
        <v>653</v>
      </c>
    </row>
    <row r="6" spans="1:15" x14ac:dyDescent="0.25">
      <c r="A6" s="153">
        <v>1</v>
      </c>
      <c r="B6" s="74" t="s">
        <v>845</v>
      </c>
      <c r="C6" s="93">
        <v>30000</v>
      </c>
      <c r="D6" s="154">
        <v>2326.5</v>
      </c>
      <c r="E6" s="206">
        <v>4171</v>
      </c>
      <c r="F6" s="55"/>
      <c r="G6" s="207">
        <f t="shared" ref="G6:G10" si="0">+E6+F6</f>
        <v>4171</v>
      </c>
      <c r="H6" s="163">
        <f>10-10</f>
        <v>0</v>
      </c>
      <c r="I6" s="182">
        <f t="shared" ref="I6:I10" si="1">+G6-H6</f>
        <v>4171</v>
      </c>
      <c r="J6" s="182">
        <f t="shared" ref="J6:J10" si="2">I6*C6</f>
        <v>125130000</v>
      </c>
      <c r="K6" s="183">
        <f t="shared" ref="K6:K10" si="3">+D6*I6</f>
        <v>9703831.5</v>
      </c>
    </row>
    <row r="7" spans="1:15" x14ac:dyDescent="0.25">
      <c r="A7" s="155">
        <v>2</v>
      </c>
      <c r="B7" s="80" t="s">
        <v>500</v>
      </c>
      <c r="C7" s="81">
        <v>45000</v>
      </c>
      <c r="D7" s="145">
        <v>2326.5</v>
      </c>
      <c r="E7" s="43">
        <v>1252</v>
      </c>
      <c r="F7" s="61"/>
      <c r="G7" s="169">
        <f t="shared" si="0"/>
        <v>1252</v>
      </c>
      <c r="H7" s="56">
        <f>10-10</f>
        <v>0</v>
      </c>
      <c r="I7" s="57">
        <f t="shared" si="1"/>
        <v>1252</v>
      </c>
      <c r="J7" s="57">
        <f t="shared" si="2"/>
        <v>56340000</v>
      </c>
      <c r="K7" s="58">
        <f t="shared" si="3"/>
        <v>2912778</v>
      </c>
    </row>
    <row r="8" spans="1:15" x14ac:dyDescent="0.25">
      <c r="A8" s="155">
        <v>3</v>
      </c>
      <c r="B8" s="80" t="s">
        <v>501</v>
      </c>
      <c r="C8" s="81">
        <v>35000</v>
      </c>
      <c r="D8" s="145">
        <v>1311.34</v>
      </c>
      <c r="E8" s="43">
        <v>0</v>
      </c>
      <c r="F8" s="61"/>
      <c r="G8" s="169">
        <f t="shared" si="0"/>
        <v>0</v>
      </c>
      <c r="H8" s="56">
        <f>15-15</f>
        <v>0</v>
      </c>
      <c r="I8" s="57">
        <f t="shared" si="1"/>
        <v>0</v>
      </c>
      <c r="J8" s="57">
        <f t="shared" si="2"/>
        <v>0</v>
      </c>
      <c r="K8" s="58">
        <f t="shared" si="3"/>
        <v>0</v>
      </c>
      <c r="O8" s="53">
        <v>5478</v>
      </c>
    </row>
    <row r="9" spans="1:15" x14ac:dyDescent="0.25">
      <c r="A9" s="155">
        <v>4</v>
      </c>
      <c r="B9" s="80" t="s">
        <v>502</v>
      </c>
      <c r="C9" s="81">
        <v>45000</v>
      </c>
      <c r="D9" s="145">
        <v>1311.34</v>
      </c>
      <c r="E9" s="43">
        <v>0</v>
      </c>
      <c r="F9" s="61"/>
      <c r="G9" s="169">
        <f t="shared" si="0"/>
        <v>0</v>
      </c>
      <c r="H9" s="56">
        <f>15-15</f>
        <v>0</v>
      </c>
      <c r="I9" s="57">
        <f t="shared" si="1"/>
        <v>0</v>
      </c>
      <c r="J9" s="57">
        <f t="shared" si="2"/>
        <v>0</v>
      </c>
      <c r="K9" s="58">
        <f t="shared" si="3"/>
        <v>0</v>
      </c>
      <c r="O9" s="53">
        <v>50624</v>
      </c>
    </row>
    <row r="10" spans="1:15" ht="15.75" thickBot="1" x14ac:dyDescent="0.3">
      <c r="A10" s="156">
        <v>5</v>
      </c>
      <c r="B10" s="147" t="s">
        <v>503</v>
      </c>
      <c r="C10" s="83">
        <v>45000</v>
      </c>
      <c r="D10" s="148">
        <v>1311.34</v>
      </c>
      <c r="E10" s="157">
        <v>0</v>
      </c>
      <c r="F10" s="159"/>
      <c r="G10" s="200">
        <f t="shared" si="0"/>
        <v>0</v>
      </c>
      <c r="H10" s="59">
        <f>5-5</f>
        <v>0</v>
      </c>
      <c r="I10" s="65">
        <f t="shared" si="1"/>
        <v>0</v>
      </c>
      <c r="J10" s="65">
        <f t="shared" si="2"/>
        <v>0</v>
      </c>
      <c r="K10" s="66">
        <f t="shared" si="3"/>
        <v>0</v>
      </c>
      <c r="O10" s="53">
        <v>48514</v>
      </c>
    </row>
    <row r="11" spans="1:15" ht="15.75" thickBot="1" x14ac:dyDescent="0.3">
      <c r="A11" s="131"/>
      <c r="B11" s="122" t="s">
        <v>723</v>
      </c>
      <c r="C11" s="36"/>
      <c r="D11" s="36"/>
      <c r="E11" s="29">
        <f>SUM(E6:E10)</f>
        <v>5423</v>
      </c>
      <c r="F11" s="29">
        <f>SUM(F6:F10)</f>
        <v>0</v>
      </c>
      <c r="G11" s="29">
        <f>SUM(G6:G10)</f>
        <v>5423</v>
      </c>
      <c r="H11" s="29">
        <f>SUM(H6:H10)</f>
        <v>0</v>
      </c>
      <c r="I11" s="29">
        <f>SUM(I6:I10)</f>
        <v>5423</v>
      </c>
      <c r="J11" s="29">
        <f t="shared" ref="J11:K11" si="4">SUM(J6:J10)</f>
        <v>181470000</v>
      </c>
      <c r="K11" s="47">
        <f t="shared" si="4"/>
        <v>12616609.5</v>
      </c>
      <c r="O11" s="53">
        <v>33795</v>
      </c>
    </row>
    <row r="12" spans="1:15" ht="15.75" thickBot="1" x14ac:dyDescent="0.3">
      <c r="B12" s="164"/>
      <c r="C12" s="165"/>
      <c r="D12" s="166"/>
      <c r="E12" s="167"/>
      <c r="F12" s="68"/>
      <c r="G12" s="167"/>
      <c r="H12" s="167"/>
      <c r="I12" s="167"/>
      <c r="J12" s="167"/>
      <c r="K12" s="166"/>
    </row>
    <row r="13" spans="1:15" ht="15.75" thickBot="1" x14ac:dyDescent="0.3">
      <c r="A13" s="365" t="s">
        <v>657</v>
      </c>
      <c r="B13" s="372" t="s">
        <v>708</v>
      </c>
      <c r="C13" s="372" t="s">
        <v>1</v>
      </c>
      <c r="D13" s="373" t="s">
        <v>649</v>
      </c>
      <c r="E13" s="374" t="s">
        <v>19</v>
      </c>
      <c r="F13" s="374"/>
      <c r="G13" s="374"/>
      <c r="H13" s="374"/>
      <c r="I13" s="374"/>
      <c r="J13" s="368" t="s">
        <v>21</v>
      </c>
      <c r="K13" s="370" t="s">
        <v>602</v>
      </c>
    </row>
    <row r="14" spans="1:15" ht="45.75" thickBot="1" x14ac:dyDescent="0.3">
      <c r="A14" s="366"/>
      <c r="B14" s="372"/>
      <c r="C14" s="372"/>
      <c r="D14" s="373"/>
      <c r="E14" s="69" t="s">
        <v>22</v>
      </c>
      <c r="F14" s="69" t="s">
        <v>600</v>
      </c>
      <c r="G14" s="69" t="s">
        <v>601</v>
      </c>
      <c r="H14" s="69" t="s">
        <v>589</v>
      </c>
      <c r="I14" s="69" t="s">
        <v>601</v>
      </c>
      <c r="J14" s="369"/>
      <c r="K14" s="371"/>
    </row>
    <row r="15" spans="1:15" ht="15.75" thickBot="1" x14ac:dyDescent="0.3">
      <c r="A15" s="367"/>
      <c r="B15" s="188">
        <v>1</v>
      </c>
      <c r="C15" s="188">
        <v>2</v>
      </c>
      <c r="D15" s="188">
        <v>3</v>
      </c>
      <c r="E15" s="71">
        <v>4</v>
      </c>
      <c r="F15" s="71">
        <f>+E15+1</f>
        <v>5</v>
      </c>
      <c r="G15" s="71" t="s">
        <v>652</v>
      </c>
      <c r="H15" s="71">
        <v>7</v>
      </c>
      <c r="I15" s="72" t="s">
        <v>651</v>
      </c>
      <c r="J15" s="42" t="s">
        <v>650</v>
      </c>
      <c r="K15" s="42" t="s">
        <v>653</v>
      </c>
      <c r="M15" s="53" t="s">
        <v>903</v>
      </c>
      <c r="O15" s="242" t="s">
        <v>902</v>
      </c>
    </row>
    <row r="16" spans="1:15" x14ac:dyDescent="0.25">
      <c r="A16" s="153">
        <v>1</v>
      </c>
      <c r="B16" s="74" t="s">
        <v>504</v>
      </c>
      <c r="C16" s="93">
        <v>20000</v>
      </c>
      <c r="D16" s="154">
        <v>786.5</v>
      </c>
      <c r="E16" s="206">
        <v>32089</v>
      </c>
      <c r="F16" s="55"/>
      <c r="G16" s="207">
        <f t="shared" ref="G16:G34" si="5">+E16+F16</f>
        <v>32089</v>
      </c>
      <c r="H16" s="278">
        <f>900-900</f>
        <v>0</v>
      </c>
      <c r="I16" s="182">
        <f t="shared" ref="I16:I34" si="6">+G16-H16</f>
        <v>32089</v>
      </c>
      <c r="J16" s="182">
        <f t="shared" ref="J16:J34" si="7">I16*C16</f>
        <v>641780000</v>
      </c>
      <c r="K16" s="183">
        <f t="shared" ref="K16:K34" si="8">+D16*I16</f>
        <v>25237998.5</v>
      </c>
      <c r="M16" s="267">
        <v>900</v>
      </c>
      <c r="O16" s="53">
        <v>0</v>
      </c>
    </row>
    <row r="17" spans="1:15" x14ac:dyDescent="0.25">
      <c r="A17" s="155">
        <v>2</v>
      </c>
      <c r="B17" s="80" t="s">
        <v>505</v>
      </c>
      <c r="C17" s="81">
        <v>45000</v>
      </c>
      <c r="D17" s="145">
        <v>3224.22</v>
      </c>
      <c r="E17" s="43">
        <v>191</v>
      </c>
      <c r="F17" s="61"/>
      <c r="G17" s="169">
        <f t="shared" si="5"/>
        <v>191</v>
      </c>
      <c r="H17" s="155">
        <f>10-10</f>
        <v>0</v>
      </c>
      <c r="I17" s="57">
        <f t="shared" si="6"/>
        <v>191</v>
      </c>
      <c r="J17" s="57">
        <f t="shared" si="7"/>
        <v>8595000</v>
      </c>
      <c r="K17" s="58">
        <f t="shared" si="8"/>
        <v>615826.02</v>
      </c>
      <c r="O17" s="53">
        <v>0</v>
      </c>
    </row>
    <row r="18" spans="1:15" x14ac:dyDescent="0.25">
      <c r="A18" s="155">
        <v>3</v>
      </c>
      <c r="B18" s="80" t="s">
        <v>506</v>
      </c>
      <c r="C18" s="81">
        <v>45000</v>
      </c>
      <c r="D18" s="145">
        <v>3224.22</v>
      </c>
      <c r="E18" s="43">
        <v>165</v>
      </c>
      <c r="F18" s="61"/>
      <c r="G18" s="169">
        <f t="shared" si="5"/>
        <v>165</v>
      </c>
      <c r="H18" s="155">
        <f>4-4</f>
        <v>0</v>
      </c>
      <c r="I18" s="57">
        <f t="shared" si="6"/>
        <v>165</v>
      </c>
      <c r="J18" s="57">
        <f t="shared" si="7"/>
        <v>7425000</v>
      </c>
      <c r="K18" s="58">
        <f t="shared" si="8"/>
        <v>531996.29999999993</v>
      </c>
      <c r="O18" s="53">
        <v>0</v>
      </c>
    </row>
    <row r="19" spans="1:15" x14ac:dyDescent="0.25">
      <c r="A19" s="155">
        <v>4</v>
      </c>
      <c r="B19" s="80" t="s">
        <v>507</v>
      </c>
      <c r="C19" s="81">
        <v>45000</v>
      </c>
      <c r="D19" s="145">
        <v>3847.8</v>
      </c>
      <c r="E19" s="43">
        <v>32</v>
      </c>
      <c r="F19" s="61"/>
      <c r="G19" s="169">
        <f t="shared" si="5"/>
        <v>32</v>
      </c>
      <c r="H19" s="155">
        <f>10-10</f>
        <v>0</v>
      </c>
      <c r="I19" s="57">
        <f t="shared" si="6"/>
        <v>32</v>
      </c>
      <c r="J19" s="57">
        <f t="shared" si="7"/>
        <v>1440000</v>
      </c>
      <c r="K19" s="58">
        <f t="shared" si="8"/>
        <v>123129.60000000001</v>
      </c>
      <c r="O19" s="53">
        <v>0</v>
      </c>
    </row>
    <row r="20" spans="1:15" x14ac:dyDescent="0.25">
      <c r="A20" s="155">
        <v>5</v>
      </c>
      <c r="B20" s="80" t="s">
        <v>508</v>
      </c>
      <c r="C20" s="81">
        <v>45000</v>
      </c>
      <c r="D20" s="145">
        <v>3224.22</v>
      </c>
      <c r="E20" s="43">
        <v>1517</v>
      </c>
      <c r="F20" s="61"/>
      <c r="G20" s="169">
        <f t="shared" si="5"/>
        <v>1517</v>
      </c>
      <c r="H20" s="155">
        <f>10-10</f>
        <v>0</v>
      </c>
      <c r="I20" s="57">
        <f t="shared" si="6"/>
        <v>1517</v>
      </c>
      <c r="J20" s="57">
        <f t="shared" si="7"/>
        <v>68265000</v>
      </c>
      <c r="K20" s="58">
        <f t="shared" si="8"/>
        <v>4891141.7399999993</v>
      </c>
      <c r="O20" s="53">
        <v>0</v>
      </c>
    </row>
    <row r="21" spans="1:15" x14ac:dyDescent="0.25">
      <c r="A21" s="155">
        <v>6</v>
      </c>
      <c r="B21" s="80" t="s">
        <v>509</v>
      </c>
      <c r="C21" s="81">
        <v>30000</v>
      </c>
      <c r="D21" s="145">
        <v>3146</v>
      </c>
      <c r="E21" s="43">
        <v>3354</v>
      </c>
      <c r="F21" s="61">
        <f>100-100+100-100</f>
        <v>0</v>
      </c>
      <c r="G21" s="169">
        <f t="shared" si="5"/>
        <v>3354</v>
      </c>
      <c r="H21" s="155">
        <f>300-300+100-100+100-100</f>
        <v>0</v>
      </c>
      <c r="I21" s="57">
        <f t="shared" si="6"/>
        <v>3354</v>
      </c>
      <c r="J21" s="57">
        <f t="shared" si="7"/>
        <v>100620000</v>
      </c>
      <c r="K21" s="58">
        <f t="shared" si="8"/>
        <v>10551684</v>
      </c>
      <c r="M21" s="53">
        <v>100</v>
      </c>
      <c r="O21" s="53">
        <v>100</v>
      </c>
    </row>
    <row r="22" spans="1:15" x14ac:dyDescent="0.25">
      <c r="A22" s="155">
        <v>7</v>
      </c>
      <c r="B22" s="80" t="s">
        <v>510</v>
      </c>
      <c r="C22" s="81">
        <v>30000</v>
      </c>
      <c r="D22" s="145">
        <v>3146</v>
      </c>
      <c r="E22" s="43">
        <v>2646</v>
      </c>
      <c r="F22" s="61">
        <f>100-100+100-100</f>
        <v>0</v>
      </c>
      <c r="G22" s="169">
        <f t="shared" si="5"/>
        <v>2646</v>
      </c>
      <c r="H22" s="155">
        <f>300-300+100-100+100-100</f>
        <v>0</v>
      </c>
      <c r="I22" s="57">
        <f t="shared" si="6"/>
        <v>2646</v>
      </c>
      <c r="J22" s="57">
        <f t="shared" si="7"/>
        <v>79380000</v>
      </c>
      <c r="K22" s="58">
        <f t="shared" si="8"/>
        <v>8324316</v>
      </c>
      <c r="M22" s="53">
        <v>100</v>
      </c>
      <c r="O22" s="53">
        <v>100</v>
      </c>
    </row>
    <row r="23" spans="1:15" x14ac:dyDescent="0.25">
      <c r="A23" s="155">
        <v>8</v>
      </c>
      <c r="B23" s="80" t="s">
        <v>511</v>
      </c>
      <c r="C23" s="81">
        <v>30000</v>
      </c>
      <c r="D23" s="145">
        <v>3146</v>
      </c>
      <c r="E23" s="43">
        <v>74</v>
      </c>
      <c r="F23" s="61">
        <f>100-100+100-100</f>
        <v>0</v>
      </c>
      <c r="G23" s="169">
        <f t="shared" si="5"/>
        <v>74</v>
      </c>
      <c r="H23" s="155">
        <f>300-300+100-100+100-100</f>
        <v>0</v>
      </c>
      <c r="I23" s="57">
        <f t="shared" si="6"/>
        <v>74</v>
      </c>
      <c r="J23" s="57">
        <f t="shared" si="7"/>
        <v>2220000</v>
      </c>
      <c r="K23" s="58">
        <f t="shared" si="8"/>
        <v>232804</v>
      </c>
      <c r="M23" s="53">
        <v>100</v>
      </c>
      <c r="O23" s="53">
        <v>100</v>
      </c>
    </row>
    <row r="24" spans="1:15" x14ac:dyDescent="0.25">
      <c r="A24" s="155">
        <v>9</v>
      </c>
      <c r="B24" s="80" t="s">
        <v>512</v>
      </c>
      <c r="C24" s="81">
        <v>30000</v>
      </c>
      <c r="D24" s="145">
        <v>3146</v>
      </c>
      <c r="E24" s="43">
        <v>365</v>
      </c>
      <c r="F24" s="61">
        <f>100-100+100-100</f>
        <v>0</v>
      </c>
      <c r="G24" s="169">
        <f t="shared" si="5"/>
        <v>365</v>
      </c>
      <c r="H24" s="155">
        <f>300-300+100-100+100-100</f>
        <v>0</v>
      </c>
      <c r="I24" s="57">
        <f t="shared" si="6"/>
        <v>365</v>
      </c>
      <c r="J24" s="57">
        <f t="shared" si="7"/>
        <v>10950000</v>
      </c>
      <c r="K24" s="58">
        <f t="shared" si="8"/>
        <v>1148290</v>
      </c>
      <c r="M24" s="53">
        <v>100</v>
      </c>
      <c r="O24" s="53">
        <v>100</v>
      </c>
    </row>
    <row r="25" spans="1:15" x14ac:dyDescent="0.25">
      <c r="A25" s="155">
        <v>10</v>
      </c>
      <c r="B25" s="80" t="s">
        <v>513</v>
      </c>
      <c r="C25" s="81">
        <v>27000</v>
      </c>
      <c r="D25" s="145">
        <v>3542</v>
      </c>
      <c r="E25" s="43">
        <v>0</v>
      </c>
      <c r="F25" s="61"/>
      <c r="G25" s="169">
        <f t="shared" si="5"/>
        <v>0</v>
      </c>
      <c r="H25" s="56">
        <f>17-17</f>
        <v>0</v>
      </c>
      <c r="I25" s="57">
        <f t="shared" si="6"/>
        <v>0</v>
      </c>
      <c r="J25" s="57">
        <f t="shared" si="7"/>
        <v>0</v>
      </c>
      <c r="K25" s="58">
        <f t="shared" si="8"/>
        <v>0</v>
      </c>
      <c r="O25" s="53">
        <v>0</v>
      </c>
    </row>
    <row r="26" spans="1:15" x14ac:dyDescent="0.25">
      <c r="A26" s="155">
        <v>11</v>
      </c>
      <c r="B26" s="80" t="s">
        <v>514</v>
      </c>
      <c r="C26" s="81">
        <v>27000</v>
      </c>
      <c r="D26" s="145">
        <v>3542</v>
      </c>
      <c r="E26" s="43">
        <v>166</v>
      </c>
      <c r="F26" s="61"/>
      <c r="G26" s="169">
        <f t="shared" si="5"/>
        <v>166</v>
      </c>
      <c r="H26" s="56">
        <f>10-10</f>
        <v>0</v>
      </c>
      <c r="I26" s="57">
        <f t="shared" si="6"/>
        <v>166</v>
      </c>
      <c r="J26" s="57">
        <f t="shared" si="7"/>
        <v>4482000</v>
      </c>
      <c r="K26" s="58">
        <f t="shared" si="8"/>
        <v>587972</v>
      </c>
      <c r="O26" s="53">
        <v>0</v>
      </c>
    </row>
    <row r="27" spans="1:15" x14ac:dyDescent="0.25">
      <c r="A27" s="155">
        <v>12</v>
      </c>
      <c r="B27" s="80" t="s">
        <v>515</v>
      </c>
      <c r="C27" s="81">
        <v>27000</v>
      </c>
      <c r="D27" s="145">
        <v>3542</v>
      </c>
      <c r="E27" s="43">
        <v>11</v>
      </c>
      <c r="F27" s="61"/>
      <c r="G27" s="169">
        <f t="shared" si="5"/>
        <v>11</v>
      </c>
      <c r="H27" s="56">
        <f>1-1</f>
        <v>0</v>
      </c>
      <c r="I27" s="57">
        <f t="shared" si="6"/>
        <v>11</v>
      </c>
      <c r="J27" s="57">
        <f t="shared" si="7"/>
        <v>297000</v>
      </c>
      <c r="K27" s="58">
        <f t="shared" si="8"/>
        <v>38962</v>
      </c>
      <c r="O27" s="53">
        <v>0</v>
      </c>
    </row>
    <row r="28" spans="1:15" x14ac:dyDescent="0.25">
      <c r="A28" s="155">
        <v>13</v>
      </c>
      <c r="B28" s="80" t="s">
        <v>516</v>
      </c>
      <c r="C28" s="81">
        <v>27000</v>
      </c>
      <c r="D28" s="145">
        <v>3542</v>
      </c>
      <c r="E28" s="43">
        <v>157</v>
      </c>
      <c r="F28" s="61"/>
      <c r="G28" s="169">
        <f t="shared" si="5"/>
        <v>157</v>
      </c>
      <c r="H28" s="56">
        <f>10-10</f>
        <v>0</v>
      </c>
      <c r="I28" s="57">
        <f t="shared" si="6"/>
        <v>157</v>
      </c>
      <c r="J28" s="57">
        <f t="shared" si="7"/>
        <v>4239000</v>
      </c>
      <c r="K28" s="58">
        <f t="shared" si="8"/>
        <v>556094</v>
      </c>
      <c r="O28" s="53">
        <v>0</v>
      </c>
    </row>
    <row r="29" spans="1:15" x14ac:dyDescent="0.25">
      <c r="A29" s="155">
        <v>14</v>
      </c>
      <c r="B29" s="80" t="s">
        <v>517</v>
      </c>
      <c r="C29" s="81">
        <v>15000</v>
      </c>
      <c r="D29" s="145">
        <v>786.5</v>
      </c>
      <c r="E29" s="43">
        <v>0</v>
      </c>
      <c r="F29" s="61"/>
      <c r="G29" s="169">
        <f t="shared" si="5"/>
        <v>0</v>
      </c>
      <c r="H29" s="279">
        <f>1304-1304</f>
        <v>0</v>
      </c>
      <c r="I29" s="57">
        <f t="shared" si="6"/>
        <v>0</v>
      </c>
      <c r="J29" s="57">
        <f t="shared" si="7"/>
        <v>0</v>
      </c>
      <c r="K29" s="58">
        <f t="shared" si="8"/>
        <v>0</v>
      </c>
      <c r="M29" s="267">
        <v>1304</v>
      </c>
      <c r="O29" s="53">
        <v>0</v>
      </c>
    </row>
    <row r="30" spans="1:15" x14ac:dyDescent="0.25">
      <c r="A30" s="155">
        <v>15</v>
      </c>
      <c r="B30" s="80" t="s">
        <v>518</v>
      </c>
      <c r="C30" s="81">
        <v>15000</v>
      </c>
      <c r="D30" s="145">
        <v>786.5</v>
      </c>
      <c r="E30" s="43">
        <v>0</v>
      </c>
      <c r="F30" s="61"/>
      <c r="G30" s="169">
        <f t="shared" si="5"/>
        <v>0</v>
      </c>
      <c r="H30" s="279">
        <f>1292-1292</f>
        <v>0</v>
      </c>
      <c r="I30" s="57">
        <f t="shared" si="6"/>
        <v>0</v>
      </c>
      <c r="J30" s="57">
        <f t="shared" si="7"/>
        <v>0</v>
      </c>
      <c r="K30" s="58">
        <f t="shared" si="8"/>
        <v>0</v>
      </c>
      <c r="M30" s="267">
        <v>1292</v>
      </c>
      <c r="O30" s="53">
        <v>0</v>
      </c>
    </row>
    <row r="31" spans="1:15" x14ac:dyDescent="0.25">
      <c r="A31" s="155">
        <v>16</v>
      </c>
      <c r="B31" s="80" t="s">
        <v>519</v>
      </c>
      <c r="C31" s="81">
        <v>15000</v>
      </c>
      <c r="D31" s="145">
        <v>786.5</v>
      </c>
      <c r="E31" s="43">
        <v>0</v>
      </c>
      <c r="F31" s="61"/>
      <c r="G31" s="169">
        <f t="shared" si="5"/>
        <v>0</v>
      </c>
      <c r="H31" s="279">
        <f>1201-1201</f>
        <v>0</v>
      </c>
      <c r="I31" s="57">
        <f t="shared" si="6"/>
        <v>0</v>
      </c>
      <c r="J31" s="57">
        <f t="shared" si="7"/>
        <v>0</v>
      </c>
      <c r="K31" s="58">
        <f t="shared" si="8"/>
        <v>0</v>
      </c>
      <c r="M31" s="267">
        <v>1201</v>
      </c>
      <c r="O31" s="53">
        <v>0</v>
      </c>
    </row>
    <row r="32" spans="1:15" x14ac:dyDescent="0.25">
      <c r="A32" s="155">
        <v>17</v>
      </c>
      <c r="B32" s="80" t="s">
        <v>520</v>
      </c>
      <c r="C32" s="81">
        <v>15000</v>
      </c>
      <c r="D32" s="145">
        <v>786.5</v>
      </c>
      <c r="E32" s="43">
        <v>0</v>
      </c>
      <c r="F32" s="61"/>
      <c r="G32" s="169">
        <f t="shared" si="5"/>
        <v>0</v>
      </c>
      <c r="H32" s="279">
        <f>1207-1207</f>
        <v>0</v>
      </c>
      <c r="I32" s="57">
        <f t="shared" si="6"/>
        <v>0</v>
      </c>
      <c r="J32" s="57">
        <f t="shared" si="7"/>
        <v>0</v>
      </c>
      <c r="K32" s="58">
        <f t="shared" si="8"/>
        <v>0</v>
      </c>
      <c r="M32" s="267">
        <v>1207</v>
      </c>
      <c r="O32" s="53">
        <v>0</v>
      </c>
    </row>
    <row r="33" spans="1:15" x14ac:dyDescent="0.25">
      <c r="A33" s="155">
        <v>18</v>
      </c>
      <c r="B33" s="80" t="s">
        <v>521</v>
      </c>
      <c r="C33" s="81">
        <v>15000</v>
      </c>
      <c r="D33" s="145">
        <v>786.5</v>
      </c>
      <c r="E33" s="43">
        <v>0</v>
      </c>
      <c r="F33" s="61"/>
      <c r="G33" s="169">
        <f t="shared" si="5"/>
        <v>0</v>
      </c>
      <c r="H33" s="279">
        <f>230-230</f>
        <v>0</v>
      </c>
      <c r="I33" s="57">
        <f t="shared" si="6"/>
        <v>0</v>
      </c>
      <c r="J33" s="57">
        <f t="shared" si="7"/>
        <v>0</v>
      </c>
      <c r="K33" s="58">
        <f t="shared" si="8"/>
        <v>0</v>
      </c>
      <c r="M33" s="267">
        <v>230</v>
      </c>
      <c r="O33" s="53">
        <v>0</v>
      </c>
    </row>
    <row r="34" spans="1:15" ht="15.75" thickBot="1" x14ac:dyDescent="0.3">
      <c r="A34" s="156">
        <v>19</v>
      </c>
      <c r="B34" s="147" t="s">
        <v>522</v>
      </c>
      <c r="C34" s="83">
        <v>45000</v>
      </c>
      <c r="D34" s="148">
        <f>192.39*20</f>
        <v>3847.7999999999997</v>
      </c>
      <c r="E34" s="157">
        <v>2400</v>
      </c>
      <c r="F34" s="159"/>
      <c r="G34" s="200">
        <f t="shared" si="5"/>
        <v>2400</v>
      </c>
      <c r="H34" s="59"/>
      <c r="I34" s="65">
        <f t="shared" si="6"/>
        <v>2400</v>
      </c>
      <c r="J34" s="65">
        <f t="shared" si="7"/>
        <v>108000000</v>
      </c>
      <c r="K34" s="66">
        <f t="shared" si="8"/>
        <v>9234720</v>
      </c>
    </row>
    <row r="35" spans="1:15" ht="15.75" thickBot="1" x14ac:dyDescent="0.3">
      <c r="A35" s="131"/>
      <c r="B35" s="122" t="s">
        <v>724</v>
      </c>
      <c r="C35" s="36"/>
      <c r="D35" s="29">
        <f t="shared" ref="D35:I35" si="9">SUM(D16:D34)</f>
        <v>48839.26</v>
      </c>
      <c r="E35" s="29">
        <f t="shared" si="9"/>
        <v>43167</v>
      </c>
      <c r="F35" s="29">
        <f t="shared" si="9"/>
        <v>0</v>
      </c>
      <c r="G35" s="29">
        <f t="shared" si="9"/>
        <v>43167</v>
      </c>
      <c r="H35" s="29">
        <f t="shared" si="9"/>
        <v>0</v>
      </c>
      <c r="I35" s="29">
        <f t="shared" si="9"/>
        <v>43167</v>
      </c>
      <c r="J35" s="29">
        <f t="shared" ref="J35:K35" si="10">SUM(J16:J34)</f>
        <v>1037693000</v>
      </c>
      <c r="K35" s="31">
        <f t="shared" si="10"/>
        <v>62074934.159999996</v>
      </c>
    </row>
    <row r="36" spans="1:15" ht="15.75" thickBot="1" x14ac:dyDescent="0.3">
      <c r="B36" s="164"/>
      <c r="C36" s="165"/>
      <c r="D36" s="166"/>
      <c r="E36" s="167"/>
      <c r="F36" s="68"/>
      <c r="G36" s="167"/>
      <c r="H36" s="167"/>
      <c r="I36" s="167"/>
      <c r="J36" s="167"/>
      <c r="K36" s="166"/>
    </row>
    <row r="37" spans="1:15" ht="15.75" thickBot="1" x14ac:dyDescent="0.3">
      <c r="A37" s="365" t="s">
        <v>657</v>
      </c>
      <c r="B37" s="372" t="s">
        <v>708</v>
      </c>
      <c r="C37" s="372" t="s">
        <v>1</v>
      </c>
      <c r="D37" s="373" t="s">
        <v>649</v>
      </c>
      <c r="E37" s="374" t="s">
        <v>19</v>
      </c>
      <c r="F37" s="374"/>
      <c r="G37" s="374"/>
      <c r="H37" s="374"/>
      <c r="I37" s="374"/>
      <c r="J37" s="368" t="s">
        <v>21</v>
      </c>
      <c r="K37" s="370" t="s">
        <v>602</v>
      </c>
    </row>
    <row r="38" spans="1:15" ht="45.75" thickBot="1" x14ac:dyDescent="0.3">
      <c r="A38" s="366"/>
      <c r="B38" s="372"/>
      <c r="C38" s="372"/>
      <c r="D38" s="373"/>
      <c r="E38" s="69" t="s">
        <v>22</v>
      </c>
      <c r="F38" s="69" t="s">
        <v>600</v>
      </c>
      <c r="G38" s="69" t="s">
        <v>601</v>
      </c>
      <c r="H38" s="69" t="s">
        <v>589</v>
      </c>
      <c r="I38" s="69" t="s">
        <v>601</v>
      </c>
      <c r="J38" s="369"/>
      <c r="K38" s="371"/>
    </row>
    <row r="39" spans="1:15" ht="15.75" thickBot="1" x14ac:dyDescent="0.3">
      <c r="A39" s="367"/>
      <c r="B39" s="188">
        <v>1</v>
      </c>
      <c r="C39" s="188">
        <v>2</v>
      </c>
      <c r="D39" s="188">
        <v>3</v>
      </c>
      <c r="E39" s="71">
        <v>4</v>
      </c>
      <c r="F39" s="71">
        <f>+E39+1</f>
        <v>5</v>
      </c>
      <c r="G39" s="71" t="s">
        <v>652</v>
      </c>
      <c r="H39" s="71">
        <v>7</v>
      </c>
      <c r="I39" s="72" t="s">
        <v>651</v>
      </c>
      <c r="J39" s="42" t="s">
        <v>650</v>
      </c>
      <c r="K39" s="42" t="s">
        <v>653</v>
      </c>
    </row>
    <row r="40" spans="1:15" x14ac:dyDescent="0.25">
      <c r="A40" s="163"/>
      <c r="B40" s="74" t="s">
        <v>527</v>
      </c>
      <c r="C40" s="55"/>
      <c r="D40" s="55"/>
      <c r="E40" s="55"/>
      <c r="F40" s="55"/>
      <c r="G40" s="55"/>
      <c r="H40" s="55"/>
      <c r="I40" s="55"/>
      <c r="J40" s="55"/>
      <c r="K40" s="55"/>
    </row>
    <row r="41" spans="1:15" x14ac:dyDescent="0.25">
      <c r="A41" s="155">
        <v>1</v>
      </c>
      <c r="B41" s="94" t="s">
        <v>769</v>
      </c>
      <c r="C41" s="81">
        <v>20000</v>
      </c>
      <c r="D41" s="145">
        <f>(2437.67+1771)/2</f>
        <v>2104.335</v>
      </c>
      <c r="E41" s="43">
        <v>14819</v>
      </c>
      <c r="F41" s="43"/>
      <c r="G41" s="169">
        <f t="shared" ref="G41:G45" si="11">+E41+F41</f>
        <v>14819</v>
      </c>
      <c r="H41" s="142">
        <f>100-100</f>
        <v>0</v>
      </c>
      <c r="I41" s="57">
        <f t="shared" ref="I41:I45" si="12">+G41-H41</f>
        <v>14819</v>
      </c>
      <c r="J41" s="57">
        <f t="shared" ref="J41:J45" si="13">I41*C41</f>
        <v>296380000</v>
      </c>
      <c r="K41" s="58">
        <f t="shared" ref="K41:K45" si="14">+D41*I41</f>
        <v>31184140.365000002</v>
      </c>
    </row>
    <row r="42" spans="1:15" x14ac:dyDescent="0.25">
      <c r="A42" s="155">
        <v>2</v>
      </c>
      <c r="B42" s="94" t="s">
        <v>523</v>
      </c>
      <c r="C42" s="81">
        <v>20000</v>
      </c>
      <c r="D42" s="145">
        <f>(2437.67+1771)/2</f>
        <v>2104.335</v>
      </c>
      <c r="E42" s="43">
        <v>15225</v>
      </c>
      <c r="F42" s="43"/>
      <c r="G42" s="169">
        <f t="shared" si="11"/>
        <v>15225</v>
      </c>
      <c r="H42" s="142">
        <f t="shared" ref="H42:H44" si="15">10-10</f>
        <v>0</v>
      </c>
      <c r="I42" s="57">
        <f t="shared" si="12"/>
        <v>15225</v>
      </c>
      <c r="J42" s="57">
        <f t="shared" si="13"/>
        <v>304500000</v>
      </c>
      <c r="K42" s="58">
        <f t="shared" si="14"/>
        <v>32038500.375</v>
      </c>
    </row>
    <row r="43" spans="1:15" x14ac:dyDescent="0.25">
      <c r="A43" s="155">
        <v>3</v>
      </c>
      <c r="B43" s="94" t="s">
        <v>524</v>
      </c>
      <c r="C43" s="81">
        <v>20000</v>
      </c>
      <c r="D43" s="145">
        <f>(2437.67+1771)/2</f>
        <v>2104.335</v>
      </c>
      <c r="E43" s="43">
        <v>9540</v>
      </c>
      <c r="F43" s="43"/>
      <c r="G43" s="169">
        <f t="shared" si="11"/>
        <v>9540</v>
      </c>
      <c r="H43" s="142">
        <f t="shared" si="15"/>
        <v>0</v>
      </c>
      <c r="I43" s="57">
        <f t="shared" si="12"/>
        <v>9540</v>
      </c>
      <c r="J43" s="57">
        <f t="shared" si="13"/>
        <v>190800000</v>
      </c>
      <c r="K43" s="58">
        <f t="shared" si="14"/>
        <v>20075355.899999999</v>
      </c>
    </row>
    <row r="44" spans="1:15" x14ac:dyDescent="0.25">
      <c r="A44" s="155">
        <v>4</v>
      </c>
      <c r="B44" s="94" t="s">
        <v>525</v>
      </c>
      <c r="C44" s="81">
        <v>20000</v>
      </c>
      <c r="D44" s="145">
        <f>(2437.67+1771)/2</f>
        <v>2104.335</v>
      </c>
      <c r="E44" s="43">
        <v>4905</v>
      </c>
      <c r="F44" s="43"/>
      <c r="G44" s="169">
        <f t="shared" si="11"/>
        <v>4905</v>
      </c>
      <c r="H44" s="142">
        <f t="shared" si="15"/>
        <v>0</v>
      </c>
      <c r="I44" s="57">
        <f t="shared" si="12"/>
        <v>4905</v>
      </c>
      <c r="J44" s="57">
        <f t="shared" si="13"/>
        <v>98100000</v>
      </c>
      <c r="K44" s="58">
        <f t="shared" si="14"/>
        <v>10321763.175000001</v>
      </c>
    </row>
    <row r="45" spans="1:15" ht="15.75" thickBot="1" x14ac:dyDescent="0.3">
      <c r="A45" s="156">
        <v>5</v>
      </c>
      <c r="B45" s="208" t="s">
        <v>526</v>
      </c>
      <c r="C45" s="83">
        <v>20000</v>
      </c>
      <c r="D45" s="148">
        <f>(2437.67+1771)/2</f>
        <v>2104.335</v>
      </c>
      <c r="E45" s="157">
        <v>3465</v>
      </c>
      <c r="F45" s="157"/>
      <c r="G45" s="200">
        <f t="shared" si="11"/>
        <v>3465</v>
      </c>
      <c r="H45" s="142">
        <f>10-10+10-10</f>
        <v>0</v>
      </c>
      <c r="I45" s="65">
        <f t="shared" si="12"/>
        <v>3465</v>
      </c>
      <c r="J45" s="65">
        <f t="shared" si="13"/>
        <v>69300000</v>
      </c>
      <c r="K45" s="66">
        <f t="shared" si="14"/>
        <v>7291520.7750000004</v>
      </c>
    </row>
    <row r="46" spans="1:15" ht="15.75" thickBot="1" x14ac:dyDescent="0.3">
      <c r="A46" s="131"/>
      <c r="B46" s="122" t="s">
        <v>725</v>
      </c>
      <c r="C46" s="36"/>
      <c r="D46" s="29"/>
      <c r="E46" s="29">
        <f>SUM(E41:E45)</f>
        <v>47954</v>
      </c>
      <c r="F46" s="29">
        <f>SUM(F41:F45)</f>
        <v>0</v>
      </c>
      <c r="G46" s="29">
        <f>SUM(G41:G45)</f>
        <v>47954</v>
      </c>
      <c r="H46" s="29">
        <f>SUM(H41:H45)</f>
        <v>0</v>
      </c>
      <c r="I46" s="29">
        <f>SUM(I41:I45)</f>
        <v>47954</v>
      </c>
      <c r="J46" s="29">
        <f t="shared" ref="J46:K46" si="16">SUM(J41:J45)</f>
        <v>959080000</v>
      </c>
      <c r="K46" s="47">
        <f t="shared" si="16"/>
        <v>100911280.59</v>
      </c>
    </row>
    <row r="47" spans="1:15" ht="15.75" thickBot="1" x14ac:dyDescent="0.3">
      <c r="B47" s="164"/>
      <c r="C47" s="165"/>
      <c r="D47" s="166"/>
      <c r="E47" s="167"/>
      <c r="F47" s="68"/>
      <c r="G47" s="167"/>
      <c r="H47" s="167"/>
      <c r="I47" s="167"/>
      <c r="J47" s="167"/>
      <c r="K47" s="166"/>
    </row>
    <row r="48" spans="1:15" ht="15.75" thickBot="1" x14ac:dyDescent="0.3">
      <c r="A48" s="365" t="s">
        <v>657</v>
      </c>
      <c r="B48" s="372" t="s">
        <v>708</v>
      </c>
      <c r="C48" s="372" t="s">
        <v>1</v>
      </c>
      <c r="D48" s="373" t="s">
        <v>649</v>
      </c>
      <c r="E48" s="374" t="s">
        <v>19</v>
      </c>
      <c r="F48" s="374"/>
      <c r="G48" s="374"/>
      <c r="H48" s="374"/>
      <c r="I48" s="374"/>
      <c r="J48" s="368" t="s">
        <v>21</v>
      </c>
      <c r="K48" s="370" t="s">
        <v>602</v>
      </c>
    </row>
    <row r="49" spans="1:37" ht="45.75" thickBot="1" x14ac:dyDescent="0.3">
      <c r="A49" s="366"/>
      <c r="B49" s="372"/>
      <c r="C49" s="372"/>
      <c r="D49" s="373"/>
      <c r="E49" s="69" t="s">
        <v>22</v>
      </c>
      <c r="F49" s="69" t="s">
        <v>600</v>
      </c>
      <c r="G49" s="69" t="s">
        <v>601</v>
      </c>
      <c r="H49" s="69" t="s">
        <v>589</v>
      </c>
      <c r="I49" s="69" t="s">
        <v>601</v>
      </c>
      <c r="J49" s="369"/>
      <c r="K49" s="371"/>
    </row>
    <row r="50" spans="1:37" ht="15.75" thickBot="1" x14ac:dyDescent="0.3">
      <c r="A50" s="367"/>
      <c r="B50" s="188">
        <v>1</v>
      </c>
      <c r="C50" s="188">
        <v>2</v>
      </c>
      <c r="D50" s="188">
        <v>3</v>
      </c>
      <c r="E50" s="71">
        <v>4</v>
      </c>
      <c r="F50" s="71">
        <f>+E50+1</f>
        <v>5</v>
      </c>
      <c r="G50" s="71" t="s">
        <v>652</v>
      </c>
      <c r="H50" s="71">
        <v>7</v>
      </c>
      <c r="I50" s="72" t="s">
        <v>651</v>
      </c>
      <c r="J50" s="42" t="s">
        <v>650</v>
      </c>
      <c r="K50" s="42" t="s">
        <v>653</v>
      </c>
    </row>
    <row r="51" spans="1:37" x14ac:dyDescent="0.25">
      <c r="A51" s="163"/>
      <c r="B51" s="74" t="s">
        <v>528</v>
      </c>
      <c r="C51" s="55"/>
      <c r="D51" s="55"/>
      <c r="E51" s="55"/>
      <c r="F51" s="55"/>
      <c r="G51" s="55"/>
      <c r="H51" s="55"/>
      <c r="I51" s="55"/>
      <c r="J51" s="55"/>
      <c r="K51" s="55"/>
    </row>
    <row r="52" spans="1:37" x14ac:dyDescent="0.25">
      <c r="A52" s="155">
        <v>1</v>
      </c>
      <c r="B52" s="94" t="s">
        <v>529</v>
      </c>
      <c r="C52" s="81">
        <v>20000</v>
      </c>
      <c r="D52" s="145">
        <v>266.38</v>
      </c>
      <c r="E52" s="43">
        <v>3790</v>
      </c>
      <c r="F52" s="43"/>
      <c r="G52" s="169">
        <f t="shared" ref="G52:G66" si="17">+E52+F52</f>
        <v>3790</v>
      </c>
      <c r="H52" s="169">
        <f>10-10</f>
        <v>0</v>
      </c>
      <c r="I52" s="57">
        <f t="shared" ref="I52:I61" si="18">+G52-H52</f>
        <v>3790</v>
      </c>
      <c r="J52" s="57">
        <f t="shared" ref="J52:J61" si="19">I52*C52</f>
        <v>75800000</v>
      </c>
      <c r="K52" s="58">
        <f t="shared" ref="K52:K61" si="20">+D52*I52</f>
        <v>1009580.2</v>
      </c>
    </row>
    <row r="53" spans="1:37" x14ac:dyDescent="0.25">
      <c r="A53" s="155">
        <v>2</v>
      </c>
      <c r="B53" s="94" t="s">
        <v>530</v>
      </c>
      <c r="C53" s="81">
        <v>20000</v>
      </c>
      <c r="D53" s="145">
        <v>266.38</v>
      </c>
      <c r="E53" s="43">
        <v>4605</v>
      </c>
      <c r="F53" s="43"/>
      <c r="G53" s="169">
        <f t="shared" si="17"/>
        <v>4605</v>
      </c>
      <c r="H53" s="169">
        <f t="shared" ref="H53:H54" si="21">10-10</f>
        <v>0</v>
      </c>
      <c r="I53" s="57">
        <f t="shared" si="18"/>
        <v>4605</v>
      </c>
      <c r="J53" s="57">
        <f t="shared" si="19"/>
        <v>92100000</v>
      </c>
      <c r="K53" s="58">
        <f t="shared" si="20"/>
        <v>1226679.8999999999</v>
      </c>
    </row>
    <row r="54" spans="1:37" x14ac:dyDescent="0.25">
      <c r="A54" s="155">
        <v>3</v>
      </c>
      <c r="B54" s="94" t="s">
        <v>531</v>
      </c>
      <c r="C54" s="81">
        <v>16000</v>
      </c>
      <c r="D54" s="145">
        <v>266.38</v>
      </c>
      <c r="E54" s="43">
        <v>2530</v>
      </c>
      <c r="F54" s="43"/>
      <c r="G54" s="169">
        <f t="shared" si="17"/>
        <v>2530</v>
      </c>
      <c r="H54" s="169">
        <f t="shared" si="21"/>
        <v>0</v>
      </c>
      <c r="I54" s="57">
        <f t="shared" si="18"/>
        <v>2530</v>
      </c>
      <c r="J54" s="57">
        <f t="shared" si="19"/>
        <v>40480000</v>
      </c>
      <c r="K54" s="58">
        <f t="shared" si="20"/>
        <v>673941.4</v>
      </c>
    </row>
    <row r="55" spans="1:37" x14ac:dyDescent="0.25">
      <c r="A55" s="155">
        <v>4</v>
      </c>
      <c r="B55" s="61" t="s">
        <v>532</v>
      </c>
      <c r="C55" s="61"/>
      <c r="D55" s="61"/>
      <c r="E55" s="43">
        <v>0</v>
      </c>
      <c r="F55" s="43"/>
      <c r="G55" s="169">
        <f t="shared" si="17"/>
        <v>0</v>
      </c>
      <c r="H55" s="169"/>
      <c r="I55" s="57">
        <f t="shared" si="18"/>
        <v>0</v>
      </c>
      <c r="J55" s="57">
        <f t="shared" si="19"/>
        <v>0</v>
      </c>
      <c r="K55" s="58">
        <f t="shared" si="20"/>
        <v>0</v>
      </c>
    </row>
    <row r="56" spans="1:37" x14ac:dyDescent="0.25">
      <c r="A56" s="155">
        <v>5</v>
      </c>
      <c r="B56" s="94" t="s">
        <v>533</v>
      </c>
      <c r="C56" s="81">
        <v>25000</v>
      </c>
      <c r="D56" s="145">
        <v>266.38</v>
      </c>
      <c r="E56" s="43">
        <v>4789</v>
      </c>
      <c r="F56" s="43"/>
      <c r="G56" s="169">
        <f t="shared" si="17"/>
        <v>4789</v>
      </c>
      <c r="H56" s="169">
        <f>10-10</f>
        <v>0</v>
      </c>
      <c r="I56" s="57">
        <f t="shared" si="18"/>
        <v>4789</v>
      </c>
      <c r="J56" s="57">
        <f t="shared" si="19"/>
        <v>119725000</v>
      </c>
      <c r="K56" s="58">
        <f t="shared" si="20"/>
        <v>1275693.82</v>
      </c>
    </row>
    <row r="57" spans="1:37" x14ac:dyDescent="0.25">
      <c r="A57" s="155">
        <v>6</v>
      </c>
      <c r="B57" s="209" t="s">
        <v>534</v>
      </c>
      <c r="C57" s="81">
        <v>25000</v>
      </c>
      <c r="D57" s="145">
        <v>266.38</v>
      </c>
      <c r="E57" s="43">
        <v>4941</v>
      </c>
      <c r="F57" s="43"/>
      <c r="G57" s="169">
        <f t="shared" si="17"/>
        <v>4941</v>
      </c>
      <c r="H57" s="169"/>
      <c r="I57" s="57">
        <f t="shared" si="18"/>
        <v>4941</v>
      </c>
      <c r="J57" s="57">
        <f t="shared" si="19"/>
        <v>123525000</v>
      </c>
      <c r="K57" s="58">
        <f t="shared" si="20"/>
        <v>1316183.58</v>
      </c>
    </row>
    <row r="58" spans="1:37" x14ac:dyDescent="0.25">
      <c r="A58" s="155">
        <v>7</v>
      </c>
      <c r="B58" s="209" t="s">
        <v>561</v>
      </c>
      <c r="C58" s="81">
        <f>+'[6]KEL F'!$AY$5</f>
        <v>28000</v>
      </c>
      <c r="D58" s="61">
        <v>2227.5</v>
      </c>
      <c r="E58" s="43">
        <v>6000</v>
      </c>
      <c r="F58" s="43"/>
      <c r="G58" s="169">
        <f t="shared" si="17"/>
        <v>6000</v>
      </c>
      <c r="H58" s="169">
        <f>200-200+400-400</f>
        <v>0</v>
      </c>
      <c r="I58" s="57">
        <f t="shared" si="18"/>
        <v>6000</v>
      </c>
      <c r="J58" s="57">
        <f t="shared" si="19"/>
        <v>168000000</v>
      </c>
      <c r="K58" s="58">
        <f t="shared" si="20"/>
        <v>13365000</v>
      </c>
      <c r="L58" s="347" t="s">
        <v>986</v>
      </c>
    </row>
    <row r="59" spans="1:37" x14ac:dyDescent="0.25">
      <c r="A59" s="155">
        <v>8</v>
      </c>
      <c r="B59" s="222" t="s">
        <v>562</v>
      </c>
      <c r="C59" s="81">
        <f>+'[6]KEL F'!$AZ$5</f>
        <v>28000</v>
      </c>
      <c r="D59" s="61">
        <v>2227.5</v>
      </c>
      <c r="E59" s="43">
        <v>0</v>
      </c>
      <c r="F59" s="43"/>
      <c r="G59" s="169">
        <f t="shared" si="17"/>
        <v>0</v>
      </c>
      <c r="H59" s="169"/>
      <c r="I59" s="57">
        <f t="shared" si="18"/>
        <v>0</v>
      </c>
      <c r="J59" s="57">
        <f t="shared" si="19"/>
        <v>0</v>
      </c>
      <c r="K59" s="58">
        <f t="shared" si="20"/>
        <v>0</v>
      </c>
      <c r="M59"/>
      <c r="Q59" s="242"/>
      <c r="AB59" s="53" t="s">
        <v>832</v>
      </c>
    </row>
    <row r="60" spans="1:37" x14ac:dyDescent="0.25">
      <c r="A60" s="155">
        <v>9</v>
      </c>
      <c r="B60" s="61" t="s">
        <v>561</v>
      </c>
      <c r="C60" s="81">
        <v>32000</v>
      </c>
      <c r="D60" s="61">
        <v>2459.0500000000002</v>
      </c>
      <c r="E60" s="43">
        <v>2275</v>
      </c>
      <c r="F60" s="43">
        <f>15000+25000-40000+2000+10000</f>
        <v>12000</v>
      </c>
      <c r="G60" s="169">
        <f t="shared" si="17"/>
        <v>14275</v>
      </c>
      <c r="H60" s="43">
        <f>800+1200+275+2000</f>
        <v>4275</v>
      </c>
      <c r="I60" s="57">
        <f t="shared" si="18"/>
        <v>10000</v>
      </c>
      <c r="J60" s="57">
        <f t="shared" si="19"/>
        <v>320000000</v>
      </c>
      <c r="K60" s="58">
        <f t="shared" si="20"/>
        <v>24590500</v>
      </c>
      <c r="L60" s="347" t="s">
        <v>986</v>
      </c>
      <c r="M60" s="267"/>
      <c r="N60" s="267">
        <v>800</v>
      </c>
      <c r="O60" s="258">
        <v>1200</v>
      </c>
      <c r="P60" s="258"/>
      <c r="Q60" s="268">
        <v>275</v>
      </c>
      <c r="R60" s="268"/>
      <c r="S60" s="268">
        <v>2000</v>
      </c>
      <c r="T60" s="268"/>
      <c r="U60" s="268"/>
      <c r="W60" s="268"/>
      <c r="X60" s="268"/>
      <c r="Y60" s="268"/>
      <c r="Z60" s="268"/>
      <c r="AB60" s="267">
        <v>1000</v>
      </c>
      <c r="AC60" s="267">
        <v>800</v>
      </c>
      <c r="AD60" s="267">
        <v>500</v>
      </c>
      <c r="AE60" s="268">
        <v>600</v>
      </c>
      <c r="AF60" s="268">
        <v>1500</v>
      </c>
      <c r="AG60" s="268">
        <v>100</v>
      </c>
      <c r="AH60" s="268">
        <v>100</v>
      </c>
      <c r="AI60" s="268">
        <v>1900</v>
      </c>
      <c r="AJ60" s="268">
        <v>100</v>
      </c>
    </row>
    <row r="61" spans="1:37" x14ac:dyDescent="0.25">
      <c r="A61" s="173">
        <v>10</v>
      </c>
      <c r="B61" s="124" t="s">
        <v>562</v>
      </c>
      <c r="C61" s="119">
        <v>32000</v>
      </c>
      <c r="D61" s="124">
        <v>2459.0500000000002</v>
      </c>
      <c r="E61" s="125">
        <v>1800</v>
      </c>
      <c r="F61" s="125">
        <f>15000+7000-22000+8000-8000</f>
        <v>0</v>
      </c>
      <c r="G61" s="197">
        <f t="shared" si="17"/>
        <v>1800</v>
      </c>
      <c r="H61" s="125">
        <f>300+300+100+1100</f>
        <v>1800</v>
      </c>
      <c r="I61" s="111">
        <f t="shared" si="18"/>
        <v>0</v>
      </c>
      <c r="J61" s="111">
        <f t="shared" si="19"/>
        <v>0</v>
      </c>
      <c r="K61" s="112">
        <f t="shared" si="20"/>
        <v>0</v>
      </c>
      <c r="L61" s="347" t="s">
        <v>986</v>
      </c>
      <c r="M61" s="267"/>
      <c r="N61" s="267">
        <v>300</v>
      </c>
      <c r="O61" s="267">
        <v>300</v>
      </c>
      <c r="P61" s="268">
        <v>100</v>
      </c>
      <c r="Q61" s="268">
        <v>1100</v>
      </c>
      <c r="R61" s="268"/>
      <c r="S61" s="268"/>
      <c r="T61" s="268"/>
      <c r="U61" s="268"/>
      <c r="V61" s="268"/>
      <c r="W61" s="268"/>
      <c r="X61" s="268"/>
      <c r="Y61" s="268"/>
      <c r="Z61" s="268"/>
      <c r="AB61" s="267">
        <v>500</v>
      </c>
      <c r="AC61" s="267">
        <v>400</v>
      </c>
      <c r="AD61" s="267">
        <v>400</v>
      </c>
      <c r="AE61" s="268">
        <v>1000</v>
      </c>
      <c r="AF61" s="268">
        <v>1700</v>
      </c>
      <c r="AG61" s="268">
        <v>600</v>
      </c>
      <c r="AH61" s="268">
        <v>100</v>
      </c>
      <c r="AI61" s="268">
        <v>900</v>
      </c>
      <c r="AJ61" s="268">
        <v>100</v>
      </c>
      <c r="AK61" s="268">
        <v>500</v>
      </c>
    </row>
    <row r="62" spans="1:37" x14ac:dyDescent="0.25">
      <c r="A62" s="155">
        <v>11</v>
      </c>
      <c r="B62" s="61" t="s">
        <v>822</v>
      </c>
      <c r="C62" s="119">
        <v>32000</v>
      </c>
      <c r="D62" s="276">
        <v>6215</v>
      </c>
      <c r="E62" s="43">
        <v>9600</v>
      </c>
      <c r="F62" s="43">
        <f>2000-2000+5000+15000-20000</f>
        <v>0</v>
      </c>
      <c r="G62" s="197">
        <f t="shared" si="17"/>
        <v>9600</v>
      </c>
      <c r="H62" s="81">
        <f>2000+200+1000+4800+200+1400</f>
        <v>9600</v>
      </c>
      <c r="I62" s="111">
        <f t="shared" ref="I62" si="22">+G62-H62</f>
        <v>0</v>
      </c>
      <c r="J62" s="111">
        <f t="shared" ref="J62" si="23">I62*C62</f>
        <v>0</v>
      </c>
      <c r="K62" s="112">
        <f t="shared" ref="K62" si="24">+D62*I62</f>
        <v>0</v>
      </c>
      <c r="L62" s="347" t="s">
        <v>986</v>
      </c>
      <c r="N62" s="53">
        <v>2000</v>
      </c>
      <c r="O62" s="53">
        <v>200</v>
      </c>
      <c r="P62" s="242">
        <v>1000</v>
      </c>
      <c r="Q62" s="242">
        <v>4800</v>
      </c>
      <c r="R62" s="267">
        <v>200</v>
      </c>
      <c r="S62" s="242">
        <v>1400</v>
      </c>
      <c r="T62" s="267"/>
      <c r="U62" s="273"/>
      <c r="V62" s="268"/>
      <c r="AG62" s="267">
        <v>100</v>
      </c>
      <c r="AI62" s="267">
        <v>100</v>
      </c>
      <c r="AJ62" s="273">
        <v>900</v>
      </c>
      <c r="AK62" s="268">
        <v>1000</v>
      </c>
    </row>
    <row r="63" spans="1:37" x14ac:dyDescent="0.25">
      <c r="A63" s="155">
        <v>12</v>
      </c>
      <c r="B63" s="61" t="s">
        <v>983</v>
      </c>
      <c r="C63" s="81">
        <v>20000</v>
      </c>
      <c r="D63" s="276">
        <v>3560</v>
      </c>
      <c r="E63" s="43">
        <v>4900</v>
      </c>
      <c r="F63" s="43">
        <f>10000-10000</f>
        <v>0</v>
      </c>
      <c r="G63" s="197">
        <f t="shared" si="17"/>
        <v>4900</v>
      </c>
      <c r="H63" s="43">
        <f>100+5000-5100+1000+100</f>
        <v>1100</v>
      </c>
      <c r="I63" s="111">
        <f t="shared" ref="I63:I66" si="25">+G63-H63</f>
        <v>3800</v>
      </c>
      <c r="J63" s="111">
        <f t="shared" ref="J63:J66" si="26">I63*C63</f>
        <v>76000000</v>
      </c>
      <c r="K63" s="112">
        <f t="shared" ref="K63:K66" si="27">+D63*I63</f>
        <v>13528000</v>
      </c>
      <c r="L63" s="347" t="s">
        <v>986</v>
      </c>
      <c r="P63" s="53">
        <v>1000</v>
      </c>
      <c r="T63" s="53">
        <v>100</v>
      </c>
    </row>
    <row r="64" spans="1:37" x14ac:dyDescent="0.25">
      <c r="A64" s="155">
        <v>13</v>
      </c>
      <c r="B64" s="61" t="s">
        <v>984</v>
      </c>
      <c r="C64" s="81">
        <v>30000</v>
      </c>
      <c r="D64" s="276">
        <v>3560</v>
      </c>
      <c r="E64" s="43">
        <v>4800</v>
      </c>
      <c r="F64" s="43">
        <f>10000-10000</f>
        <v>0</v>
      </c>
      <c r="G64" s="197">
        <f t="shared" si="17"/>
        <v>4800</v>
      </c>
      <c r="H64" s="43">
        <f>200+5000-5200+1000+100</f>
        <v>1100</v>
      </c>
      <c r="I64" s="111">
        <f t="shared" si="25"/>
        <v>3700</v>
      </c>
      <c r="J64" s="111">
        <f t="shared" si="26"/>
        <v>111000000</v>
      </c>
      <c r="K64" s="112">
        <f t="shared" si="27"/>
        <v>13172000</v>
      </c>
      <c r="L64" s="347" t="s">
        <v>986</v>
      </c>
      <c r="P64" s="53">
        <v>1000</v>
      </c>
      <c r="T64" s="53">
        <v>100</v>
      </c>
    </row>
    <row r="65" spans="1:14" x14ac:dyDescent="0.25">
      <c r="A65" s="155"/>
      <c r="B65" s="61"/>
      <c r="C65" s="81"/>
      <c r="D65" s="61"/>
      <c r="E65" s="43">
        <v>0</v>
      </c>
      <c r="F65" s="43"/>
      <c r="G65" s="197">
        <f t="shared" si="17"/>
        <v>0</v>
      </c>
      <c r="H65" s="43"/>
      <c r="I65" s="111">
        <f t="shared" si="25"/>
        <v>0</v>
      </c>
      <c r="J65" s="111">
        <f t="shared" si="26"/>
        <v>0</v>
      </c>
      <c r="K65" s="112">
        <f t="shared" si="27"/>
        <v>0</v>
      </c>
    </row>
    <row r="66" spans="1:14" x14ac:dyDescent="0.25">
      <c r="A66" s="155"/>
      <c r="B66" s="61"/>
      <c r="C66" s="81"/>
      <c r="D66" s="61"/>
      <c r="E66" s="43">
        <v>0</v>
      </c>
      <c r="F66" s="43"/>
      <c r="G66" s="197">
        <f t="shared" si="17"/>
        <v>0</v>
      </c>
      <c r="H66" s="43"/>
      <c r="I66" s="111">
        <f t="shared" si="25"/>
        <v>0</v>
      </c>
      <c r="J66" s="111">
        <f t="shared" si="26"/>
        <v>0</v>
      </c>
      <c r="K66" s="112">
        <f t="shared" si="27"/>
        <v>0</v>
      </c>
    </row>
    <row r="67" spans="1:14" ht="15.75" thickBot="1" x14ac:dyDescent="0.3">
      <c r="A67" s="156"/>
      <c r="B67" s="159"/>
      <c r="C67" s="83"/>
      <c r="D67" s="159"/>
      <c r="E67" s="157"/>
      <c r="F67" s="157"/>
      <c r="G67" s="200"/>
      <c r="H67" s="157"/>
      <c r="I67" s="65"/>
      <c r="J67" s="65"/>
      <c r="K67" s="66"/>
    </row>
    <row r="68" spans="1:14" ht="15.75" thickBot="1" x14ac:dyDescent="0.3">
      <c r="A68" s="131"/>
      <c r="B68" s="122" t="s">
        <v>726</v>
      </c>
      <c r="C68" s="36"/>
      <c r="D68" s="36"/>
      <c r="E68" s="29">
        <f>SUM(E52:E67)</f>
        <v>50030</v>
      </c>
      <c r="F68" s="29">
        <f>SUM(F52:F67)</f>
        <v>12000</v>
      </c>
      <c r="G68" s="29">
        <f t="shared" ref="G68:J68" si="28">SUM(G52:G67)</f>
        <v>62030</v>
      </c>
      <c r="H68" s="29">
        <f t="shared" si="28"/>
        <v>17875</v>
      </c>
      <c r="I68" s="29">
        <f t="shared" si="28"/>
        <v>44155</v>
      </c>
      <c r="J68" s="29">
        <f t="shared" si="28"/>
        <v>1126630000</v>
      </c>
      <c r="K68" s="47">
        <f>SUM(K52:K67)</f>
        <v>70157578.900000006</v>
      </c>
    </row>
    <row r="70" spans="1:14" ht="15.75" thickBot="1" x14ac:dyDescent="0.3">
      <c r="A70" s="105" t="s">
        <v>722</v>
      </c>
    </row>
    <row r="71" spans="1:14" ht="15.75" thickBot="1" x14ac:dyDescent="0.3">
      <c r="A71" s="131"/>
      <c r="B71" s="41" t="s">
        <v>727</v>
      </c>
      <c r="C71" s="36"/>
      <c r="D71" s="36"/>
      <c r="E71" s="38">
        <f>+E11+E35+E46+E68</f>
        <v>146574</v>
      </c>
      <c r="F71" s="38">
        <f t="shared" ref="F71:K71" si="29">+F11+F35+F46+F68</f>
        <v>12000</v>
      </c>
      <c r="G71" s="38">
        <f t="shared" si="29"/>
        <v>158574</v>
      </c>
      <c r="H71" s="38">
        <f t="shared" si="29"/>
        <v>17875</v>
      </c>
      <c r="I71" s="38">
        <f t="shared" si="29"/>
        <v>140699</v>
      </c>
      <c r="J71" s="38">
        <f t="shared" si="29"/>
        <v>3304873000</v>
      </c>
      <c r="K71" s="205">
        <f t="shared" si="29"/>
        <v>245760403.15000001</v>
      </c>
      <c r="L71" s="53">
        <v>146574</v>
      </c>
      <c r="M71" s="53">
        <v>3477473000</v>
      </c>
      <c r="N71" s="53">
        <v>264154531.90000001</v>
      </c>
    </row>
    <row r="72" spans="1:14" x14ac:dyDescent="0.25">
      <c r="L72" s="189">
        <f>+L71-I71</f>
        <v>5875</v>
      </c>
      <c r="M72" s="189">
        <f t="shared" ref="M72:N72" si="30">+M71-J71</f>
        <v>172600000</v>
      </c>
      <c r="N72" s="189">
        <f t="shared" si="30"/>
        <v>18394128.75</v>
      </c>
    </row>
    <row r="78" spans="1:14" x14ac:dyDescent="0.25">
      <c r="E78" s="19"/>
      <c r="F78" s="19"/>
      <c r="G78" s="19"/>
      <c r="H78" s="19"/>
      <c r="I78" s="19"/>
      <c r="J78" s="19"/>
      <c r="K78" s="26"/>
    </row>
    <row r="80" spans="1:14" x14ac:dyDescent="0.25">
      <c r="E80" s="189"/>
      <c r="F80" s="189"/>
      <c r="G80" s="189"/>
      <c r="H80" s="189"/>
      <c r="I80" s="189"/>
      <c r="J80" s="189"/>
      <c r="K80" s="189"/>
    </row>
  </sheetData>
  <mergeCells count="28">
    <mergeCell ref="K37:K38"/>
    <mergeCell ref="A48:A50"/>
    <mergeCell ref="B48:B49"/>
    <mergeCell ref="C48:C49"/>
    <mergeCell ref="D48:D49"/>
    <mergeCell ref="J48:J49"/>
    <mergeCell ref="K48:K49"/>
    <mergeCell ref="A37:A39"/>
    <mergeCell ref="B37:B38"/>
    <mergeCell ref="C37:C38"/>
    <mergeCell ref="D37:D38"/>
    <mergeCell ref="J37:J38"/>
    <mergeCell ref="E37:I37"/>
    <mergeCell ref="E48:I48"/>
    <mergeCell ref="K3:K4"/>
    <mergeCell ref="A13:A15"/>
    <mergeCell ref="B13:B14"/>
    <mergeCell ref="C13:C14"/>
    <mergeCell ref="D13:D14"/>
    <mergeCell ref="J13:J14"/>
    <mergeCell ref="K13:K14"/>
    <mergeCell ref="A3:A5"/>
    <mergeCell ref="B3:B4"/>
    <mergeCell ref="C3:C4"/>
    <mergeCell ref="D3:D4"/>
    <mergeCell ref="J3:J4"/>
    <mergeCell ref="E3:I3"/>
    <mergeCell ref="E13:I13"/>
  </mergeCells>
  <pageMargins left="0" right="0" top="0.19685039370078741" bottom="0.19685039370078741" header="0.19685039370078741" footer="0.19685039370078741"/>
  <pageSetup paperSize="9" scale="89" orientation="landscape" horizontalDpi="120" verticalDpi="72"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P79"/>
  <sheetViews>
    <sheetView topLeftCell="A64" zoomScale="80" zoomScaleNormal="80" workbookViewId="0">
      <selection activeCell="L72" sqref="L72:N72"/>
    </sheetView>
  </sheetViews>
  <sheetFormatPr defaultRowHeight="15" x14ac:dyDescent="0.25"/>
  <cols>
    <col min="1" max="1" width="4.7109375" style="53" customWidth="1"/>
    <col min="2" max="2" width="35.7109375" style="53" customWidth="1"/>
    <col min="3" max="3" width="17" style="53" customWidth="1"/>
    <col min="4" max="4" width="15.85546875" style="53" customWidth="1"/>
    <col min="5" max="5" width="12.42578125" style="53" customWidth="1"/>
    <col min="6" max="6" width="17.7109375" style="53" customWidth="1"/>
    <col min="7" max="7" width="10.140625" style="53" customWidth="1"/>
    <col min="8" max="8" width="14.140625" style="53" customWidth="1"/>
    <col min="9" max="9" width="12.7109375" style="53" customWidth="1"/>
    <col min="10" max="10" width="14" style="53" customWidth="1"/>
    <col min="11" max="11" width="16.85546875" style="53" customWidth="1"/>
    <col min="12" max="12" width="9.140625" style="53"/>
    <col min="13" max="13" width="10.7109375" style="53" customWidth="1"/>
    <col min="14" max="14" width="15" style="53" bestFit="1" customWidth="1"/>
    <col min="15" max="16384" width="9.140625" style="53"/>
  </cols>
  <sheetData>
    <row r="2" spans="1:11" ht="15.75" thickBot="1" x14ac:dyDescent="0.3">
      <c r="A2" s="210" t="s">
        <v>728</v>
      </c>
      <c r="B2" s="190"/>
      <c r="C2" s="190"/>
      <c r="D2" s="190"/>
      <c r="E2" s="190"/>
      <c r="F2" s="54" t="str">
        <f>A.Prangko!G2</f>
        <v>mei 2017</v>
      </c>
      <c r="G2" s="190"/>
      <c r="H2" s="190"/>
      <c r="I2" s="190"/>
      <c r="J2" s="190"/>
      <c r="K2" s="190"/>
    </row>
    <row r="3" spans="1:11" ht="15.75" thickBot="1" x14ac:dyDescent="0.3">
      <c r="A3" s="365" t="s">
        <v>657</v>
      </c>
      <c r="B3" s="372" t="s">
        <v>708</v>
      </c>
      <c r="C3" s="372" t="s">
        <v>1</v>
      </c>
      <c r="D3" s="373" t="s">
        <v>649</v>
      </c>
      <c r="E3" s="374" t="s">
        <v>19</v>
      </c>
      <c r="F3" s="374"/>
      <c r="G3" s="374"/>
      <c r="H3" s="374"/>
      <c r="I3" s="374"/>
      <c r="J3" s="368" t="s">
        <v>21</v>
      </c>
      <c r="K3" s="370" t="s">
        <v>602</v>
      </c>
    </row>
    <row r="4" spans="1:11" ht="30.75" thickBot="1" x14ac:dyDescent="0.3">
      <c r="A4" s="366"/>
      <c r="B4" s="372"/>
      <c r="C4" s="372"/>
      <c r="D4" s="373"/>
      <c r="E4" s="69" t="s">
        <v>22</v>
      </c>
      <c r="F4" s="69" t="s">
        <v>600</v>
      </c>
      <c r="G4" s="69" t="s">
        <v>601</v>
      </c>
      <c r="H4" s="69" t="s">
        <v>589</v>
      </c>
      <c r="I4" s="69" t="s">
        <v>601</v>
      </c>
      <c r="J4" s="369"/>
      <c r="K4" s="371"/>
    </row>
    <row r="5" spans="1:11" ht="15.75" thickBot="1" x14ac:dyDescent="0.3">
      <c r="A5" s="367"/>
      <c r="B5" s="188">
        <v>1</v>
      </c>
      <c r="C5" s="188">
        <v>2</v>
      </c>
      <c r="D5" s="188">
        <v>3</v>
      </c>
      <c r="E5" s="71">
        <v>4</v>
      </c>
      <c r="F5" s="71">
        <f>+E5+1</f>
        <v>5</v>
      </c>
      <c r="G5" s="71" t="s">
        <v>652</v>
      </c>
      <c r="H5" s="71">
        <v>7</v>
      </c>
      <c r="I5" s="72" t="s">
        <v>651</v>
      </c>
      <c r="J5" s="42" t="s">
        <v>650</v>
      </c>
      <c r="K5" s="42" t="s">
        <v>653</v>
      </c>
    </row>
    <row r="6" spans="1:11" x14ac:dyDescent="0.25">
      <c r="A6" s="163"/>
      <c r="B6" s="180" t="s">
        <v>712</v>
      </c>
      <c r="C6" s="55"/>
      <c r="D6" s="55"/>
      <c r="E6" s="55"/>
      <c r="F6" s="55"/>
      <c r="G6" s="55"/>
      <c r="H6" s="55"/>
      <c r="I6" s="55"/>
      <c r="J6" s="55"/>
      <c r="K6" s="55"/>
    </row>
    <row r="7" spans="1:11" x14ac:dyDescent="0.25">
      <c r="A7" s="155">
        <v>1</v>
      </c>
      <c r="B7" s="202" t="s">
        <v>535</v>
      </c>
      <c r="C7" s="176">
        <v>100000</v>
      </c>
      <c r="D7" s="194">
        <v>13655.05</v>
      </c>
      <c r="E7" s="43">
        <v>0</v>
      </c>
      <c r="F7" s="61"/>
      <c r="G7" s="169">
        <f t="shared" ref="G7:G22" si="0">+E7+F7</f>
        <v>0</v>
      </c>
      <c r="H7" s="56"/>
      <c r="I7" s="57">
        <f t="shared" ref="I7:I22" si="1">+G7-H7</f>
        <v>0</v>
      </c>
      <c r="J7" s="57">
        <f t="shared" ref="J7:J22" si="2">I7*C7</f>
        <v>0</v>
      </c>
      <c r="K7" s="58">
        <f t="shared" ref="K7:K22" si="3">+D7*I7</f>
        <v>0</v>
      </c>
    </row>
    <row r="8" spans="1:11" x14ac:dyDescent="0.25">
      <c r="A8" s="155">
        <v>2</v>
      </c>
      <c r="B8" s="202" t="s">
        <v>536</v>
      </c>
      <c r="C8" s="176">
        <v>121500</v>
      </c>
      <c r="D8" s="194">
        <v>13312.42</v>
      </c>
      <c r="E8" s="43">
        <v>100</v>
      </c>
      <c r="F8" s="61"/>
      <c r="G8" s="169">
        <f t="shared" si="0"/>
        <v>100</v>
      </c>
      <c r="H8" s="56"/>
      <c r="I8" s="57">
        <f t="shared" si="1"/>
        <v>100</v>
      </c>
      <c r="J8" s="57">
        <f t="shared" si="2"/>
        <v>12150000</v>
      </c>
      <c r="K8" s="58">
        <f t="shared" si="3"/>
        <v>1331242</v>
      </c>
    </row>
    <row r="9" spans="1:11" x14ac:dyDescent="0.25">
      <c r="A9" s="155">
        <v>3</v>
      </c>
      <c r="B9" s="61" t="s">
        <v>537</v>
      </c>
      <c r="C9" s="43">
        <v>26000</v>
      </c>
      <c r="D9" s="61">
        <v>7823.48</v>
      </c>
      <c r="E9" s="43">
        <v>125</v>
      </c>
      <c r="F9" s="61"/>
      <c r="G9" s="169">
        <f t="shared" si="0"/>
        <v>125</v>
      </c>
      <c r="H9" s="56"/>
      <c r="I9" s="57">
        <f t="shared" si="1"/>
        <v>125</v>
      </c>
      <c r="J9" s="57">
        <f t="shared" si="2"/>
        <v>3250000</v>
      </c>
      <c r="K9" s="58">
        <f t="shared" si="3"/>
        <v>977935</v>
      </c>
    </row>
    <row r="10" spans="1:11" x14ac:dyDescent="0.25">
      <c r="A10" s="155">
        <v>4</v>
      </c>
      <c r="B10" s="61" t="s">
        <v>538</v>
      </c>
      <c r="C10" s="43">
        <v>53500</v>
      </c>
      <c r="D10" s="61">
        <v>8573.42</v>
      </c>
      <c r="E10" s="43">
        <v>100</v>
      </c>
      <c r="F10" s="61"/>
      <c r="G10" s="169">
        <f t="shared" si="0"/>
        <v>100</v>
      </c>
      <c r="H10" s="56"/>
      <c r="I10" s="57">
        <f t="shared" si="1"/>
        <v>100</v>
      </c>
      <c r="J10" s="57">
        <f t="shared" si="2"/>
        <v>5350000</v>
      </c>
      <c r="K10" s="58">
        <f t="shared" si="3"/>
        <v>857342</v>
      </c>
    </row>
    <row r="11" spans="1:11" x14ac:dyDescent="0.25">
      <c r="A11" s="155">
        <v>5</v>
      </c>
      <c r="B11" s="61" t="s">
        <v>539</v>
      </c>
      <c r="C11" s="43">
        <v>30000</v>
      </c>
      <c r="D11" s="61">
        <v>7725.32</v>
      </c>
      <c r="E11" s="43">
        <v>100</v>
      </c>
      <c r="F11" s="61"/>
      <c r="G11" s="169">
        <f t="shared" si="0"/>
        <v>100</v>
      </c>
      <c r="H11" s="56"/>
      <c r="I11" s="57">
        <f t="shared" si="1"/>
        <v>100</v>
      </c>
      <c r="J11" s="57">
        <f t="shared" si="2"/>
        <v>3000000</v>
      </c>
      <c r="K11" s="58">
        <f t="shared" si="3"/>
        <v>772532</v>
      </c>
    </row>
    <row r="12" spans="1:11" x14ac:dyDescent="0.25">
      <c r="A12" s="155">
        <v>6</v>
      </c>
      <c r="B12" s="61" t="s">
        <v>563</v>
      </c>
      <c r="C12" s="43">
        <v>68000</v>
      </c>
      <c r="D12" s="61">
        <v>8917.64</v>
      </c>
      <c r="E12" s="43">
        <v>100</v>
      </c>
      <c r="F12" s="61"/>
      <c r="G12" s="169">
        <f t="shared" si="0"/>
        <v>100</v>
      </c>
      <c r="H12" s="56"/>
      <c r="I12" s="57">
        <f t="shared" si="1"/>
        <v>100</v>
      </c>
      <c r="J12" s="57">
        <f t="shared" si="2"/>
        <v>6800000</v>
      </c>
      <c r="K12" s="58">
        <f t="shared" si="3"/>
        <v>891764</v>
      </c>
    </row>
    <row r="13" spans="1:11" x14ac:dyDescent="0.25">
      <c r="A13" s="155">
        <v>7</v>
      </c>
      <c r="B13" s="61" t="s">
        <v>564</v>
      </c>
      <c r="C13" s="43">
        <v>58000</v>
      </c>
      <c r="D13" s="61">
        <v>10857.7</v>
      </c>
      <c r="E13" s="43">
        <v>50</v>
      </c>
      <c r="F13" s="61"/>
      <c r="G13" s="169">
        <f t="shared" si="0"/>
        <v>50</v>
      </c>
      <c r="H13" s="56"/>
      <c r="I13" s="57">
        <f t="shared" si="1"/>
        <v>50</v>
      </c>
      <c r="J13" s="57">
        <f t="shared" si="2"/>
        <v>2900000</v>
      </c>
      <c r="K13" s="58">
        <f t="shared" si="3"/>
        <v>542885</v>
      </c>
    </row>
    <row r="14" spans="1:11" x14ac:dyDescent="0.25">
      <c r="A14" s="155">
        <v>8</v>
      </c>
      <c r="B14" s="61" t="s">
        <v>565</v>
      </c>
      <c r="C14" s="43">
        <v>20000</v>
      </c>
      <c r="D14" s="61">
        <v>7464.84</v>
      </c>
      <c r="E14" s="43">
        <v>100</v>
      </c>
      <c r="F14" s="61"/>
      <c r="G14" s="169">
        <f t="shared" si="0"/>
        <v>100</v>
      </c>
      <c r="H14" s="56"/>
      <c r="I14" s="57">
        <f t="shared" si="1"/>
        <v>100</v>
      </c>
      <c r="J14" s="57">
        <f t="shared" si="2"/>
        <v>2000000</v>
      </c>
      <c r="K14" s="58">
        <f t="shared" si="3"/>
        <v>746484</v>
      </c>
    </row>
    <row r="15" spans="1:11" x14ac:dyDescent="0.25">
      <c r="A15" s="155">
        <v>9</v>
      </c>
      <c r="B15" s="61" t="s">
        <v>566</v>
      </c>
      <c r="C15" s="43">
        <v>32000</v>
      </c>
      <c r="D15" s="61">
        <v>8231.24</v>
      </c>
      <c r="E15" s="43">
        <v>125</v>
      </c>
      <c r="F15" s="61"/>
      <c r="G15" s="169">
        <f t="shared" si="0"/>
        <v>125</v>
      </c>
      <c r="H15" s="56"/>
      <c r="I15" s="57">
        <f t="shared" si="1"/>
        <v>125</v>
      </c>
      <c r="J15" s="57">
        <f t="shared" si="2"/>
        <v>4000000</v>
      </c>
      <c r="K15" s="58">
        <f t="shared" si="3"/>
        <v>1028905</v>
      </c>
    </row>
    <row r="16" spans="1:11" x14ac:dyDescent="0.25">
      <c r="A16" s="155">
        <v>10</v>
      </c>
      <c r="B16" s="61" t="s">
        <v>567</v>
      </c>
      <c r="C16" s="43">
        <v>68000</v>
      </c>
      <c r="D16" s="61">
        <v>7604.44</v>
      </c>
      <c r="E16" s="43">
        <v>125</v>
      </c>
      <c r="F16" s="61"/>
      <c r="G16" s="169">
        <f t="shared" si="0"/>
        <v>125</v>
      </c>
      <c r="H16" s="56"/>
      <c r="I16" s="57">
        <f t="shared" si="1"/>
        <v>125</v>
      </c>
      <c r="J16" s="57">
        <f t="shared" si="2"/>
        <v>8500000</v>
      </c>
      <c r="K16" s="58">
        <f t="shared" si="3"/>
        <v>950555</v>
      </c>
    </row>
    <row r="17" spans="1:14" x14ac:dyDescent="0.25">
      <c r="A17" s="155">
        <v>11</v>
      </c>
      <c r="B17" s="61" t="s">
        <v>582</v>
      </c>
      <c r="C17" s="43">
        <v>25000</v>
      </c>
      <c r="D17" s="61">
        <v>9714</v>
      </c>
      <c r="E17" s="104">
        <v>100</v>
      </c>
      <c r="F17" s="61"/>
      <c r="G17" s="169">
        <f t="shared" si="0"/>
        <v>100</v>
      </c>
      <c r="H17" s="56"/>
      <c r="I17" s="57">
        <f t="shared" si="1"/>
        <v>100</v>
      </c>
      <c r="J17" s="57">
        <f t="shared" si="2"/>
        <v>2500000</v>
      </c>
      <c r="K17" s="58">
        <f t="shared" si="3"/>
        <v>971400</v>
      </c>
    </row>
    <row r="18" spans="1:14" x14ac:dyDescent="0.25">
      <c r="A18" s="155">
        <v>12</v>
      </c>
      <c r="B18" s="61" t="s">
        <v>583</v>
      </c>
      <c r="C18" s="43">
        <v>20000</v>
      </c>
      <c r="D18" s="61">
        <v>7434</v>
      </c>
      <c r="E18" s="43">
        <v>125</v>
      </c>
      <c r="F18" s="61"/>
      <c r="G18" s="169">
        <f t="shared" si="0"/>
        <v>125</v>
      </c>
      <c r="H18" s="56"/>
      <c r="I18" s="57">
        <f t="shared" si="1"/>
        <v>125</v>
      </c>
      <c r="J18" s="57">
        <f t="shared" si="2"/>
        <v>2500000</v>
      </c>
      <c r="K18" s="58">
        <f t="shared" si="3"/>
        <v>929250</v>
      </c>
    </row>
    <row r="19" spans="1:14" x14ac:dyDescent="0.25">
      <c r="A19" s="155">
        <v>13</v>
      </c>
      <c r="B19" s="61" t="s">
        <v>584</v>
      </c>
      <c r="C19" s="43">
        <v>28000</v>
      </c>
      <c r="D19" s="61">
        <v>8026.5</v>
      </c>
      <c r="E19" s="43">
        <v>125</v>
      </c>
      <c r="F19" s="61"/>
      <c r="G19" s="169">
        <f t="shared" si="0"/>
        <v>125</v>
      </c>
      <c r="H19" s="56"/>
      <c r="I19" s="57">
        <f t="shared" si="1"/>
        <v>125</v>
      </c>
      <c r="J19" s="57">
        <f t="shared" si="2"/>
        <v>3500000</v>
      </c>
      <c r="K19" s="58">
        <f t="shared" si="3"/>
        <v>1003312.5</v>
      </c>
    </row>
    <row r="20" spans="1:14" x14ac:dyDescent="0.25">
      <c r="A20" s="155">
        <v>14</v>
      </c>
      <c r="B20" s="61" t="s">
        <v>585</v>
      </c>
      <c r="C20" s="43">
        <v>26000</v>
      </c>
      <c r="D20" s="61">
        <v>9134.44</v>
      </c>
      <c r="E20" s="43">
        <v>125</v>
      </c>
      <c r="F20" s="61"/>
      <c r="G20" s="169">
        <f t="shared" si="0"/>
        <v>125</v>
      </c>
      <c r="H20" s="56"/>
      <c r="I20" s="57">
        <f t="shared" si="1"/>
        <v>125</v>
      </c>
      <c r="J20" s="57">
        <f t="shared" si="2"/>
        <v>3250000</v>
      </c>
      <c r="K20" s="58">
        <f t="shared" si="3"/>
        <v>1141805</v>
      </c>
    </row>
    <row r="21" spans="1:14" x14ac:dyDescent="0.25">
      <c r="A21" s="155">
        <v>15</v>
      </c>
      <c r="B21" s="61" t="s">
        <v>586</v>
      </c>
      <c r="C21" s="43">
        <v>28000</v>
      </c>
      <c r="D21" s="61">
        <v>7491.52</v>
      </c>
      <c r="E21" s="43">
        <v>125</v>
      </c>
      <c r="F21" s="61"/>
      <c r="G21" s="169">
        <f t="shared" si="0"/>
        <v>125</v>
      </c>
      <c r="H21" s="56"/>
      <c r="I21" s="57">
        <f t="shared" si="1"/>
        <v>125</v>
      </c>
      <c r="J21" s="57">
        <f t="shared" si="2"/>
        <v>3500000</v>
      </c>
      <c r="K21" s="58">
        <f t="shared" si="3"/>
        <v>936440</v>
      </c>
    </row>
    <row r="22" spans="1:14" ht="15.75" thickBot="1" x14ac:dyDescent="0.3">
      <c r="A22" s="156">
        <v>16</v>
      </c>
      <c r="B22" s="159" t="s">
        <v>587</v>
      </c>
      <c r="C22" s="157">
        <v>27500</v>
      </c>
      <c r="D22" s="159">
        <v>7944.28</v>
      </c>
      <c r="E22" s="157">
        <v>298</v>
      </c>
      <c r="F22" s="159"/>
      <c r="G22" s="200">
        <f t="shared" si="0"/>
        <v>298</v>
      </c>
      <c r="H22" s="59"/>
      <c r="I22" s="65">
        <f t="shared" si="1"/>
        <v>298</v>
      </c>
      <c r="J22" s="65">
        <f t="shared" si="2"/>
        <v>8195000</v>
      </c>
      <c r="K22" s="66">
        <f t="shared" si="3"/>
        <v>2367395.44</v>
      </c>
    </row>
    <row r="23" spans="1:14" ht="15.75" thickBot="1" x14ac:dyDescent="0.3">
      <c r="A23" s="131"/>
      <c r="B23" s="41" t="s">
        <v>719</v>
      </c>
      <c r="C23" s="36"/>
      <c r="D23" s="36"/>
      <c r="E23" s="38">
        <f>SUM(E8:E22)</f>
        <v>1823</v>
      </c>
      <c r="F23" s="41"/>
      <c r="G23" s="38">
        <f>SUM(G8:G22)</f>
        <v>1823</v>
      </c>
      <c r="H23" s="38">
        <f>SUM(H8:H22)</f>
        <v>0</v>
      </c>
      <c r="I23" s="38">
        <f>SUM(I8:I22)</f>
        <v>1823</v>
      </c>
      <c r="J23" s="38">
        <f t="shared" ref="J23:K23" si="4">SUM(J8:J22)</f>
        <v>71395000</v>
      </c>
      <c r="K23" s="187">
        <f t="shared" si="4"/>
        <v>15449246.939999999</v>
      </c>
    </row>
    <row r="24" spans="1:14" ht="15.75" thickBot="1" x14ac:dyDescent="0.3">
      <c r="B24" s="164"/>
      <c r="C24" s="165"/>
      <c r="D24" s="166"/>
      <c r="E24" s="167"/>
      <c r="F24" s="68"/>
      <c r="G24" s="167"/>
      <c r="H24" s="167"/>
      <c r="I24" s="167"/>
      <c r="J24" s="167"/>
      <c r="K24" s="166"/>
    </row>
    <row r="25" spans="1:14" ht="15.75" thickBot="1" x14ac:dyDescent="0.3">
      <c r="A25" s="365" t="s">
        <v>657</v>
      </c>
      <c r="B25" s="372" t="s">
        <v>708</v>
      </c>
      <c r="C25" s="372" t="s">
        <v>1</v>
      </c>
      <c r="D25" s="373" t="s">
        <v>649</v>
      </c>
      <c r="E25" s="374" t="s">
        <v>19</v>
      </c>
      <c r="F25" s="374"/>
      <c r="G25" s="374"/>
      <c r="H25" s="374"/>
      <c r="I25" s="374"/>
      <c r="J25" s="368" t="s">
        <v>21</v>
      </c>
      <c r="K25" s="370" t="s">
        <v>602</v>
      </c>
    </row>
    <row r="26" spans="1:14" ht="30.75" thickBot="1" x14ac:dyDescent="0.3">
      <c r="A26" s="366"/>
      <c r="B26" s="372"/>
      <c r="C26" s="372"/>
      <c r="D26" s="373"/>
      <c r="E26" s="69" t="s">
        <v>22</v>
      </c>
      <c r="F26" s="69" t="s">
        <v>600</v>
      </c>
      <c r="G26" s="69" t="s">
        <v>601</v>
      </c>
      <c r="H26" s="69" t="s">
        <v>589</v>
      </c>
      <c r="I26" s="69" t="s">
        <v>601</v>
      </c>
      <c r="J26" s="369"/>
      <c r="K26" s="371"/>
    </row>
    <row r="27" spans="1:14" ht="15.75" thickBot="1" x14ac:dyDescent="0.3">
      <c r="A27" s="367"/>
      <c r="B27" s="188">
        <v>1</v>
      </c>
      <c r="C27" s="188">
        <v>2</v>
      </c>
      <c r="D27" s="188">
        <v>3</v>
      </c>
      <c r="E27" s="71">
        <v>4</v>
      </c>
      <c r="F27" s="71">
        <f>+E27+1</f>
        <v>5</v>
      </c>
      <c r="G27" s="71" t="s">
        <v>652</v>
      </c>
      <c r="H27" s="71">
        <v>7</v>
      </c>
      <c r="I27" s="72" t="s">
        <v>651</v>
      </c>
      <c r="J27" s="42" t="s">
        <v>650</v>
      </c>
      <c r="K27" s="42" t="s">
        <v>653</v>
      </c>
    </row>
    <row r="28" spans="1:14" x14ac:dyDescent="0.25">
      <c r="A28" s="163"/>
      <c r="B28" s="180" t="s">
        <v>713</v>
      </c>
      <c r="C28" s="55"/>
      <c r="D28" s="55"/>
      <c r="E28" s="55"/>
      <c r="F28" s="55"/>
      <c r="G28" s="55"/>
      <c r="H28" s="55"/>
      <c r="I28" s="55"/>
      <c r="J28" s="55"/>
      <c r="K28" s="55"/>
    </row>
    <row r="29" spans="1:14" x14ac:dyDescent="0.25">
      <c r="A29" s="155">
        <v>1</v>
      </c>
      <c r="B29" s="61" t="s">
        <v>599</v>
      </c>
      <c r="C29" s="223">
        <v>72000</v>
      </c>
      <c r="D29" s="178">
        <v>22219.98</v>
      </c>
      <c r="E29" s="43">
        <v>150</v>
      </c>
      <c r="F29" s="43"/>
      <c r="G29" s="169">
        <f t="shared" ref="G29:G44" si="5">+E29+F29</f>
        <v>150</v>
      </c>
      <c r="H29" s="169"/>
      <c r="I29" s="57">
        <f t="shared" ref="I29:I44" si="6">+G29-H29</f>
        <v>150</v>
      </c>
      <c r="J29" s="57">
        <f t="shared" ref="J29:J44" si="7">I29*C29</f>
        <v>10800000</v>
      </c>
      <c r="K29" s="58">
        <f t="shared" ref="K29:K44" si="8">+D29*I29</f>
        <v>3332997</v>
      </c>
      <c r="M29" s="45"/>
      <c r="N29" s="168"/>
    </row>
    <row r="30" spans="1:14" x14ac:dyDescent="0.25">
      <c r="A30" s="155">
        <v>2</v>
      </c>
      <c r="B30" s="61" t="s">
        <v>607</v>
      </c>
      <c r="C30" s="223">
        <v>85000</v>
      </c>
      <c r="D30" s="178">
        <v>18383.419999999998</v>
      </c>
      <c r="E30" s="43">
        <v>150</v>
      </c>
      <c r="F30" s="43"/>
      <c r="G30" s="169">
        <f t="shared" si="5"/>
        <v>150</v>
      </c>
      <c r="H30" s="169"/>
      <c r="I30" s="57">
        <f t="shared" si="6"/>
        <v>150</v>
      </c>
      <c r="J30" s="57">
        <f t="shared" si="7"/>
        <v>12750000</v>
      </c>
      <c r="K30" s="58">
        <f t="shared" si="8"/>
        <v>2757512.9999999995</v>
      </c>
      <c r="M30" s="45"/>
      <c r="N30" s="168"/>
    </row>
    <row r="31" spans="1:14" x14ac:dyDescent="0.25">
      <c r="A31" s="155">
        <v>3</v>
      </c>
      <c r="B31" s="61" t="s">
        <v>608</v>
      </c>
      <c r="C31" s="223">
        <v>31000</v>
      </c>
      <c r="D31" s="178">
        <v>9187.64</v>
      </c>
      <c r="E31" s="43">
        <v>150</v>
      </c>
      <c r="F31" s="43"/>
      <c r="G31" s="169">
        <f t="shared" si="5"/>
        <v>150</v>
      </c>
      <c r="H31" s="169"/>
      <c r="I31" s="57">
        <f t="shared" si="6"/>
        <v>150</v>
      </c>
      <c r="J31" s="57">
        <f t="shared" si="7"/>
        <v>4650000</v>
      </c>
      <c r="K31" s="58">
        <f t="shared" si="8"/>
        <v>1378146</v>
      </c>
      <c r="M31" s="45"/>
      <c r="N31" s="168"/>
    </row>
    <row r="32" spans="1:14" x14ac:dyDescent="0.25">
      <c r="A32" s="155">
        <v>4</v>
      </c>
      <c r="B32" s="61" t="s">
        <v>609</v>
      </c>
      <c r="C32" s="223">
        <v>40000</v>
      </c>
      <c r="D32" s="178">
        <v>3786.16</v>
      </c>
      <c r="E32" s="43">
        <v>150</v>
      </c>
      <c r="F32" s="43"/>
      <c r="G32" s="169">
        <f t="shared" si="5"/>
        <v>150</v>
      </c>
      <c r="H32" s="169"/>
      <c r="I32" s="57">
        <f t="shared" si="6"/>
        <v>150</v>
      </c>
      <c r="J32" s="57">
        <f t="shared" si="7"/>
        <v>6000000</v>
      </c>
      <c r="K32" s="58">
        <f t="shared" si="8"/>
        <v>567924</v>
      </c>
      <c r="M32" s="45"/>
      <c r="N32" s="168"/>
    </row>
    <row r="33" spans="1:14" x14ac:dyDescent="0.25">
      <c r="A33" s="155">
        <v>5</v>
      </c>
      <c r="B33" s="61" t="s">
        <v>610</v>
      </c>
      <c r="C33" s="223">
        <v>64000</v>
      </c>
      <c r="D33" s="178">
        <v>8699.2800000000007</v>
      </c>
      <c r="E33" s="43">
        <v>148</v>
      </c>
      <c r="F33" s="43"/>
      <c r="G33" s="169">
        <f t="shared" si="5"/>
        <v>148</v>
      </c>
      <c r="H33" s="169">
        <f>2-2</f>
        <v>0</v>
      </c>
      <c r="I33" s="57">
        <f t="shared" si="6"/>
        <v>148</v>
      </c>
      <c r="J33" s="57">
        <f t="shared" si="7"/>
        <v>9472000</v>
      </c>
      <c r="K33" s="58">
        <f t="shared" si="8"/>
        <v>1287493.4400000002</v>
      </c>
      <c r="M33" s="45"/>
      <c r="N33" s="168"/>
    </row>
    <row r="34" spans="1:14" x14ac:dyDescent="0.25">
      <c r="A34" s="155">
        <v>6</v>
      </c>
      <c r="B34" s="61" t="s">
        <v>611</v>
      </c>
      <c r="C34" s="223">
        <v>19000</v>
      </c>
      <c r="D34" s="178">
        <v>8511.35</v>
      </c>
      <c r="E34" s="43">
        <v>150</v>
      </c>
      <c r="F34" s="43"/>
      <c r="G34" s="169">
        <f t="shared" si="5"/>
        <v>150</v>
      </c>
      <c r="H34" s="169"/>
      <c r="I34" s="57">
        <f t="shared" si="6"/>
        <v>150</v>
      </c>
      <c r="J34" s="57">
        <f t="shared" si="7"/>
        <v>2850000</v>
      </c>
      <c r="K34" s="58">
        <f t="shared" si="8"/>
        <v>1276702.5</v>
      </c>
      <c r="M34" s="45"/>
      <c r="N34" s="168"/>
    </row>
    <row r="35" spans="1:14" x14ac:dyDescent="0.25">
      <c r="A35" s="155">
        <v>7</v>
      </c>
      <c r="B35" s="61" t="s">
        <v>615</v>
      </c>
      <c r="C35" s="223">
        <v>28000</v>
      </c>
      <c r="D35" s="178">
        <v>7480.84</v>
      </c>
      <c r="E35" s="43">
        <v>150</v>
      </c>
      <c r="F35" s="43"/>
      <c r="G35" s="169">
        <f t="shared" si="5"/>
        <v>150</v>
      </c>
      <c r="H35" s="169"/>
      <c r="I35" s="57">
        <f t="shared" si="6"/>
        <v>150</v>
      </c>
      <c r="J35" s="57">
        <f t="shared" si="7"/>
        <v>4200000</v>
      </c>
      <c r="K35" s="58">
        <f t="shared" si="8"/>
        <v>1122126</v>
      </c>
      <c r="M35" s="45"/>
      <c r="N35" s="168"/>
    </row>
    <row r="36" spans="1:14" x14ac:dyDescent="0.25">
      <c r="A36" s="155">
        <v>8</v>
      </c>
      <c r="B36" s="61" t="s">
        <v>625</v>
      </c>
      <c r="C36" s="223">
        <v>22000</v>
      </c>
      <c r="D36" s="178">
        <v>8990</v>
      </c>
      <c r="E36" s="43">
        <v>150</v>
      </c>
      <c r="F36" s="43"/>
      <c r="G36" s="169">
        <f t="shared" si="5"/>
        <v>150</v>
      </c>
      <c r="H36" s="169"/>
      <c r="I36" s="57">
        <f t="shared" si="6"/>
        <v>150</v>
      </c>
      <c r="J36" s="57">
        <f t="shared" si="7"/>
        <v>3300000</v>
      </c>
      <c r="K36" s="58">
        <f t="shared" si="8"/>
        <v>1348500</v>
      </c>
      <c r="M36" s="45"/>
      <c r="N36" s="168"/>
    </row>
    <row r="37" spans="1:14" x14ac:dyDescent="0.25">
      <c r="A37" s="155">
        <v>9</v>
      </c>
      <c r="B37" s="61" t="s">
        <v>626</v>
      </c>
      <c r="C37" s="223">
        <v>18000</v>
      </c>
      <c r="D37" s="178">
        <v>9672.82</v>
      </c>
      <c r="E37" s="43">
        <v>140</v>
      </c>
      <c r="F37" s="43"/>
      <c r="G37" s="169">
        <f t="shared" si="5"/>
        <v>140</v>
      </c>
      <c r="H37" s="169"/>
      <c r="I37" s="57">
        <f t="shared" si="6"/>
        <v>140</v>
      </c>
      <c r="J37" s="57">
        <f t="shared" si="7"/>
        <v>2520000</v>
      </c>
      <c r="K37" s="58">
        <f t="shared" si="8"/>
        <v>1354194.8</v>
      </c>
      <c r="M37" s="45"/>
      <c r="N37" s="168"/>
    </row>
    <row r="38" spans="1:14" x14ac:dyDescent="0.25">
      <c r="A38" s="155">
        <v>10</v>
      </c>
      <c r="B38" s="61" t="s">
        <v>627</v>
      </c>
      <c r="C38" s="223">
        <v>49000</v>
      </c>
      <c r="D38" s="178">
        <v>15174.44</v>
      </c>
      <c r="E38" s="43">
        <v>140</v>
      </c>
      <c r="F38" s="43"/>
      <c r="G38" s="169">
        <f t="shared" si="5"/>
        <v>140</v>
      </c>
      <c r="H38" s="169"/>
      <c r="I38" s="57">
        <f t="shared" si="6"/>
        <v>140</v>
      </c>
      <c r="J38" s="57">
        <f t="shared" si="7"/>
        <v>6860000</v>
      </c>
      <c r="K38" s="58">
        <f t="shared" si="8"/>
        <v>2124421.6</v>
      </c>
      <c r="L38" s="274">
        <f>+I38-140</f>
        <v>0</v>
      </c>
      <c r="M38" s="286" t="s">
        <v>846</v>
      </c>
      <c r="N38" s="168"/>
    </row>
    <row r="39" spans="1:14" x14ac:dyDescent="0.25">
      <c r="A39" s="155">
        <v>11</v>
      </c>
      <c r="B39" s="61" t="s">
        <v>628</v>
      </c>
      <c r="C39" s="223">
        <v>20000</v>
      </c>
      <c r="D39" s="178">
        <v>12321.45</v>
      </c>
      <c r="E39" s="43">
        <v>150</v>
      </c>
      <c r="F39" s="43"/>
      <c r="G39" s="169">
        <f t="shared" si="5"/>
        <v>150</v>
      </c>
      <c r="H39" s="169"/>
      <c r="I39" s="57">
        <f t="shared" si="6"/>
        <v>150</v>
      </c>
      <c r="J39" s="57">
        <f t="shared" si="7"/>
        <v>3000000</v>
      </c>
      <c r="K39" s="58">
        <f t="shared" si="8"/>
        <v>1848217.5</v>
      </c>
      <c r="L39" s="274">
        <f>+I39-150</f>
        <v>0</v>
      </c>
      <c r="M39" s="45"/>
      <c r="N39" s="168"/>
    </row>
    <row r="40" spans="1:14" x14ac:dyDescent="0.25">
      <c r="A40" s="155">
        <v>12</v>
      </c>
      <c r="B40" s="61" t="s">
        <v>630</v>
      </c>
      <c r="C40" s="223">
        <v>20000</v>
      </c>
      <c r="D40" s="178">
        <v>12321.45</v>
      </c>
      <c r="E40" s="43">
        <v>150</v>
      </c>
      <c r="F40" s="43"/>
      <c r="G40" s="169">
        <f t="shared" si="5"/>
        <v>150</v>
      </c>
      <c r="H40" s="169"/>
      <c r="I40" s="57">
        <f t="shared" si="6"/>
        <v>150</v>
      </c>
      <c r="J40" s="57">
        <f t="shared" si="7"/>
        <v>3000000</v>
      </c>
      <c r="K40" s="58">
        <f t="shared" si="8"/>
        <v>1848217.5</v>
      </c>
      <c r="M40" s="286" t="s">
        <v>846</v>
      </c>
      <c r="N40" s="168"/>
    </row>
    <row r="41" spans="1:14" x14ac:dyDescent="0.25">
      <c r="A41" s="155">
        <v>13</v>
      </c>
      <c r="B41" s="61" t="s">
        <v>640</v>
      </c>
      <c r="C41" s="223">
        <v>15000</v>
      </c>
      <c r="D41" s="196">
        <v>7573.4</v>
      </c>
      <c r="E41" s="43">
        <v>120</v>
      </c>
      <c r="F41" s="43"/>
      <c r="G41" s="169">
        <f t="shared" si="5"/>
        <v>120</v>
      </c>
      <c r="H41" s="169"/>
      <c r="I41" s="57">
        <f t="shared" si="6"/>
        <v>120</v>
      </c>
      <c r="J41" s="57">
        <f t="shared" si="7"/>
        <v>1800000</v>
      </c>
      <c r="K41" s="58">
        <f t="shared" si="8"/>
        <v>908808</v>
      </c>
      <c r="L41" s="274">
        <f>+I41-120</f>
        <v>0</v>
      </c>
      <c r="M41" s="286" t="s">
        <v>846</v>
      </c>
      <c r="N41" s="168"/>
    </row>
    <row r="42" spans="1:14" x14ac:dyDescent="0.25">
      <c r="A42" s="155">
        <v>14</v>
      </c>
      <c r="B42" s="61" t="s">
        <v>641</v>
      </c>
      <c r="C42" s="223">
        <v>26000</v>
      </c>
      <c r="D42" s="196">
        <v>8341.74</v>
      </c>
      <c r="E42" s="43">
        <v>150</v>
      </c>
      <c r="F42" s="43"/>
      <c r="G42" s="169">
        <f t="shared" si="5"/>
        <v>150</v>
      </c>
      <c r="H42" s="169"/>
      <c r="I42" s="57">
        <f t="shared" si="6"/>
        <v>150</v>
      </c>
      <c r="J42" s="57">
        <f t="shared" si="7"/>
        <v>3900000</v>
      </c>
      <c r="K42" s="58">
        <f t="shared" si="8"/>
        <v>1251261</v>
      </c>
      <c r="L42" s="274">
        <f>+I42-150</f>
        <v>0</v>
      </c>
      <c r="M42" s="286" t="s">
        <v>846</v>
      </c>
      <c r="N42" s="168"/>
    </row>
    <row r="43" spans="1:14" x14ac:dyDescent="0.25">
      <c r="A43" s="155">
        <v>15</v>
      </c>
      <c r="B43" s="61" t="s">
        <v>582</v>
      </c>
      <c r="C43" s="223">
        <v>25000</v>
      </c>
      <c r="D43" s="196">
        <v>8873.92</v>
      </c>
      <c r="E43" s="43">
        <v>120</v>
      </c>
      <c r="F43" s="43"/>
      <c r="G43" s="169">
        <f t="shared" si="5"/>
        <v>120</v>
      </c>
      <c r="H43" s="169"/>
      <c r="I43" s="57">
        <f t="shared" si="6"/>
        <v>120</v>
      </c>
      <c r="J43" s="57">
        <f t="shared" si="7"/>
        <v>3000000</v>
      </c>
      <c r="K43" s="58">
        <f t="shared" si="8"/>
        <v>1064870.3999999999</v>
      </c>
      <c r="M43" s="286" t="s">
        <v>846</v>
      </c>
      <c r="N43" s="168"/>
    </row>
    <row r="44" spans="1:14" ht="15.75" thickBot="1" x14ac:dyDescent="0.3">
      <c r="A44" s="59"/>
      <c r="B44" s="159"/>
      <c r="C44" s="159"/>
      <c r="D44" s="195"/>
      <c r="E44" s="157"/>
      <c r="F44" s="157"/>
      <c r="G44" s="200">
        <f t="shared" si="5"/>
        <v>0</v>
      </c>
      <c r="H44" s="200"/>
      <c r="I44" s="65">
        <f t="shared" si="6"/>
        <v>0</v>
      </c>
      <c r="J44" s="65">
        <f t="shared" si="7"/>
        <v>0</v>
      </c>
      <c r="K44" s="66">
        <f t="shared" si="8"/>
        <v>0</v>
      </c>
    </row>
    <row r="45" spans="1:14" ht="15.75" thickBot="1" x14ac:dyDescent="0.3">
      <c r="A45" s="131"/>
      <c r="B45" s="36" t="s">
        <v>616</v>
      </c>
      <c r="C45" s="36"/>
      <c r="D45" s="36"/>
      <c r="E45" s="29">
        <f t="shared" ref="E45:K45" si="9">SUM(E29:E44)</f>
        <v>2168</v>
      </c>
      <c r="F45" s="29">
        <f t="shared" si="9"/>
        <v>0</v>
      </c>
      <c r="G45" s="29">
        <f t="shared" si="9"/>
        <v>2168</v>
      </c>
      <c r="H45" s="29">
        <f t="shared" si="9"/>
        <v>0</v>
      </c>
      <c r="I45" s="36">
        <f t="shared" si="9"/>
        <v>2168</v>
      </c>
      <c r="J45" s="29">
        <f t="shared" si="9"/>
        <v>78102000</v>
      </c>
      <c r="K45" s="152">
        <f t="shared" si="9"/>
        <v>23471392.739999998</v>
      </c>
    </row>
    <row r="46" spans="1:14" ht="15.75" thickBot="1" x14ac:dyDescent="0.3"/>
    <row r="47" spans="1:14" ht="15.75" thickBot="1" x14ac:dyDescent="0.3">
      <c r="A47" s="365" t="s">
        <v>657</v>
      </c>
      <c r="B47" s="372" t="s">
        <v>708</v>
      </c>
      <c r="C47" s="372" t="s">
        <v>1</v>
      </c>
      <c r="D47" s="373" t="s">
        <v>649</v>
      </c>
      <c r="E47" s="374" t="s">
        <v>19</v>
      </c>
      <c r="F47" s="374"/>
      <c r="G47" s="374"/>
      <c r="H47" s="374"/>
      <c r="I47" s="374"/>
      <c r="J47" s="368" t="s">
        <v>21</v>
      </c>
      <c r="K47" s="370" t="s">
        <v>602</v>
      </c>
    </row>
    <row r="48" spans="1:14" ht="30.75" thickBot="1" x14ac:dyDescent="0.3">
      <c r="A48" s="366"/>
      <c r="B48" s="372"/>
      <c r="C48" s="372"/>
      <c r="D48" s="373"/>
      <c r="E48" s="69" t="s">
        <v>22</v>
      </c>
      <c r="F48" s="69" t="s">
        <v>600</v>
      </c>
      <c r="G48" s="69" t="s">
        <v>601</v>
      </c>
      <c r="H48" s="69" t="s">
        <v>589</v>
      </c>
      <c r="I48" s="69" t="s">
        <v>601</v>
      </c>
      <c r="J48" s="369"/>
      <c r="K48" s="371"/>
    </row>
    <row r="49" spans="1:16" ht="15.75" thickBot="1" x14ac:dyDescent="0.3">
      <c r="A49" s="367"/>
      <c r="B49" s="229">
        <v>1</v>
      </c>
      <c r="C49" s="229">
        <v>2</v>
      </c>
      <c r="D49" s="229">
        <v>3</v>
      </c>
      <c r="E49" s="71">
        <v>4</v>
      </c>
      <c r="F49" s="71">
        <f>+E49+1</f>
        <v>5</v>
      </c>
      <c r="G49" s="71" t="s">
        <v>652</v>
      </c>
      <c r="H49" s="71">
        <v>7</v>
      </c>
      <c r="I49" s="72" t="s">
        <v>651</v>
      </c>
      <c r="J49" s="42" t="s">
        <v>650</v>
      </c>
      <c r="K49" s="42" t="s">
        <v>653</v>
      </c>
    </row>
    <row r="50" spans="1:16" x14ac:dyDescent="0.25">
      <c r="A50" s="163"/>
      <c r="B50" s="180" t="s">
        <v>736</v>
      </c>
      <c r="C50" s="55"/>
      <c r="D50" s="55"/>
      <c r="E50" s="55"/>
      <c r="F50" s="55"/>
      <c r="G50" s="55"/>
      <c r="H50" s="55"/>
      <c r="I50" s="55"/>
      <c r="J50" s="55"/>
      <c r="K50" s="55"/>
    </row>
    <row r="51" spans="1:16" x14ac:dyDescent="0.25">
      <c r="A51" s="155">
        <v>1</v>
      </c>
      <c r="B51" s="216" t="s">
        <v>787</v>
      </c>
      <c r="C51" s="223">
        <v>42000</v>
      </c>
      <c r="D51" s="178">
        <v>11837.41</v>
      </c>
      <c r="E51" s="43">
        <v>70</v>
      </c>
      <c r="F51" s="43">
        <v>0</v>
      </c>
      <c r="G51" s="169">
        <f t="shared" ref="G51:G66" si="10">+E51+F51</f>
        <v>70</v>
      </c>
      <c r="H51" s="43">
        <v>0</v>
      </c>
      <c r="I51" s="57">
        <f t="shared" ref="I51:I66" si="11">+G51-H51</f>
        <v>70</v>
      </c>
      <c r="J51" s="57">
        <f t="shared" ref="J51:J66" si="12">I51*C51</f>
        <v>2940000</v>
      </c>
      <c r="K51" s="58">
        <f t="shared" ref="K51:K66" si="13">+D51*I51</f>
        <v>828618.7</v>
      </c>
      <c r="L51" s="274">
        <f>+I51-70</f>
        <v>0</v>
      </c>
      <c r="M51" s="286" t="s">
        <v>846</v>
      </c>
      <c r="N51" s="237"/>
      <c r="O51" s="237"/>
      <c r="P51" s="237"/>
    </row>
    <row r="52" spans="1:16" x14ac:dyDescent="0.25">
      <c r="A52" s="155">
        <v>2</v>
      </c>
      <c r="B52" s="216" t="s">
        <v>807</v>
      </c>
      <c r="C52" s="223">
        <v>72000</v>
      </c>
      <c r="D52" s="178">
        <v>31243</v>
      </c>
      <c r="E52" s="43">
        <v>5</v>
      </c>
      <c r="F52" s="43">
        <f>500-500</f>
        <v>0</v>
      </c>
      <c r="G52" s="169">
        <f t="shared" si="10"/>
        <v>5</v>
      </c>
      <c r="H52" s="169">
        <f>150-150+125+150+50-325+20-20</f>
        <v>0</v>
      </c>
      <c r="I52" s="57">
        <f t="shared" si="11"/>
        <v>5</v>
      </c>
      <c r="J52" s="57">
        <f t="shared" si="12"/>
        <v>360000</v>
      </c>
      <c r="K52" s="58">
        <f t="shared" si="13"/>
        <v>156215</v>
      </c>
      <c r="L52" s="274"/>
      <c r="M52" s="286" t="s">
        <v>846</v>
      </c>
      <c r="N52" s="237"/>
      <c r="O52" s="237"/>
      <c r="P52" s="237"/>
    </row>
    <row r="53" spans="1:16" x14ac:dyDescent="0.25">
      <c r="A53" s="155">
        <v>3</v>
      </c>
      <c r="B53" s="216" t="s">
        <v>808</v>
      </c>
      <c r="C53" s="223">
        <v>41000</v>
      </c>
      <c r="D53" s="178">
        <v>16147.9</v>
      </c>
      <c r="E53" s="43">
        <v>57</v>
      </c>
      <c r="F53" s="43">
        <f>500-500</f>
        <v>0</v>
      </c>
      <c r="G53" s="169">
        <f t="shared" si="10"/>
        <v>57</v>
      </c>
      <c r="H53" s="169">
        <f>30+10-40</f>
        <v>0</v>
      </c>
      <c r="I53" s="57">
        <f t="shared" si="11"/>
        <v>57</v>
      </c>
      <c r="J53" s="57">
        <f t="shared" si="12"/>
        <v>2337000</v>
      </c>
      <c r="K53" s="58">
        <f t="shared" si="13"/>
        <v>920430.29999999993</v>
      </c>
      <c r="L53" s="274">
        <f>+I53-57</f>
        <v>0</v>
      </c>
      <c r="M53" s="286" t="s">
        <v>846</v>
      </c>
      <c r="N53" s="237"/>
      <c r="O53" s="237"/>
      <c r="P53" s="237"/>
    </row>
    <row r="54" spans="1:16" x14ac:dyDescent="0.25">
      <c r="A54" s="155">
        <v>4</v>
      </c>
      <c r="B54" s="61" t="s">
        <v>825</v>
      </c>
      <c r="C54" s="223">
        <v>129000</v>
      </c>
      <c r="D54" s="298">
        <v>59279</v>
      </c>
      <c r="E54" s="43">
        <v>20</v>
      </c>
      <c r="F54" s="43">
        <f>500-500</f>
        <v>0</v>
      </c>
      <c r="G54" s="169">
        <f t="shared" si="10"/>
        <v>20</v>
      </c>
      <c r="H54" s="169">
        <f>480-480</f>
        <v>0</v>
      </c>
      <c r="I54" s="57">
        <f t="shared" si="11"/>
        <v>20</v>
      </c>
      <c r="J54" s="57">
        <f t="shared" si="12"/>
        <v>2580000</v>
      </c>
      <c r="K54" s="58">
        <f t="shared" si="13"/>
        <v>1185580</v>
      </c>
      <c r="L54" s="274">
        <f>+I54-20</f>
        <v>0</v>
      </c>
      <c r="M54" s="286" t="s">
        <v>846</v>
      </c>
      <c r="N54" s="237"/>
      <c r="O54" s="237"/>
      <c r="P54" s="237"/>
    </row>
    <row r="55" spans="1:16" x14ac:dyDescent="0.25">
      <c r="A55" s="155">
        <v>5</v>
      </c>
      <c r="B55" s="61"/>
      <c r="C55" s="223"/>
      <c r="D55" s="178">
        <v>0</v>
      </c>
      <c r="E55" s="43">
        <v>0</v>
      </c>
      <c r="F55" s="43"/>
      <c r="G55" s="169">
        <f t="shared" si="10"/>
        <v>0</v>
      </c>
      <c r="H55" s="169"/>
      <c r="I55" s="57">
        <f t="shared" si="11"/>
        <v>0</v>
      </c>
      <c r="J55" s="57">
        <f t="shared" si="12"/>
        <v>0</v>
      </c>
      <c r="K55" s="58">
        <f t="shared" si="13"/>
        <v>0</v>
      </c>
      <c r="M55" s="246"/>
      <c r="N55" s="237"/>
      <c r="O55" s="237"/>
      <c r="P55" s="237"/>
    </row>
    <row r="56" spans="1:16" x14ac:dyDescent="0.25">
      <c r="A56" s="155">
        <v>6</v>
      </c>
      <c r="B56" s="61"/>
      <c r="C56" s="223"/>
      <c r="D56" s="178">
        <v>0</v>
      </c>
      <c r="E56" s="43">
        <v>0</v>
      </c>
      <c r="F56" s="43"/>
      <c r="G56" s="169">
        <f t="shared" si="10"/>
        <v>0</v>
      </c>
      <c r="H56" s="169"/>
      <c r="I56" s="57">
        <f t="shared" si="11"/>
        <v>0</v>
      </c>
      <c r="J56" s="57">
        <f t="shared" si="12"/>
        <v>0</v>
      </c>
      <c r="K56" s="58">
        <f t="shared" si="13"/>
        <v>0</v>
      </c>
      <c r="M56" s="246"/>
      <c r="N56" s="237"/>
      <c r="O56" s="237"/>
      <c r="P56" s="237"/>
    </row>
    <row r="57" spans="1:16" x14ac:dyDescent="0.25">
      <c r="A57" s="155">
        <v>7</v>
      </c>
      <c r="B57" s="61"/>
      <c r="C57" s="223"/>
      <c r="D57" s="178">
        <v>0</v>
      </c>
      <c r="E57" s="43">
        <v>0</v>
      </c>
      <c r="F57" s="43"/>
      <c r="G57" s="169">
        <f t="shared" si="10"/>
        <v>0</v>
      </c>
      <c r="H57" s="169"/>
      <c r="I57" s="57">
        <f t="shared" si="11"/>
        <v>0</v>
      </c>
      <c r="J57" s="57">
        <f t="shared" si="12"/>
        <v>0</v>
      </c>
      <c r="K57" s="58">
        <f t="shared" si="13"/>
        <v>0</v>
      </c>
      <c r="M57" s="246"/>
      <c r="N57" s="237"/>
      <c r="O57" s="237"/>
      <c r="P57" s="237"/>
    </row>
    <row r="58" spans="1:16" x14ac:dyDescent="0.25">
      <c r="A58" s="155">
        <v>8</v>
      </c>
      <c r="B58" s="61"/>
      <c r="C58" s="223"/>
      <c r="D58" s="178">
        <v>0</v>
      </c>
      <c r="E58" s="43">
        <v>0</v>
      </c>
      <c r="F58" s="43"/>
      <c r="G58" s="169">
        <f t="shared" si="10"/>
        <v>0</v>
      </c>
      <c r="H58" s="169"/>
      <c r="I58" s="57">
        <f t="shared" si="11"/>
        <v>0</v>
      </c>
      <c r="J58" s="57">
        <f t="shared" si="12"/>
        <v>0</v>
      </c>
      <c r="K58" s="58">
        <f t="shared" si="13"/>
        <v>0</v>
      </c>
      <c r="M58" s="45"/>
      <c r="N58" s="168"/>
    </row>
    <row r="59" spans="1:16" x14ac:dyDescent="0.25">
      <c r="A59" s="155">
        <v>9</v>
      </c>
      <c r="B59" s="61"/>
      <c r="C59" s="223"/>
      <c r="D59" s="178">
        <v>0</v>
      </c>
      <c r="E59" s="43">
        <v>0</v>
      </c>
      <c r="F59" s="43"/>
      <c r="G59" s="169">
        <f t="shared" si="10"/>
        <v>0</v>
      </c>
      <c r="H59" s="169"/>
      <c r="I59" s="57">
        <f t="shared" si="11"/>
        <v>0</v>
      </c>
      <c r="J59" s="57">
        <f t="shared" si="12"/>
        <v>0</v>
      </c>
      <c r="K59" s="58">
        <f t="shared" si="13"/>
        <v>0</v>
      </c>
      <c r="M59" s="45"/>
      <c r="N59" s="168"/>
    </row>
    <row r="60" spans="1:16" x14ac:dyDescent="0.25">
      <c r="A60" s="155">
        <v>10</v>
      </c>
      <c r="B60" s="61"/>
      <c r="C60" s="223"/>
      <c r="D60" s="178">
        <v>0</v>
      </c>
      <c r="E60" s="43">
        <v>0</v>
      </c>
      <c r="F60" s="43"/>
      <c r="G60" s="169">
        <f t="shared" si="10"/>
        <v>0</v>
      </c>
      <c r="H60" s="169"/>
      <c r="I60" s="57">
        <f t="shared" si="11"/>
        <v>0</v>
      </c>
      <c r="J60" s="57">
        <f t="shared" si="12"/>
        <v>0</v>
      </c>
      <c r="K60" s="58">
        <f t="shared" si="13"/>
        <v>0</v>
      </c>
      <c r="M60" s="45"/>
      <c r="N60" s="168"/>
    </row>
    <row r="61" spans="1:16" x14ac:dyDescent="0.25">
      <c r="A61" s="155">
        <v>11</v>
      </c>
      <c r="B61" s="61"/>
      <c r="C61" s="223"/>
      <c r="D61" s="178">
        <v>0</v>
      </c>
      <c r="E61" s="43">
        <v>0</v>
      </c>
      <c r="F61" s="43"/>
      <c r="G61" s="169">
        <f t="shared" si="10"/>
        <v>0</v>
      </c>
      <c r="H61" s="169"/>
      <c r="I61" s="57">
        <f t="shared" si="11"/>
        <v>0</v>
      </c>
      <c r="J61" s="57">
        <f t="shared" si="12"/>
        <v>0</v>
      </c>
      <c r="K61" s="58">
        <f t="shared" si="13"/>
        <v>0</v>
      </c>
      <c r="M61" s="45"/>
      <c r="N61" s="168"/>
    </row>
    <row r="62" spans="1:16" x14ac:dyDescent="0.25">
      <c r="A62" s="155">
        <v>12</v>
      </c>
      <c r="B62" s="61"/>
      <c r="C62" s="223"/>
      <c r="D62" s="178">
        <v>0</v>
      </c>
      <c r="E62" s="43">
        <v>0</v>
      </c>
      <c r="F62" s="43"/>
      <c r="G62" s="169">
        <f t="shared" si="10"/>
        <v>0</v>
      </c>
      <c r="H62" s="169"/>
      <c r="I62" s="57">
        <f t="shared" si="11"/>
        <v>0</v>
      </c>
      <c r="J62" s="57">
        <f t="shared" si="12"/>
        <v>0</v>
      </c>
      <c r="K62" s="58">
        <f t="shared" si="13"/>
        <v>0</v>
      </c>
      <c r="M62" s="45"/>
      <c r="N62" s="168"/>
    </row>
    <row r="63" spans="1:16" x14ac:dyDescent="0.25">
      <c r="A63" s="155">
        <v>13</v>
      </c>
      <c r="B63" s="61"/>
      <c r="C63" s="223"/>
      <c r="D63" s="196">
        <v>0</v>
      </c>
      <c r="E63" s="43">
        <v>0</v>
      </c>
      <c r="F63" s="43"/>
      <c r="G63" s="169">
        <f t="shared" si="10"/>
        <v>0</v>
      </c>
      <c r="H63" s="169"/>
      <c r="I63" s="57">
        <f t="shared" si="11"/>
        <v>0</v>
      </c>
      <c r="J63" s="57">
        <f t="shared" si="12"/>
        <v>0</v>
      </c>
      <c r="K63" s="58">
        <f t="shared" si="13"/>
        <v>0</v>
      </c>
      <c r="M63" s="45"/>
      <c r="N63" s="168"/>
    </row>
    <row r="64" spans="1:16" x14ac:dyDescent="0.25">
      <c r="A64" s="155">
        <v>14</v>
      </c>
      <c r="B64" s="61"/>
      <c r="C64" s="223"/>
      <c r="D64" s="196">
        <v>0</v>
      </c>
      <c r="E64" s="43">
        <v>0</v>
      </c>
      <c r="F64" s="43"/>
      <c r="G64" s="169">
        <f t="shared" si="10"/>
        <v>0</v>
      </c>
      <c r="H64" s="169"/>
      <c r="I64" s="57">
        <f t="shared" si="11"/>
        <v>0</v>
      </c>
      <c r="J64" s="57">
        <f t="shared" si="12"/>
        <v>0</v>
      </c>
      <c r="K64" s="58">
        <f t="shared" si="13"/>
        <v>0</v>
      </c>
      <c r="M64" s="45"/>
      <c r="N64" s="168"/>
    </row>
    <row r="65" spans="1:14" x14ac:dyDescent="0.25">
      <c r="A65" s="155">
        <v>15</v>
      </c>
      <c r="B65" s="61"/>
      <c r="C65" s="223"/>
      <c r="D65" s="196">
        <v>0</v>
      </c>
      <c r="E65" s="43">
        <v>0</v>
      </c>
      <c r="F65" s="43"/>
      <c r="G65" s="169">
        <f t="shared" si="10"/>
        <v>0</v>
      </c>
      <c r="H65" s="169"/>
      <c r="I65" s="57">
        <f t="shared" si="11"/>
        <v>0</v>
      </c>
      <c r="J65" s="57">
        <f t="shared" si="12"/>
        <v>0</v>
      </c>
      <c r="K65" s="58">
        <f t="shared" si="13"/>
        <v>0</v>
      </c>
      <c r="M65" s="45"/>
      <c r="N65" s="168"/>
    </row>
    <row r="66" spans="1:14" ht="15.75" thickBot="1" x14ac:dyDescent="0.3">
      <c r="A66" s="59"/>
      <c r="B66" s="159"/>
      <c r="C66" s="159"/>
      <c r="D66" s="195"/>
      <c r="E66" s="157"/>
      <c r="F66" s="157"/>
      <c r="G66" s="200">
        <f t="shared" si="10"/>
        <v>0</v>
      </c>
      <c r="H66" s="200"/>
      <c r="I66" s="65">
        <f t="shared" si="11"/>
        <v>0</v>
      </c>
      <c r="J66" s="65">
        <f t="shared" si="12"/>
        <v>0</v>
      </c>
      <c r="K66" s="66">
        <f t="shared" si="13"/>
        <v>0</v>
      </c>
    </row>
    <row r="67" spans="1:14" ht="15.75" thickBot="1" x14ac:dyDescent="0.3">
      <c r="A67" s="131"/>
      <c r="B67" s="41" t="s">
        <v>768</v>
      </c>
      <c r="C67" s="36"/>
      <c r="D67" s="36"/>
      <c r="E67" s="29">
        <f t="shared" ref="E67:K67" si="14">SUM(E51:E66)</f>
        <v>152</v>
      </c>
      <c r="F67" s="29">
        <f t="shared" si="14"/>
        <v>0</v>
      </c>
      <c r="G67" s="29">
        <f t="shared" si="14"/>
        <v>152</v>
      </c>
      <c r="H67" s="29">
        <f t="shared" si="14"/>
        <v>0</v>
      </c>
      <c r="I67" s="36">
        <f t="shared" si="14"/>
        <v>152</v>
      </c>
      <c r="J67" s="29">
        <f t="shared" si="14"/>
        <v>8217000</v>
      </c>
      <c r="K67" s="152">
        <f t="shared" si="14"/>
        <v>3090844</v>
      </c>
    </row>
    <row r="71" spans="1:14" ht="15.75" thickBot="1" x14ac:dyDescent="0.3"/>
    <row r="72" spans="1:14" ht="15.75" thickBot="1" x14ac:dyDescent="0.3">
      <c r="A72" s="131"/>
      <c r="B72" s="36" t="s">
        <v>617</v>
      </c>
      <c r="C72" s="36"/>
      <c r="D72" s="36"/>
      <c r="E72" s="35">
        <f>E23+E45+E67</f>
        <v>4143</v>
      </c>
      <c r="F72" s="35">
        <f t="shared" ref="F72:K72" si="15">F23+F45+F67</f>
        <v>0</v>
      </c>
      <c r="G72" s="35">
        <f t="shared" si="15"/>
        <v>4143</v>
      </c>
      <c r="H72" s="35">
        <f t="shared" si="15"/>
        <v>0</v>
      </c>
      <c r="I72" s="35">
        <f t="shared" si="15"/>
        <v>4143</v>
      </c>
      <c r="J72" s="35">
        <f t="shared" si="15"/>
        <v>157714000</v>
      </c>
      <c r="K72" s="201">
        <f t="shared" si="15"/>
        <v>42011483.68</v>
      </c>
      <c r="L72" s="53">
        <v>4143</v>
      </c>
      <c r="M72" s="53">
        <v>157714000</v>
      </c>
      <c r="N72" s="53">
        <v>42011483.68</v>
      </c>
    </row>
    <row r="73" spans="1:14" x14ac:dyDescent="0.25">
      <c r="L73" s="189">
        <f>+L72-I72</f>
        <v>0</v>
      </c>
      <c r="M73" s="189">
        <f t="shared" ref="M73:N73" si="16">+M72-J72</f>
        <v>0</v>
      </c>
      <c r="N73" s="189">
        <f t="shared" si="16"/>
        <v>0</v>
      </c>
    </row>
    <row r="79" spans="1:14" x14ac:dyDescent="0.25">
      <c r="E79" s="189"/>
      <c r="F79" s="189"/>
      <c r="G79" s="189"/>
      <c r="H79" s="189"/>
      <c r="I79" s="189"/>
      <c r="J79" s="189"/>
      <c r="K79" s="189"/>
    </row>
  </sheetData>
  <mergeCells count="21">
    <mergeCell ref="K3:K4"/>
    <mergeCell ref="A25:A27"/>
    <mergeCell ref="B25:B26"/>
    <mergeCell ref="C25:C26"/>
    <mergeCell ref="D25:D26"/>
    <mergeCell ref="J25:J26"/>
    <mergeCell ref="K25:K26"/>
    <mergeCell ref="A3:A5"/>
    <mergeCell ref="B3:B4"/>
    <mergeCell ref="C3:C4"/>
    <mergeCell ref="D3:D4"/>
    <mergeCell ref="J3:J4"/>
    <mergeCell ref="E3:I3"/>
    <mergeCell ref="E25:I25"/>
    <mergeCell ref="J47:J48"/>
    <mergeCell ref="K47:K48"/>
    <mergeCell ref="A47:A49"/>
    <mergeCell ref="B47:B48"/>
    <mergeCell ref="C47:C48"/>
    <mergeCell ref="D47:D48"/>
    <mergeCell ref="E47:I47"/>
  </mergeCells>
  <pageMargins left="0" right="0" top="0.19685039370078741" bottom="0.19685039370078741" header="0.19685039370078741" footer="0.19685039370078741"/>
  <pageSetup paperSize="9" scale="84" orientation="landscape" horizontalDpi="120" verticalDpi="72"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Y73"/>
  <sheetViews>
    <sheetView workbookViewId="0">
      <selection activeCell="A9" sqref="A9"/>
    </sheetView>
  </sheetViews>
  <sheetFormatPr defaultRowHeight="15" x14ac:dyDescent="0.25"/>
  <cols>
    <col min="1" max="1" width="21.7109375" customWidth="1"/>
    <col min="2" max="2" width="14.28515625" customWidth="1"/>
    <col min="3" max="3" width="15.28515625" customWidth="1"/>
    <col min="4" max="4" width="17.7109375" customWidth="1"/>
    <col min="5" max="5" width="11.5703125" customWidth="1"/>
    <col min="6" max="6" width="13.85546875" customWidth="1"/>
    <col min="7" max="7" width="19.7109375" customWidth="1"/>
    <col min="8" max="8" width="14.42578125" customWidth="1"/>
    <col min="9" max="9" width="12" bestFit="1" customWidth="1"/>
    <col min="10" max="10" width="10.5703125" bestFit="1" customWidth="1"/>
    <col min="11" max="11" width="15.28515625" bestFit="1" customWidth="1"/>
    <col min="12" max="12" width="14.28515625" bestFit="1" customWidth="1"/>
    <col min="14" max="15" width="12.5703125" bestFit="1" customWidth="1"/>
    <col min="17" max="17" width="10.5703125" bestFit="1" customWidth="1"/>
    <col min="18" max="18" width="15.28515625" bestFit="1" customWidth="1"/>
    <col min="19" max="19" width="14.28515625" bestFit="1" customWidth="1"/>
    <col min="21" max="21" width="12" bestFit="1" customWidth="1"/>
    <col min="23" max="23" width="9.28515625" bestFit="1" customWidth="1"/>
    <col min="24" max="24" width="12.5703125" bestFit="1" customWidth="1"/>
    <col min="25" max="25" width="11.5703125" bestFit="1" customWidth="1"/>
  </cols>
  <sheetData>
    <row r="3" spans="1:25" ht="15.75" x14ac:dyDescent="0.25">
      <c r="A3" s="378" t="s">
        <v>588</v>
      </c>
      <c r="B3" s="378"/>
      <c r="C3" s="378"/>
      <c r="D3" s="378"/>
      <c r="E3" s="378"/>
      <c r="F3" s="378"/>
    </row>
    <row r="4" spans="1:25" x14ac:dyDescent="0.25">
      <c r="A4" s="379" t="s">
        <v>1050</v>
      </c>
      <c r="B4" s="380"/>
      <c r="C4" s="380"/>
      <c r="D4" s="380"/>
      <c r="E4" s="380"/>
      <c r="F4" s="380"/>
    </row>
    <row r="5" spans="1:25" ht="15.75" thickBot="1" x14ac:dyDescent="0.3">
      <c r="A5" s="2"/>
      <c r="B5" s="2"/>
      <c r="C5" s="2"/>
      <c r="D5" s="2"/>
      <c r="E5" s="2"/>
      <c r="F5" s="2"/>
    </row>
    <row r="6" spans="1:25" ht="39" thickBot="1" x14ac:dyDescent="0.3">
      <c r="A6" s="3" t="s">
        <v>541</v>
      </c>
      <c r="B6" s="4" t="s">
        <v>22</v>
      </c>
      <c r="C6" s="4" t="s">
        <v>600</v>
      </c>
      <c r="D6" s="4" t="s">
        <v>20</v>
      </c>
      <c r="E6" s="5" t="s">
        <v>589</v>
      </c>
      <c r="F6" s="5" t="s">
        <v>601</v>
      </c>
      <c r="G6" s="5" t="s">
        <v>603</v>
      </c>
      <c r="H6" s="5" t="s">
        <v>602</v>
      </c>
    </row>
    <row r="7" spans="1:25" x14ac:dyDescent="0.25">
      <c r="A7" s="6"/>
      <c r="B7" s="7"/>
      <c r="C7" s="7"/>
      <c r="D7" s="7"/>
      <c r="E7" s="8"/>
      <c r="F7" s="20"/>
      <c r="G7" s="6"/>
      <c r="H7" s="25"/>
      <c r="I7" s="24"/>
      <c r="J7" s="24" t="s">
        <v>788</v>
      </c>
      <c r="K7" s="24"/>
      <c r="L7" s="24"/>
    </row>
    <row r="8" spans="1:25" x14ac:dyDescent="0.25">
      <c r="A8" s="9" t="s">
        <v>542</v>
      </c>
      <c r="B8" s="10">
        <f>A.Prangko!E327</f>
        <v>1026731</v>
      </c>
      <c r="C8" s="10">
        <f>A.Prangko!F327</f>
        <v>380000</v>
      </c>
      <c r="D8" s="10">
        <f>B8+C8</f>
        <v>1406731</v>
      </c>
      <c r="E8" s="10">
        <f>A.Prangko!H327</f>
        <v>696550</v>
      </c>
      <c r="F8" s="21">
        <f>A.Prangko!I327</f>
        <v>710181</v>
      </c>
      <c r="G8" s="18">
        <f>A.Prangko!J327</f>
        <v>4288404000</v>
      </c>
      <c r="H8" s="18">
        <f>A.Prangko!K327</f>
        <v>149379211.86000001</v>
      </c>
      <c r="J8" s="19">
        <v>1026731</v>
      </c>
      <c r="K8" s="19">
        <v>4793911000</v>
      </c>
      <c r="L8" s="19">
        <v>86242050.459999993</v>
      </c>
      <c r="M8" s="211">
        <f>+J8-F8</f>
        <v>316550</v>
      </c>
      <c r="N8" s="211">
        <f>+K8-G8</f>
        <v>505507000</v>
      </c>
      <c r="O8" s="211">
        <f>+L8-H8</f>
        <v>-63137161.400000021</v>
      </c>
      <c r="Q8" s="19"/>
      <c r="R8" s="19">
        <v>1190492</v>
      </c>
      <c r="S8" s="19">
        <v>5733868200</v>
      </c>
      <c r="T8">
        <v>245818098.89000002</v>
      </c>
      <c r="U8">
        <v>1190492</v>
      </c>
      <c r="V8">
        <v>5733868200</v>
      </c>
      <c r="W8" s="243">
        <f>+R8-U8</f>
        <v>0</v>
      </c>
      <c r="X8" s="243">
        <f>+S8-V8</f>
        <v>0</v>
      </c>
      <c r="Y8" s="243"/>
    </row>
    <row r="9" spans="1:25" x14ac:dyDescent="0.25">
      <c r="A9" s="11" t="s">
        <v>545</v>
      </c>
      <c r="B9" s="10">
        <f>'B.MS &amp; SS'!E270</f>
        <v>158927</v>
      </c>
      <c r="C9" s="10">
        <f>'B.MS &amp; SS'!F270</f>
        <v>37500</v>
      </c>
      <c r="D9" s="10">
        <f t="shared" ref="D9:D14" si="0">B9+C9</f>
        <v>196427</v>
      </c>
      <c r="E9" s="10">
        <f>'B.MS &amp; SS'!H270</f>
        <v>55430</v>
      </c>
      <c r="F9" s="21">
        <f>'B.MS &amp; SS'!I270</f>
        <v>140997</v>
      </c>
      <c r="G9" s="1">
        <f>'B.MS &amp; SS'!J270</f>
        <v>4977407000</v>
      </c>
      <c r="H9" s="1">
        <f>'B.MS &amp; SS'!K270</f>
        <v>592990215.5</v>
      </c>
      <c r="J9" s="19">
        <v>158927</v>
      </c>
      <c r="K9" s="19">
        <v>4999647000</v>
      </c>
      <c r="L9" s="19">
        <v>351560260.92999995</v>
      </c>
      <c r="M9" s="211">
        <f t="shared" ref="M9:M16" si="1">+J9-F9</f>
        <v>17930</v>
      </c>
      <c r="N9" s="211">
        <f t="shared" ref="N9:N16" si="2">+K9-G9</f>
        <v>22240000</v>
      </c>
      <c r="O9" s="211">
        <f t="shared" ref="O9:O16" si="3">+L9-H9</f>
        <v>-241429954.57000005</v>
      </c>
      <c r="Q9" s="19"/>
      <c r="R9" s="19">
        <v>342291</v>
      </c>
      <c r="S9" s="19">
        <v>4548921000</v>
      </c>
      <c r="T9">
        <v>741442265.29999995</v>
      </c>
      <c r="U9">
        <v>342291</v>
      </c>
      <c r="V9">
        <v>4548921000</v>
      </c>
      <c r="W9" s="243">
        <f t="shared" ref="W9:W16" si="4">+R9-U9</f>
        <v>0</v>
      </c>
      <c r="X9" s="243">
        <f t="shared" ref="X9:X16" si="5">+S9-V9</f>
        <v>0</v>
      </c>
      <c r="Y9" s="243"/>
    </row>
    <row r="10" spans="1:25" x14ac:dyDescent="0.25">
      <c r="A10" s="11" t="s">
        <v>546</v>
      </c>
      <c r="B10" s="10">
        <f>'C.SHP&amp;SHPSS'!E448</f>
        <v>83081</v>
      </c>
      <c r="C10" s="10">
        <f>'C.SHP&amp;SHPSS'!F448</f>
        <v>9000</v>
      </c>
      <c r="D10" s="10">
        <f t="shared" si="0"/>
        <v>92081</v>
      </c>
      <c r="E10" s="10">
        <f>'C.SHP&amp;SHPSS'!H448</f>
        <v>7660</v>
      </c>
      <c r="F10" s="21">
        <f>'C.SHP&amp;SHPSS'!I448</f>
        <v>84421</v>
      </c>
      <c r="G10" s="1">
        <f>'C.SHP&amp;SHPSS'!J448</f>
        <v>899844000</v>
      </c>
      <c r="H10" s="1">
        <f>'C.SHP&amp;SHPSS'!K448</f>
        <v>209543621.80000001</v>
      </c>
      <c r="J10" s="19">
        <v>83081</v>
      </c>
      <c r="K10" s="19">
        <v>881814000</v>
      </c>
      <c r="L10" s="19">
        <v>194290322.80000001</v>
      </c>
      <c r="M10" s="211">
        <f t="shared" si="1"/>
        <v>-1340</v>
      </c>
      <c r="N10" s="211">
        <f t="shared" si="2"/>
        <v>-18030000</v>
      </c>
      <c r="O10" s="211">
        <f t="shared" si="3"/>
        <v>-15253299</v>
      </c>
      <c r="Q10" s="19"/>
      <c r="R10" s="19">
        <v>80368</v>
      </c>
      <c r="S10" s="19">
        <v>784383000</v>
      </c>
      <c r="T10">
        <v>184352967.56</v>
      </c>
      <c r="U10">
        <v>80368</v>
      </c>
      <c r="V10">
        <v>784383000</v>
      </c>
      <c r="W10" s="243">
        <f t="shared" si="4"/>
        <v>0</v>
      </c>
      <c r="X10" s="243">
        <f t="shared" si="5"/>
        <v>0</v>
      </c>
      <c r="Y10" s="243"/>
    </row>
    <row r="11" spans="1:25" x14ac:dyDescent="0.25">
      <c r="A11" s="12" t="s">
        <v>547</v>
      </c>
      <c r="B11" s="10">
        <f>D.Kemasan!E161</f>
        <v>7159</v>
      </c>
      <c r="C11" s="10">
        <f>D.Kemasan!F161</f>
        <v>0</v>
      </c>
      <c r="D11" s="10">
        <f t="shared" si="0"/>
        <v>7159</v>
      </c>
      <c r="E11" s="10">
        <f>D.Kemasan!H161</f>
        <v>50</v>
      </c>
      <c r="F11" s="21">
        <f>D.Kemasan!I161</f>
        <v>7109</v>
      </c>
      <c r="G11" s="1">
        <f>D.Kemasan!J161</f>
        <v>428288500</v>
      </c>
      <c r="H11" s="1">
        <f>D.Kemasan!K161</f>
        <v>72408272.489999995</v>
      </c>
      <c r="J11" s="19">
        <v>7159</v>
      </c>
      <c r="K11" s="19">
        <v>431488500</v>
      </c>
      <c r="L11" s="19">
        <v>73597372.489999995</v>
      </c>
      <c r="M11" s="211">
        <f t="shared" si="1"/>
        <v>50</v>
      </c>
      <c r="N11" s="211">
        <f t="shared" si="2"/>
        <v>3200000</v>
      </c>
      <c r="O11" s="211">
        <f t="shared" si="3"/>
        <v>1189100</v>
      </c>
      <c r="Q11" s="19"/>
      <c r="R11" s="19">
        <v>7209</v>
      </c>
      <c r="S11" s="19">
        <v>432488500</v>
      </c>
      <c r="T11">
        <v>73678822.489999995</v>
      </c>
      <c r="U11">
        <v>7209</v>
      </c>
      <c r="V11">
        <v>432488500</v>
      </c>
      <c r="W11" s="243">
        <f t="shared" si="4"/>
        <v>0</v>
      </c>
      <c r="X11" s="243">
        <f t="shared" si="5"/>
        <v>0</v>
      </c>
      <c r="Y11" s="243"/>
    </row>
    <row r="12" spans="1:25" x14ac:dyDescent="0.25">
      <c r="A12" s="11" t="s">
        <v>548</v>
      </c>
      <c r="B12" s="10">
        <f>E.Merchandise!E36</f>
        <v>2570</v>
      </c>
      <c r="C12" s="10">
        <f>E.Merchandise!F36</f>
        <v>453</v>
      </c>
      <c r="D12" s="10">
        <f t="shared" si="0"/>
        <v>3023</v>
      </c>
      <c r="E12" s="10">
        <f>E.Merchandise!H36</f>
        <v>453</v>
      </c>
      <c r="F12" s="21">
        <f>E.Merchandise!I36</f>
        <v>2570</v>
      </c>
      <c r="G12" s="1">
        <f>E.Merchandise!J36</f>
        <v>596246750</v>
      </c>
      <c r="H12" s="1">
        <f>E.Merchandise!K36</f>
        <v>288367820</v>
      </c>
      <c r="J12" s="19">
        <v>2570</v>
      </c>
      <c r="K12" s="19">
        <v>596246750</v>
      </c>
      <c r="L12" s="19">
        <v>287813420</v>
      </c>
      <c r="M12" s="211">
        <f t="shared" si="1"/>
        <v>0</v>
      </c>
      <c r="N12" s="211">
        <f t="shared" si="2"/>
        <v>0</v>
      </c>
      <c r="O12" s="211">
        <f t="shared" si="3"/>
        <v>-554400</v>
      </c>
      <c r="Q12" s="19"/>
      <c r="R12" s="19">
        <v>582</v>
      </c>
      <c r="S12" s="19">
        <v>36806750</v>
      </c>
      <c r="T12">
        <v>35682620</v>
      </c>
      <c r="U12">
        <v>582</v>
      </c>
      <c r="V12">
        <v>36806750</v>
      </c>
      <c r="W12" s="243">
        <f t="shared" si="4"/>
        <v>0</v>
      </c>
      <c r="X12" s="243">
        <f t="shared" si="5"/>
        <v>0</v>
      </c>
      <c r="Y12" s="243"/>
    </row>
    <row r="13" spans="1:25" x14ac:dyDescent="0.25">
      <c r="A13" s="11" t="s">
        <v>543</v>
      </c>
      <c r="B13" s="10">
        <f>F.PRISMA!E71</f>
        <v>146574</v>
      </c>
      <c r="C13" s="10">
        <f>F.PRISMA!F71</f>
        <v>12000</v>
      </c>
      <c r="D13" s="10">
        <f t="shared" si="0"/>
        <v>158574</v>
      </c>
      <c r="E13" s="10">
        <f>F.PRISMA!H71</f>
        <v>17875</v>
      </c>
      <c r="F13" s="21">
        <f>F.PRISMA!I71</f>
        <v>140699</v>
      </c>
      <c r="G13" s="1">
        <f>F.PRISMA!J71</f>
        <v>3304873000</v>
      </c>
      <c r="H13" s="1">
        <f>F.PRISMA!K71</f>
        <v>245760403.15000001</v>
      </c>
      <c r="J13" s="19">
        <v>146574</v>
      </c>
      <c r="K13" s="19">
        <v>3477473000</v>
      </c>
      <c r="L13" s="19">
        <v>264154531.90000001</v>
      </c>
      <c r="M13" s="211">
        <f t="shared" si="1"/>
        <v>5875</v>
      </c>
      <c r="N13" s="211">
        <f t="shared" si="2"/>
        <v>172600000</v>
      </c>
      <c r="O13" s="211">
        <f t="shared" si="3"/>
        <v>18394128.75</v>
      </c>
      <c r="Q13" s="19"/>
      <c r="R13" s="19">
        <v>144126</v>
      </c>
      <c r="S13" s="19">
        <v>3463414000</v>
      </c>
      <c r="T13">
        <v>259199054.13</v>
      </c>
      <c r="U13">
        <v>144126</v>
      </c>
      <c r="V13">
        <v>3463414000</v>
      </c>
      <c r="W13" s="243">
        <f t="shared" si="4"/>
        <v>0</v>
      </c>
      <c r="X13" s="243">
        <f t="shared" si="5"/>
        <v>0</v>
      </c>
      <c r="Y13" s="243"/>
    </row>
    <row r="14" spans="1:25" x14ac:dyDescent="0.25">
      <c r="A14" s="11" t="s">
        <v>549</v>
      </c>
      <c r="B14" s="10">
        <f>'G.Dokumen Filateli'!E72</f>
        <v>4143</v>
      </c>
      <c r="C14" s="10">
        <f>'G.Dokumen Filateli'!F72</f>
        <v>0</v>
      </c>
      <c r="D14" s="10">
        <f t="shared" si="0"/>
        <v>4143</v>
      </c>
      <c r="E14" s="10">
        <f>'G.Dokumen Filateli'!H72</f>
        <v>0</v>
      </c>
      <c r="F14" s="21">
        <f>'G.Dokumen Filateli'!I72</f>
        <v>4143</v>
      </c>
      <c r="G14" s="1">
        <f>'G.Dokumen Filateli'!J72</f>
        <v>157714000</v>
      </c>
      <c r="H14" s="1">
        <f>'G.Dokumen Filateli'!K72</f>
        <v>42011483.68</v>
      </c>
      <c r="J14" s="19">
        <v>4143</v>
      </c>
      <c r="K14" s="19">
        <v>157714000</v>
      </c>
      <c r="L14" s="19">
        <v>42011483.68</v>
      </c>
      <c r="M14" s="211">
        <f t="shared" si="1"/>
        <v>0</v>
      </c>
      <c r="N14" s="211">
        <f t="shared" si="2"/>
        <v>0</v>
      </c>
      <c r="O14" s="211">
        <f t="shared" si="3"/>
        <v>0</v>
      </c>
      <c r="Q14" s="19"/>
      <c r="R14" s="19">
        <v>4165</v>
      </c>
      <c r="S14" s="19">
        <v>159282000</v>
      </c>
      <c r="T14">
        <v>41468162.239999995</v>
      </c>
      <c r="U14">
        <v>4165</v>
      </c>
      <c r="V14">
        <v>159282000</v>
      </c>
      <c r="W14" s="243">
        <f t="shared" si="4"/>
        <v>0</v>
      </c>
      <c r="X14" s="243">
        <f t="shared" si="5"/>
        <v>0</v>
      </c>
      <c r="Y14" s="243"/>
    </row>
    <row r="15" spans="1:25" x14ac:dyDescent="0.25">
      <c r="A15" s="13"/>
      <c r="B15" s="14"/>
      <c r="C15" s="14"/>
      <c r="D15" s="14"/>
      <c r="E15" s="15"/>
      <c r="F15" s="22"/>
      <c r="G15" s="22"/>
      <c r="H15" s="22"/>
      <c r="J15" s="19"/>
      <c r="K15" s="19"/>
      <c r="L15" s="19"/>
      <c r="M15" s="211">
        <f t="shared" si="1"/>
        <v>0</v>
      </c>
      <c r="N15" s="211">
        <f t="shared" si="2"/>
        <v>0</v>
      </c>
      <c r="O15" s="211">
        <f t="shared" si="3"/>
        <v>0</v>
      </c>
      <c r="Q15" s="19"/>
      <c r="R15" s="19"/>
      <c r="S15" s="19"/>
      <c r="W15" s="243">
        <f t="shared" si="4"/>
        <v>0</v>
      </c>
      <c r="X15" s="243">
        <f t="shared" si="5"/>
        <v>0</v>
      </c>
    </row>
    <row r="16" spans="1:25" ht="15.75" thickBot="1" x14ac:dyDescent="0.3">
      <c r="A16" s="16" t="s">
        <v>544</v>
      </c>
      <c r="B16" s="17">
        <f>SUM(B8:B15)</f>
        <v>1429185</v>
      </c>
      <c r="C16" s="17">
        <f>SUM(C8:C15)</f>
        <v>438953</v>
      </c>
      <c r="D16" s="17">
        <f>SUM(D8:D14)</f>
        <v>1868138</v>
      </c>
      <c r="E16" s="17">
        <f>SUM(E8:E14)</f>
        <v>778018</v>
      </c>
      <c r="F16" s="23">
        <f>SUM(F8:F14)</f>
        <v>1090120</v>
      </c>
      <c r="G16" s="23">
        <f t="shared" ref="G16:H16" si="6">SUM(G8:G14)</f>
        <v>14652777250</v>
      </c>
      <c r="H16" s="23">
        <f t="shared" si="6"/>
        <v>1600461028.4800003</v>
      </c>
      <c r="J16" s="281">
        <f>SUM(J8:J15)</f>
        <v>1429185</v>
      </c>
      <c r="K16" s="281">
        <f>SUM(K8:K15)</f>
        <v>15338294250</v>
      </c>
      <c r="L16" s="281">
        <f>SUM(L8:L15)</f>
        <v>1299669442.26</v>
      </c>
      <c r="M16" s="211">
        <f t="shared" si="1"/>
        <v>339065</v>
      </c>
      <c r="N16" s="211">
        <f t="shared" si="2"/>
        <v>685517000</v>
      </c>
      <c r="O16" s="211">
        <f t="shared" si="3"/>
        <v>-300791586.22000027</v>
      </c>
      <c r="Q16" s="19"/>
      <c r="R16" s="19">
        <v>1769233</v>
      </c>
      <c r="S16" s="19">
        <v>15159163450</v>
      </c>
      <c r="T16">
        <v>1581641990.6099999</v>
      </c>
      <c r="U16">
        <v>1769233</v>
      </c>
      <c r="V16">
        <v>15159163450</v>
      </c>
      <c r="W16" s="243">
        <f t="shared" si="4"/>
        <v>0</v>
      </c>
      <c r="X16" s="243">
        <f t="shared" si="5"/>
        <v>0</v>
      </c>
      <c r="Y16" s="244"/>
    </row>
    <row r="17" spans="1:8" x14ac:dyDescent="0.25">
      <c r="B17" s="211"/>
      <c r="C17" s="211"/>
      <c r="D17" s="211"/>
      <c r="E17" s="211"/>
      <c r="F17" s="211"/>
      <c r="G17" s="211"/>
      <c r="H17" s="211"/>
    </row>
    <row r="18" spans="1:8" x14ac:dyDescent="0.25">
      <c r="F18" s="234"/>
      <c r="G18" s="234" t="s">
        <v>988</v>
      </c>
    </row>
    <row r="19" spans="1:8" x14ac:dyDescent="0.25">
      <c r="A19" s="234"/>
      <c r="B19" s="234" t="s">
        <v>551</v>
      </c>
      <c r="F19" s="234"/>
      <c r="G19" s="234" t="s">
        <v>550</v>
      </c>
      <c r="H19" s="26"/>
    </row>
    <row r="20" spans="1:8" x14ac:dyDescent="0.25">
      <c r="A20" s="234"/>
      <c r="B20" s="234" t="s">
        <v>552</v>
      </c>
      <c r="F20" s="234"/>
      <c r="G20" s="234" t="s">
        <v>782</v>
      </c>
    </row>
    <row r="21" spans="1:8" x14ac:dyDescent="0.25">
      <c r="A21" s="234"/>
      <c r="B21" s="234"/>
      <c r="F21" s="234"/>
      <c r="G21" s="234"/>
      <c r="H21" s="27"/>
    </row>
    <row r="22" spans="1:8" x14ac:dyDescent="0.25">
      <c r="A22" s="234"/>
      <c r="B22" s="234"/>
      <c r="F22" s="234"/>
      <c r="G22" s="234"/>
    </row>
    <row r="23" spans="1:8" x14ac:dyDescent="0.25">
      <c r="A23" s="234"/>
      <c r="B23" s="234" t="s">
        <v>644</v>
      </c>
      <c r="F23" s="234"/>
      <c r="G23" s="234" t="s">
        <v>646</v>
      </c>
    </row>
    <row r="24" spans="1:8" x14ac:dyDescent="0.25">
      <c r="A24" s="234"/>
      <c r="B24" s="234" t="s">
        <v>645</v>
      </c>
      <c r="F24" s="234"/>
      <c r="G24" s="234" t="s">
        <v>647</v>
      </c>
    </row>
    <row r="28" spans="1:8" x14ac:dyDescent="0.25">
      <c r="B28" t="s">
        <v>835</v>
      </c>
    </row>
    <row r="29" spans="1:8" x14ac:dyDescent="0.25">
      <c r="B29">
        <v>198231</v>
      </c>
      <c r="C29" s="211">
        <f>+B8-B29</f>
        <v>828500</v>
      </c>
    </row>
    <row r="30" spans="1:8" x14ac:dyDescent="0.25">
      <c r="B30">
        <v>193017</v>
      </c>
      <c r="C30" s="211">
        <f t="shared" ref="C30:C35" si="7">+B9-B30</f>
        <v>-34090</v>
      </c>
    </row>
    <row r="31" spans="1:8" x14ac:dyDescent="0.25">
      <c r="B31">
        <v>82441</v>
      </c>
      <c r="C31" s="211">
        <f t="shared" si="7"/>
        <v>640</v>
      </c>
    </row>
    <row r="32" spans="1:8" x14ac:dyDescent="0.25">
      <c r="B32">
        <v>7159</v>
      </c>
      <c r="C32" s="211">
        <f t="shared" si="7"/>
        <v>0</v>
      </c>
    </row>
    <row r="33" spans="2:7" x14ac:dyDescent="0.25">
      <c r="B33">
        <v>2570</v>
      </c>
      <c r="C33" s="211">
        <f t="shared" si="7"/>
        <v>0</v>
      </c>
    </row>
    <row r="34" spans="2:7" x14ac:dyDescent="0.25">
      <c r="B34">
        <v>145074</v>
      </c>
      <c r="C34" s="211">
        <f t="shared" si="7"/>
        <v>1500</v>
      </c>
    </row>
    <row r="35" spans="2:7" x14ac:dyDescent="0.25">
      <c r="B35" s="283">
        <v>4143</v>
      </c>
      <c r="C35" s="211">
        <f t="shared" si="7"/>
        <v>0</v>
      </c>
    </row>
    <row r="36" spans="2:7" x14ac:dyDescent="0.25">
      <c r="B36" s="245">
        <f>SUM(B29:B35)</f>
        <v>632635</v>
      </c>
      <c r="C36" s="211">
        <f>B16-B36</f>
        <v>796550</v>
      </c>
    </row>
    <row r="39" spans="2:7" x14ac:dyDescent="0.25">
      <c r="B39">
        <v>1026731</v>
      </c>
      <c r="C39">
        <v>380000</v>
      </c>
      <c r="D39">
        <v>1406731</v>
      </c>
      <c r="E39">
        <v>696550</v>
      </c>
      <c r="F39">
        <v>710181</v>
      </c>
      <c r="G39">
        <v>4288404000</v>
      </c>
    </row>
    <row r="40" spans="2:7" x14ac:dyDescent="0.25">
      <c r="B40">
        <v>158927</v>
      </c>
      <c r="C40">
        <v>37500</v>
      </c>
      <c r="D40">
        <v>196427</v>
      </c>
      <c r="E40">
        <v>55430</v>
      </c>
      <c r="F40">
        <v>140997</v>
      </c>
      <c r="G40">
        <v>4977407000</v>
      </c>
    </row>
    <row r="41" spans="2:7" x14ac:dyDescent="0.25">
      <c r="B41">
        <v>83081</v>
      </c>
      <c r="C41">
        <v>9000</v>
      </c>
      <c r="D41">
        <v>92081</v>
      </c>
      <c r="E41">
        <v>7660</v>
      </c>
      <c r="F41">
        <v>84421</v>
      </c>
      <c r="G41">
        <v>899844000</v>
      </c>
    </row>
    <row r="42" spans="2:7" x14ac:dyDescent="0.25">
      <c r="B42">
        <v>7159</v>
      </c>
      <c r="C42">
        <v>0</v>
      </c>
      <c r="D42">
        <v>7159</v>
      </c>
      <c r="E42">
        <v>50</v>
      </c>
      <c r="F42">
        <v>7109</v>
      </c>
      <c r="G42">
        <v>428288500</v>
      </c>
    </row>
    <row r="43" spans="2:7" x14ac:dyDescent="0.25">
      <c r="B43">
        <v>2570</v>
      </c>
      <c r="C43">
        <v>453</v>
      </c>
      <c r="D43">
        <v>3023</v>
      </c>
      <c r="E43">
        <v>453</v>
      </c>
      <c r="F43">
        <v>2570</v>
      </c>
      <c r="G43">
        <v>596246750</v>
      </c>
    </row>
    <row r="44" spans="2:7" x14ac:dyDescent="0.25">
      <c r="B44">
        <v>146574</v>
      </c>
      <c r="C44">
        <v>12000</v>
      </c>
      <c r="D44">
        <v>158574</v>
      </c>
      <c r="E44">
        <v>17875</v>
      </c>
      <c r="F44">
        <v>140699</v>
      </c>
      <c r="G44">
        <v>3304873000</v>
      </c>
    </row>
    <row r="45" spans="2:7" x14ac:dyDescent="0.25">
      <c r="B45">
        <v>4143</v>
      </c>
      <c r="C45">
        <v>0</v>
      </c>
      <c r="D45">
        <v>4143</v>
      </c>
      <c r="E45">
        <v>0</v>
      </c>
      <c r="F45">
        <v>4143</v>
      </c>
      <c r="G45">
        <v>157714000</v>
      </c>
    </row>
    <row r="47" spans="2:7" x14ac:dyDescent="0.25">
      <c r="B47">
        <v>1429185</v>
      </c>
      <c r="C47">
        <v>438953</v>
      </c>
      <c r="D47">
        <v>1868138</v>
      </c>
      <c r="E47">
        <v>778018</v>
      </c>
      <c r="F47">
        <v>1090120</v>
      </c>
      <c r="G47">
        <v>14652777250</v>
      </c>
    </row>
    <row r="49" spans="1:7" x14ac:dyDescent="0.25">
      <c r="A49" t="s">
        <v>542</v>
      </c>
      <c r="B49" s="292">
        <f>+B8-B39</f>
        <v>0</v>
      </c>
      <c r="C49" s="292">
        <f t="shared" ref="C49:G49" si="8">+C8-C39</f>
        <v>0</v>
      </c>
      <c r="D49" s="292">
        <f t="shared" si="8"/>
        <v>0</v>
      </c>
      <c r="E49" s="292">
        <f t="shared" si="8"/>
        <v>0</v>
      </c>
      <c r="F49" s="292">
        <f t="shared" si="8"/>
        <v>0</v>
      </c>
      <c r="G49" s="292">
        <f t="shared" si="8"/>
        <v>0</v>
      </c>
    </row>
    <row r="50" spans="1:7" x14ac:dyDescent="0.25">
      <c r="A50" t="s">
        <v>545</v>
      </c>
      <c r="B50" s="292">
        <f t="shared" ref="B50:G50" si="9">+B9-B40</f>
        <v>0</v>
      </c>
      <c r="C50" s="292">
        <f t="shared" si="9"/>
        <v>0</v>
      </c>
      <c r="D50" s="292">
        <f t="shared" si="9"/>
        <v>0</v>
      </c>
      <c r="E50" s="292">
        <f t="shared" si="9"/>
        <v>0</v>
      </c>
      <c r="F50" s="292">
        <f t="shared" si="9"/>
        <v>0</v>
      </c>
      <c r="G50" s="292">
        <f t="shared" si="9"/>
        <v>0</v>
      </c>
    </row>
    <row r="51" spans="1:7" x14ac:dyDescent="0.25">
      <c r="A51" t="s">
        <v>546</v>
      </c>
      <c r="B51" s="292">
        <f t="shared" ref="B51:G51" si="10">+B10-B41</f>
        <v>0</v>
      </c>
      <c r="C51" s="292">
        <f t="shared" si="10"/>
        <v>0</v>
      </c>
      <c r="D51" s="292">
        <f t="shared" si="10"/>
        <v>0</v>
      </c>
      <c r="E51" s="292">
        <f t="shared" si="10"/>
        <v>0</v>
      </c>
      <c r="F51" s="292">
        <f t="shared" si="10"/>
        <v>0</v>
      </c>
      <c r="G51" s="292">
        <f t="shared" si="10"/>
        <v>0</v>
      </c>
    </row>
    <row r="52" spans="1:7" x14ac:dyDescent="0.25">
      <c r="A52" t="s">
        <v>547</v>
      </c>
      <c r="B52" s="292">
        <f t="shared" ref="B52:G52" si="11">+B11-B42</f>
        <v>0</v>
      </c>
      <c r="C52" s="292">
        <f t="shared" si="11"/>
        <v>0</v>
      </c>
      <c r="D52" s="292">
        <f t="shared" si="11"/>
        <v>0</v>
      </c>
      <c r="E52" s="292">
        <f t="shared" si="11"/>
        <v>0</v>
      </c>
      <c r="F52" s="292">
        <f t="shared" si="11"/>
        <v>0</v>
      </c>
      <c r="G52" s="292">
        <f t="shared" si="11"/>
        <v>0</v>
      </c>
    </row>
    <row r="53" spans="1:7" x14ac:dyDescent="0.25">
      <c r="A53" t="s">
        <v>548</v>
      </c>
      <c r="B53" s="292">
        <f t="shared" ref="B53:G53" si="12">+B12-B43</f>
        <v>0</v>
      </c>
      <c r="C53" s="292">
        <f t="shared" si="12"/>
        <v>0</v>
      </c>
      <c r="D53" s="292">
        <f t="shared" si="12"/>
        <v>0</v>
      </c>
      <c r="E53" s="292">
        <f t="shared" si="12"/>
        <v>0</v>
      </c>
      <c r="F53" s="292">
        <f t="shared" si="12"/>
        <v>0</v>
      </c>
      <c r="G53" s="292">
        <f t="shared" si="12"/>
        <v>0</v>
      </c>
    </row>
    <row r="54" spans="1:7" x14ac:dyDescent="0.25">
      <c r="A54" t="s">
        <v>543</v>
      </c>
      <c r="B54" s="292">
        <f t="shared" ref="B54:G54" si="13">+B13-B44</f>
        <v>0</v>
      </c>
      <c r="C54" s="292">
        <f t="shared" si="13"/>
        <v>0</v>
      </c>
      <c r="D54" s="292">
        <f t="shared" si="13"/>
        <v>0</v>
      </c>
      <c r="E54" s="292">
        <f t="shared" si="13"/>
        <v>0</v>
      </c>
      <c r="F54" s="292">
        <f t="shared" si="13"/>
        <v>0</v>
      </c>
      <c r="G54" s="292">
        <f t="shared" si="13"/>
        <v>0</v>
      </c>
    </row>
    <row r="55" spans="1:7" x14ac:dyDescent="0.25">
      <c r="A55" t="s">
        <v>549</v>
      </c>
      <c r="B55" s="292">
        <f t="shared" ref="B55:G55" si="14">+B14-B45</f>
        <v>0</v>
      </c>
      <c r="C55" s="292">
        <f t="shared" si="14"/>
        <v>0</v>
      </c>
      <c r="D55" s="292">
        <f t="shared" si="14"/>
        <v>0</v>
      </c>
      <c r="E55" s="292">
        <f t="shared" si="14"/>
        <v>0</v>
      </c>
      <c r="F55" s="292">
        <f t="shared" si="14"/>
        <v>0</v>
      </c>
      <c r="G55" s="292">
        <f t="shared" si="14"/>
        <v>0</v>
      </c>
    </row>
    <row r="56" spans="1:7" x14ac:dyDescent="0.25">
      <c r="B56" s="292">
        <f t="shared" ref="B56:G56" si="15">+B15-B46</f>
        <v>0</v>
      </c>
      <c r="C56" s="292">
        <f t="shared" si="15"/>
        <v>0</v>
      </c>
      <c r="D56" s="292">
        <f t="shared" si="15"/>
        <v>0</v>
      </c>
      <c r="E56" s="292">
        <f t="shared" si="15"/>
        <v>0</v>
      </c>
      <c r="F56" s="292">
        <f t="shared" si="15"/>
        <v>0</v>
      </c>
      <c r="G56" s="292">
        <f t="shared" si="15"/>
        <v>0</v>
      </c>
    </row>
    <row r="57" spans="1:7" x14ac:dyDescent="0.25">
      <c r="B57" s="292">
        <f t="shared" ref="B57:G57" si="16">+B16-B47</f>
        <v>0</v>
      </c>
      <c r="C57" s="292">
        <f t="shared" si="16"/>
        <v>0</v>
      </c>
      <c r="D57" s="292">
        <f t="shared" si="16"/>
        <v>0</v>
      </c>
      <c r="E57" s="292">
        <f t="shared" si="16"/>
        <v>0</v>
      </c>
      <c r="F57" s="292">
        <f t="shared" si="16"/>
        <v>0</v>
      </c>
      <c r="G57" s="292">
        <f t="shared" si="16"/>
        <v>0</v>
      </c>
    </row>
    <row r="58" spans="1:7" x14ac:dyDescent="0.25">
      <c r="B58" s="211">
        <f t="shared" ref="B58:G58" si="17">+B17-B48</f>
        <v>0</v>
      </c>
      <c r="C58" s="211">
        <f t="shared" si="17"/>
        <v>0</v>
      </c>
      <c r="D58" s="211">
        <f t="shared" si="17"/>
        <v>0</v>
      </c>
      <c r="E58" s="211">
        <f t="shared" si="17"/>
        <v>0</v>
      </c>
      <c r="F58" s="211">
        <f t="shared" si="17"/>
        <v>0</v>
      </c>
      <c r="G58" s="211">
        <f t="shared" si="17"/>
        <v>0</v>
      </c>
    </row>
    <row r="59" spans="1:7" x14ac:dyDescent="0.25">
      <c r="B59" s="211"/>
      <c r="C59" s="211"/>
      <c r="D59" s="211"/>
      <c r="E59" s="211"/>
      <c r="F59" s="211"/>
      <c r="G59" s="211"/>
    </row>
    <row r="60" spans="1:7" x14ac:dyDescent="0.25">
      <c r="B60" s="211"/>
      <c r="C60" s="211"/>
      <c r="D60" s="211"/>
      <c r="E60" s="211"/>
      <c r="F60" s="211"/>
      <c r="G60" s="211"/>
    </row>
    <row r="61" spans="1:7" x14ac:dyDescent="0.25">
      <c r="B61" s="211"/>
      <c r="C61" s="211"/>
      <c r="D61" s="211"/>
      <c r="E61" s="211"/>
      <c r="F61" s="211"/>
      <c r="G61" s="211"/>
    </row>
    <row r="63" spans="1:7" x14ac:dyDescent="0.25">
      <c r="B63" s="234" t="s">
        <v>910</v>
      </c>
      <c r="D63" s="234" t="s">
        <v>910</v>
      </c>
      <c r="F63" s="234" t="s">
        <v>910</v>
      </c>
    </row>
    <row r="64" spans="1:7" x14ac:dyDescent="0.25">
      <c r="B64" s="234"/>
      <c r="D64" s="234"/>
      <c r="F64" s="234"/>
    </row>
    <row r="65" spans="2:6" x14ac:dyDescent="0.25">
      <c r="B65" s="234"/>
      <c r="D65" s="234"/>
      <c r="F65" s="234"/>
    </row>
    <row r="66" spans="2:6" x14ac:dyDescent="0.25">
      <c r="B66" s="234"/>
      <c r="D66" s="234"/>
      <c r="F66" s="234"/>
    </row>
    <row r="67" spans="2:6" x14ac:dyDescent="0.25">
      <c r="B67" s="234" t="s">
        <v>911</v>
      </c>
      <c r="D67" s="234" t="s">
        <v>911</v>
      </c>
      <c r="F67" s="234" t="s">
        <v>911</v>
      </c>
    </row>
    <row r="69" spans="2:6" x14ac:dyDescent="0.25">
      <c r="B69" s="234" t="s">
        <v>910</v>
      </c>
      <c r="D69" s="234" t="s">
        <v>910</v>
      </c>
      <c r="F69" s="234" t="s">
        <v>910</v>
      </c>
    </row>
    <row r="70" spans="2:6" x14ac:dyDescent="0.25">
      <c r="B70" s="234"/>
      <c r="D70" s="234"/>
      <c r="F70" s="234"/>
    </row>
    <row r="71" spans="2:6" x14ac:dyDescent="0.25">
      <c r="B71" s="234"/>
      <c r="D71" s="234"/>
      <c r="F71" s="234"/>
    </row>
    <row r="72" spans="2:6" x14ac:dyDescent="0.25">
      <c r="B72" s="234"/>
      <c r="D72" s="234"/>
      <c r="F72" s="234"/>
    </row>
    <row r="73" spans="2:6" x14ac:dyDescent="0.25">
      <c r="B73" s="234" t="s">
        <v>911</v>
      </c>
      <c r="D73" s="234" t="s">
        <v>911</v>
      </c>
      <c r="F73" s="234" t="s">
        <v>911</v>
      </c>
    </row>
  </sheetData>
  <protectedRanges>
    <protectedRange sqref="A3" name="Range1"/>
  </protectedRanges>
  <mergeCells count="2">
    <mergeCell ref="A3:F3"/>
    <mergeCell ref="A4:F4"/>
  </mergeCells>
  <pageMargins left="0.70866141732283472" right="0.70866141732283472" top="0" bottom="0" header="0.31496062992125984" footer="0.31496062992125984"/>
  <pageSetup paperSize="9"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A.Prangko</vt:lpstr>
      <vt:lpstr>B.MS &amp; SS</vt:lpstr>
      <vt:lpstr>C.SHP&amp;SHPSS</vt:lpstr>
      <vt:lpstr>D.Kemasan</vt:lpstr>
      <vt:lpstr>E.Merchandise</vt:lpstr>
      <vt:lpstr>F.PRISMA</vt:lpstr>
      <vt:lpstr>G.Dokumen Filateli</vt:lpstr>
      <vt:lpstr>Rekapitulasi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2017-08-09T08:17:51Z</dcterms:modified>
</cp:coreProperties>
</file>